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D9C917F7-CDF3-A048-B7EE-38A77C1B0ECD}"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T7" i="1"/>
  <c r="BF8" i="1"/>
  <c r="BT8" i="1"/>
  <c r="BF9" i="1"/>
  <c r="BT9" i="1"/>
  <c r="BF10" i="1"/>
  <c r="BT10" i="1"/>
  <c r="BF11" i="1"/>
  <c r="BT11" i="1"/>
  <c r="BF12" i="1"/>
  <c r="BT12" i="1"/>
  <c r="BF13" i="1"/>
  <c r="BT13" i="1"/>
  <c r="BF14" i="1"/>
  <c r="BT14" i="1"/>
  <c r="BT15" i="1"/>
  <c r="BT16" i="1"/>
  <c r="BT17" i="1"/>
  <c r="BT18" i="1"/>
  <c r="BF19" i="1"/>
  <c r="BT19" i="1"/>
  <c r="BF20" i="1"/>
  <c r="BT20" i="1"/>
  <c r="BT21" i="1"/>
  <c r="BF22" i="1"/>
  <c r="BT22" i="1"/>
  <c r="BF23" i="1"/>
  <c r="BT23" i="1"/>
  <c r="BT24" i="1"/>
  <c r="BF25" i="1"/>
  <c r="BT25" i="1"/>
  <c r="BT26" i="1"/>
  <c r="BT27" i="1"/>
  <c r="BF28" i="1"/>
  <c r="BT28" i="1"/>
  <c r="BF29" i="1"/>
  <c r="BT29" i="1"/>
  <c r="BF30" i="1"/>
  <c r="BT30" i="1"/>
  <c r="BF31" i="1"/>
  <c r="BT31" i="1"/>
  <c r="BT32"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T75" i="1"/>
  <c r="BT76" i="1"/>
  <c r="BT77" i="1"/>
  <c r="BF78" i="1"/>
  <c r="BT78" i="1"/>
  <c r="BF79" i="1"/>
  <c r="BT79"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T146" i="1"/>
  <c r="BF147" i="1"/>
  <c r="BT147" i="1"/>
  <c r="BF148" i="1"/>
  <c r="BT148" i="1"/>
  <c r="BF149" i="1"/>
  <c r="BT149" i="1"/>
  <c r="BF150" i="1"/>
  <c r="BT150" i="1"/>
  <c r="BT151" i="1"/>
  <c r="BF152" i="1"/>
  <c r="BT152" i="1"/>
  <c r="BT153" i="1"/>
  <c r="BT154" i="1"/>
  <c r="BT155" i="1"/>
  <c r="BT156" i="1"/>
  <c r="BT157"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T170" i="1"/>
  <c r="BT171" i="1"/>
  <c r="BT172" i="1"/>
  <c r="BF173" i="1"/>
  <c r="BT173" i="1"/>
  <c r="BT174" i="1"/>
  <c r="BT175" i="1"/>
  <c r="BT176" i="1"/>
  <c r="BF177" i="1"/>
  <c r="BT177" i="1"/>
  <c r="BF178" i="1"/>
  <c r="BT178" i="1"/>
  <c r="BF179" i="1"/>
  <c r="BT179" i="1"/>
  <c r="BF180" i="1"/>
  <c r="BT180" i="1"/>
  <c r="BF181" i="1"/>
  <c r="BT181" i="1"/>
  <c r="BF182" i="1"/>
  <c r="BT182" i="1"/>
  <c r="BF183" i="1"/>
  <c r="BT183" i="1"/>
  <c r="BF184" i="1"/>
  <c r="BT184" i="1"/>
  <c r="BF185" i="1"/>
  <c r="BT185" i="1"/>
  <c r="BF186" i="1"/>
  <c r="BT186" i="1"/>
  <c r="BT187" i="1"/>
  <c r="BF188" i="1"/>
  <c r="BT188" i="1"/>
  <c r="BF189" i="1"/>
  <c r="BT189" i="1"/>
  <c r="BT190" i="1"/>
  <c r="BT191" i="1"/>
  <c r="BF192" i="1"/>
  <c r="BT192"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T219" i="1"/>
  <c r="BF220" i="1"/>
  <c r="BT220" i="1"/>
  <c r="BF221" i="1"/>
  <c r="BT221" i="1"/>
  <c r="BT222" i="1"/>
  <c r="BF223" i="1"/>
  <c r="BT223" i="1"/>
  <c r="BF224" i="1"/>
  <c r="BT224" i="1"/>
  <c r="BF225" i="1"/>
  <c r="BT225" i="1"/>
  <c r="BF226" i="1"/>
  <c r="BT226" i="1"/>
  <c r="BF227" i="1"/>
  <c r="BT227"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T253" i="1"/>
  <c r="BT254" i="1"/>
  <c r="BF255" i="1"/>
  <c r="BT255" i="1"/>
  <c r="BT256" i="1"/>
  <c r="BT257" i="1"/>
  <c r="BF258" i="1"/>
  <c r="BT258" i="1"/>
  <c r="BF259" i="1"/>
  <c r="BT259" i="1"/>
  <c r="BT260" i="1"/>
  <c r="BT261" i="1"/>
  <c r="BF262" i="1"/>
  <c r="BT262" i="1"/>
  <c r="BF263" i="1"/>
  <c r="BT263" i="1"/>
  <c r="BF264" i="1"/>
  <c r="BT264" i="1"/>
  <c r="BF265" i="1"/>
  <c r="BT265" i="1"/>
  <c r="BF266" i="1"/>
  <c r="BT266" i="1"/>
  <c r="BF267" i="1"/>
  <c r="BT267" i="1"/>
  <c r="BF268" i="1"/>
  <c r="BT268"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T287" i="1"/>
  <c r="BT288" i="1"/>
  <c r="BF289" i="1"/>
  <c r="BT289" i="1"/>
  <c r="BF290" i="1"/>
  <c r="BT290" i="1"/>
  <c r="BF291" i="1"/>
  <c r="BT291" i="1"/>
  <c r="BF292" i="1"/>
  <c r="BT292" i="1"/>
  <c r="BT293" i="1"/>
  <c r="BF294" i="1"/>
  <c r="BT294" i="1"/>
  <c r="BT295" i="1"/>
  <c r="BT296" i="1"/>
  <c r="BF297" i="1"/>
  <c r="BT297" i="1"/>
  <c r="BF298" i="1"/>
  <c r="BT298" i="1"/>
  <c r="BF299" i="1"/>
  <c r="BT299" i="1"/>
  <c r="BT300" i="1"/>
  <c r="BT301" i="1"/>
  <c r="BF302" i="1"/>
  <c r="BT302" i="1"/>
  <c r="BT303" i="1"/>
  <c r="BT304" i="1"/>
  <c r="BF305" i="1"/>
  <c r="BT305" i="1"/>
  <c r="BT306" i="1"/>
  <c r="BT307" i="1"/>
  <c r="BT308" i="1"/>
  <c r="BT309"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T366" i="1"/>
  <c r="BF367" i="1"/>
  <c r="BT367" i="1"/>
  <c r="BF368" i="1"/>
  <c r="BT368" i="1"/>
  <c r="BF369" i="1"/>
  <c r="BT369" i="1"/>
  <c r="BF370" i="1"/>
  <c r="BT370" i="1"/>
  <c r="BT371" i="1"/>
  <c r="BT372" i="1"/>
  <c r="BF373" i="1"/>
  <c r="BT373" i="1"/>
  <c r="BF374" i="1"/>
  <c r="BT374" i="1"/>
  <c r="BF375" i="1"/>
  <c r="BT375" i="1"/>
  <c r="BF376" i="1"/>
  <c r="BT376" i="1"/>
  <c r="BF377" i="1"/>
  <c r="BT377" i="1"/>
  <c r="BT378"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T413"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T659" i="1"/>
  <c r="BF660" i="1"/>
  <c r="BT660" i="1"/>
  <c r="BF661" i="1"/>
  <c r="BT661" i="1"/>
  <c r="BF662" i="1"/>
  <c r="BT662"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T716" i="1"/>
  <c r="BT717" i="1"/>
  <c r="BT718" i="1"/>
  <c r="BT719" i="1"/>
  <c r="BT720" i="1"/>
  <c r="BT721" i="1"/>
  <c r="BT722" i="1"/>
  <c r="BT723" i="1"/>
  <c r="BT724" i="1"/>
  <c r="BT725" i="1"/>
  <c r="BT726" i="1"/>
  <c r="BF727" i="1"/>
  <c r="BT727"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T789" i="1"/>
  <c r="BT790" i="1"/>
  <c r="BF791" i="1"/>
  <c r="BT791" i="1"/>
  <c r="BF792" i="1"/>
  <c r="BT792" i="1"/>
  <c r="BF793" i="1"/>
  <c r="BT793" i="1"/>
  <c r="BF794" i="1"/>
  <c r="BT794" i="1"/>
  <c r="BF795" i="1"/>
  <c r="BT795" i="1"/>
  <c r="BF796" i="1"/>
  <c r="BT796"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T845" i="1"/>
  <c r="BF846" i="1"/>
  <c r="BT846" i="1"/>
  <c r="BF847" i="1"/>
  <c r="BT847" i="1"/>
  <c r="BF848" i="1"/>
  <c r="BT848" i="1"/>
  <c r="BF849" i="1"/>
  <c r="BT849" i="1"/>
  <c r="BF850" i="1"/>
  <c r="BT850" i="1"/>
  <c r="BF851" i="1"/>
  <c r="BT851" i="1"/>
  <c r="BF852" i="1"/>
  <c r="BT852" i="1"/>
  <c r="BT853" i="1"/>
  <c r="BF854" i="1"/>
  <c r="BT854" i="1"/>
  <c r="BF855" i="1"/>
  <c r="BT855" i="1"/>
  <c r="BF856" i="1"/>
  <c r="BT856" i="1"/>
  <c r="BF857" i="1"/>
  <c r="BT857" i="1"/>
  <c r="BT858" i="1"/>
  <c r="BF859" i="1"/>
  <c r="BT859" i="1"/>
  <c r="BF860" i="1"/>
  <c r="BT860" i="1"/>
  <c r="BF861" i="1"/>
  <c r="BT861" i="1"/>
  <c r="BF862" i="1"/>
  <c r="BT862" i="1"/>
  <c r="BF863" i="1"/>
  <c r="BT863" i="1"/>
  <c r="BF864" i="1"/>
  <c r="BT864" i="1"/>
  <c r="BF865" i="1"/>
  <c r="BT865"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T890" i="1"/>
  <c r="BT891" i="1"/>
  <c r="BT892" i="1"/>
  <c r="BT893"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<sst xmlns="http://schemas.openxmlformats.org/spreadsheetml/2006/main" count="59724" uniqueCount="18341">
  <si>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</si>
  <si>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</si>
  <si>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</si>
  <si>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</si>
  <si>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</si>
  <si>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</si>
  <si>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</si>
  <si>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</si>
  <si>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</si>
  <si>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</si>
  <si>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</si>
  <si>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</si>
  <si>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</si>
  <si>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</si>
  <si>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</si>
  <si>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</si>
  <si>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</si>
  <si>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</si>
  <si>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</si>
  <si>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</si>
  <si>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</si>
  <si>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</si>
  <si>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</si>
  <si>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</si>
  <si>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</si>
  <si>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</si>
  <si>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</si>
  <si>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</si>
  <si>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</si>
  <si>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</si>
  <si>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</si>
  <si>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</si>
  <si>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</si>
  <si>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</si>
  <si>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</si>
  <si>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</si>
  <si>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</si>
  <si>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</si>
  <si>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</si>
  <si>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</si>
  <si>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</si>
  <si>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</si>
  <si>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</si>
  <si>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</si>
  <si>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</si>
  <si>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</si>
  <si>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</si>
  <si>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</si>
  <si>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</si>
  <si>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</si>
  <si>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</si>
  <si>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</si>
  <si>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</si>
  <si>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</si>
  <si>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</si>
  <si>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</si>
  <si>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</si>
  <si>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</si>
  <si>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</si>
  <si>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</si>
  <si>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</si>
  <si>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</si>
  <si>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</si>
  <si>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</si>
  <si>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</si>
  <si>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</si>
  <si>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</si>
  <si>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</si>
  <si>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</si>
  <si>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</si>
  <si>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</si>
  <si>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</si>
  <si>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</si>
  <si>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Hu, XP; Heath, C; Taylor, MP; Tuffin, M; Cowan, D</t>
  </si>
  <si>
    <t/>
  </si>
  <si>
    <t>Hu, Xiao Ping; Heath, Caroline; Taylor, Mark Paul; Tuffin, Marla; Cowan, Don</t>
  </si>
  <si>
    <t>A novel, extremely alkaliphilic and cold-active esterase from Antarctic desert soil</t>
  </si>
  <si>
    <t>EXTREMOPHILES</t>
  </si>
  <si>
    <t>English</t>
  </si>
  <si>
    <t>Article</t>
  </si>
  <si>
    <t>Metagenomic; Esterase; Cold active; Psychrophilic; Alkaliphilic</t>
  </si>
  <si>
    <t>DEEP-SEA SEDIMENT; METAGENOMIC LIBRARY; BACTERIAL LIPASES; ALKALINE LIPASE; THERMOSTABLE ESTERASE; LIPOLYTIC ENZYMES; PSEUDOMONAS SP; MINERAL SOILS; VICTORIA LAND; MICROORGANISMS</t>
  </si>
  <si>
    <t>A novel, cold-active and highly alkaliphilic esterase was isolated from an Antarctic desert soil metagenomic library by functional screening. The 1,044 bp gene sequence contained several conserved regions common to lipases/esterases, but lacked clear classification based on sequence analysis alone. Moderate (&lt; 40%) amino acid sequence similarity to known esterases was apparent (the closest neighbour being a hypothetical protein from Chitinophaga pinensis), despite phylogenetic distance to many of the lipolytic families. The enzyme functionally demonstrated activity towards shorter chain p-nitrophenyl esters with the optimal activity recorded towards p-nitrophenyl propionate (C3). The enzyme possessed an apparent T(opt) at 20A degrees C and a pH optimum at pH 11. Esterases possessing such extreme alkaliphily are rare and so this enzyme represents an intriguing novel locus in protein sequence space. A metagenomic approach has been shown, in this case, to yield an enzyme with quite different sequential/structural properties to known lipases. It serves as an excellent candidate for analysis of the molecular mechanisms responsible for both cold and alkaline activity and novel structure-function relationships of esterase activity.</t>
  </si>
  <si>
    <t>[Hu, Xiao Ping; Heath, Caroline; Taylor, Mark Paul; Tuffin, Marla; Cowan, Don] Univ Western Cape, Inst Microbial Biotechnol &amp; Metagenom IMBM, Cape Town, South Africa</t>
  </si>
  <si>
    <t>University of the Western Cape</t>
  </si>
  <si>
    <t>Cowan, D (corresponding author), Univ Western Cape, Inst Microbial Biotechnol &amp; Metagenom IMBM, Modderdam Rd, Cape Town, South Africa.</t>
  </si>
  <si>
    <t>dcowan@uwc.ac.za</t>
  </si>
  <si>
    <t>Hu, Xiao/GQI-0007-2022; Hu, Xiaoyu/JPK-8482-2023; Cowan, Donald A/E-3991-2012; Trindade, Marla/AAU-9730-2020</t>
  </si>
  <si>
    <t>Hu, Xiao/0000-0003-1128-4099; Cowan, Donald A/0000-0001-8059-861X; Trindade, Marla/0000-0002-2478-0270</t>
  </si>
  <si>
    <t>National Research Foundation of South Africa</t>
  </si>
  <si>
    <t>National Research Foundation of South Africa(National Research Foundation - South Africa)</t>
  </si>
  <si>
    <t>The authors wish to acknowledge the National Research Foundation of South Africa for funding.</t>
  </si>
  <si>
    <t>SPRINGER TOKYO</t>
  </si>
  <si>
    <t>TOKYO</t>
  </si>
  <si>
    <t>1-11-11 KUDAN-KITA, CHIYODA-KU, TOKYO, 102-0073, JAPAN</t>
  </si>
  <si>
    <t>1431-0651</t>
  </si>
  <si>
    <t>Extremophiles</t>
  </si>
  <si>
    <t>JAN</t>
  </si>
  <si>
    <t>10.1007/s00792-011-0407-y</t>
  </si>
  <si>
    <t>Biochemistry &amp; Molecular Biology; Microbiology</t>
  </si>
  <si>
    <t>Science Citation Index Expanded (SCI-EXPANDED)</t>
  </si>
  <si>
    <t>866OP</t>
  </si>
  <si>
    <t>2024-04-21</t>
  </si>
  <si>
    <t>WOS:000298390900007</t>
  </si>
  <si>
    <t>Santiago, IF; Alves, TMA; Rabello, A; Sales, PA; Romanha, AJ; Zani, CL; Rosa, CA; Rosa, LH</t>
  </si>
  <si>
    <t>Santiago, Iara F.; Alves, Tania M. A.; Rabello, Ana; Sales Junior, Policarpo A.; Romanha, Alvaro J.; Zani, Carlos L.; Rosa, Carlos A.; Rosa, Luiz H.</t>
  </si>
  <si>
    <t>Leishmanicidal and antitumoral activities of endophytic fungi associated with the Antarctic angiosperms Deschampsia antarctica Desv. and Colobanthus quitensis (Kunth) Bartl.</t>
  </si>
  <si>
    <t>Antarctica; Bioprospecting; Leishmania; Secondary metabolites; Antitumoral activities</t>
  </si>
  <si>
    <t>DIVERSITY; SEARCH; SOILS</t>
  </si>
  <si>
    <t>A total of 564 isolates of endophytic fungi were recovered from the plants Deschampsia antarctica and Colobanthus quitensis collected from Antarctica. The isolates were screened against parasites Leishmania amazonensis and Trypanosoma cruzi and against the human tumour cell lines. Of the 313 fungal isolates obtained from D. antarctica and 251 from C. quitensis, 25 displayed biological activity. Nineteen extracts displayed leishmanicidal activity, and six inhibited the growth of at least one tumour cell line. These fungi belong to 19 taxa of the genera Alternaria, Antarctomyces, Cadophora, Davidiella, Helgardia, Herpotrichia, Microdochium, Oculimacula, Phaeosphaeria and one unidentified fungus. Extracts of 12 fungal isolates inhibited the proliferation of L. amazonesis at a low IC50 of between 0.2 and 12.5 mu g ml(-1). The fungus Phaeosphaeria herpotrichoides displayed only leishmanicidal activity with an IC50 of 0.2 mu g ml(-1), which is equivalent to the inhibitory value of amphotericin B. The extract of Microdochium phragmitis displayed specific cytotoxic activity against the UACC-62 cell line with an IC50 value of 12.5 mu g ml(-1). Our results indicate that the unique angiosperms living in Antarctica shelter an interesting bioactive fungal community that is able to produce antiprotozoal and antitumoral molecules. These molecules may be used to develop new leishmanicidal and anticancer drugs.</t>
  </si>
  <si>
    <t>[Santiago, Iara F.; Rosa, Carlos A.; Rosa, Luiz H.] Univ Fed Minas Gerais, Dept Microbiol, Inst Ciencias Biol, BR-31270901 Belo Horizonte, MG, Brazil; [Alves, Tania M. A.; Zani, Carlos L.] Fundaco Oswaldo Cruz, Lab Quim Prod Nat, Belo Horizonte, MG, Brazil; [Rabello, Ana] Fundaco Oswaldo Cruz, Lab Pesquisas Clin, Belo Horizonte, MG, Brazil; [Sales Junior, Policarpo A.; Romanha, Alvaro J.] Fundaco Oswaldo Cruz, Lab Parasitol &amp; Celular Mol, Ctr Pesquisas Rene Rachou, Belo Horizonte, MG, Brazil</t>
  </si>
  <si>
    <t>Universidade Federal de Minas Gerais; Fundacao Oswaldo Cruz; Fundacao Oswaldo Cruz; Fundacao Oswaldo Cruz</t>
  </si>
  <si>
    <t>Rosa, LH (corresponding author), Univ Fed Minas Gerais, Dept Microbiol, Inst Ciencias Biol, POB 486, BR-31270901 Belo Horizonte, MG, Brazil.</t>
  </si>
  <si>
    <t>lhrosa@icb.ufmg.br</t>
  </si>
  <si>
    <t>Alves, Tania Maria A/B-4814-2009; Zani, Carlos Leomar/ABE-3936-2021; Zani, Carlos/A-9658-2008</t>
  </si>
  <si>
    <t>Almeida Alves, Tania Maria/0000-0002-0582-3968; Zani, Carlos/0000-0003-1859-177X</t>
  </si>
  <si>
    <t>Brazilian Antarctic Program; Marine of Brazil; Clube Alpino Paulista; Fundacao de Amparo a Pesquisa do Estado de Minas Gerais (FAPEMIG); Conselho Nacional de Desenvolvimento Cientifico e Tecnologico (CNPq)</t>
  </si>
  <si>
    <t>Brazilian Antarctic Program; Marine of Brazil; Clube Alpino Paulista; Fundacao de Amparo a Pesquisa do Estado de Minas Gerais (FAPEMIG)(Fundacao de Amparo a Pesquisa do Estado de Minas Gerais (FAPEMIG)); Conselho Nacional de Desenvolvimento Cientifico e Tecnologico (CNPq)(Conselho Nacional de Desenvolvimento Cientifico e Tecnologico (CNPQ))</t>
  </si>
  <si>
    <t>This study had financial and logistic support from the Brazilian Antarctic Program, Marine of Brazil and Clube Alpino Paulista. This work is part of the API activity 403 and contributes to Microbiological and Ecological Responses to Global Environmental Changes in Polar Regions and INCT Criosfera. The authors would also like to express our great appreciation to Isis Galliza, Daniela N.B. Maia, Luciana F. Soares, and Fernanda L. M. Francisco for performing biological activities. It was financially supported by the Fundacao de Amparo a Pesquisa do Estado de Minas Gerais (FAPEMIG) and Conselho Nacional de Desenvolvimento Cientifico e Tecnologico (CNPq).</t>
  </si>
  <si>
    <t>SPRINGER JAPAN KK</t>
  </si>
  <si>
    <t>SHIROYAMA TRUST TOWER 5F, 4-3-1 TORANOMON, MINATO-KU, TOKYO, 105-6005, JAPAN</t>
  </si>
  <si>
    <t>1433-4909</t>
  </si>
  <si>
    <t>10.1007/s00792-011-0409-9</t>
  </si>
  <si>
    <t>WOS:000298390900009</t>
  </si>
  <si>
    <t>Chen, Z; He, C; Hu, HH</t>
  </si>
  <si>
    <t>Chen, Zhuo; He, Chenliu; Hu, Hanhua</t>
  </si>
  <si>
    <t>Temperature responses of growth, photosynthesis, fatty acid and nitrate reductase in Antarctic and temperate Stichococcus</t>
  </si>
  <si>
    <t>Antarctica; Nitrate reductase; Photosynthesis; Psychrotolerants; Stichococcus; Temperature response</t>
  </si>
  <si>
    <t>PHYTOPLANKTON; ALGAE; TREBOUXIOPHYCEAE; PURIFICATION; CHLOROPHYTA; ADAPTATION; MICROALGAE</t>
  </si>
  <si>
    <t>Stichococcus, a genus of green algae, distributes in ice-free areas throughout Antarctica. To understand adaptive strategies of Stichococcus to permanently cold environments, the physiological responses to temperature of two psychrotolerants, S. bacillaris NJ-10 and S. minutus NJ-17, isolated from rock surfaces in Antarctica were compared with that of one temperate S. bacillaris FACHB753. Two Antarctic Stichococcus strains grew at temperature from 4 to 25A degrees C, while the temperate strain could grow above 30A degrees C but could not survive at 4A degrees C. The photosynthetic activity of FACHB753 at lower than 10A degrees C was less than that of Antarctic algae. Nitrate reductase in NJ-10 and NJ-17 had its optimal temperature at 20A degrees C, in comparison, the maximal activity of nitrate reductase in FACHB753 was found at 25A degrees C. When cultured at 4-15A degrees C a large portion of unsaturated fatty acids in the two Antarctic species was detected and the regulation of the degree of unsaturation of fatty acids by temperature was observed only above 15A degrees C, though the content of the major unsaturated fatty acid alpha C18:3 in FACHB753 decreased with the temperatures elevated from 10 to 25A degrees C. Elevated nitrate reductase activity and photosynthetic rates at low temperatures together with the high proportion of unsaturated fatty acids contribute to the ability of the Antarctic Stichococcus to thrive.</t>
  </si>
  <si>
    <t>[Chen, Zhuo; He, Chenliu; Hu, Hanhua] Chinese Acad Sci, Inst Hydrobiol, Wuhan 430072, Peoples R China; [Chen, Zhuo] Chinese Acad Sci, Grad Univ, Beijing 100049, Peoples R China</t>
  </si>
  <si>
    <t>Chinese Academy of Sciences; Institute of Hydrobiology, CAS; Chinese Academy of Sciences; University of Chinese Academy of Sciences, CAS</t>
  </si>
  <si>
    <t>Hu, HH (corresponding author), Chinese Acad Sci, Inst Hydrobiol, Wuhan 430072, Peoples R China.</t>
  </si>
  <si>
    <t>hanhuahu@ihb.ac.cn</t>
  </si>
  <si>
    <t>National Key Basic Research Project of China [2011CB200901]; National Natural Science Foundation of China [40606004]</t>
  </si>
  <si>
    <t>National Key Basic Research Project of China(National Basic Research Program of China); National Natural Science Foundation of China(National Natural Science Foundation of China (NSFC))</t>
  </si>
  <si>
    <t>This research was supported by the National Key Basic Research Project of China (2011CB200901) and National Natural Science Foundation of China (No. 40606004).</t>
  </si>
  <si>
    <t>CHIYODA FIRST BLDG EAST, 3-8-1 NISHI-KANDA, CHIYODA-KU, TOKYO, 101-0065, JAPAN</t>
  </si>
  <si>
    <t>10.1007/s00792-011-0412-1</t>
  </si>
  <si>
    <t>WOS:000298390900012</t>
  </si>
  <si>
    <t>Dobrica, E; Engrand, C; Leroux, H; Rouzaud, JN; Duprat, J</t>
  </si>
  <si>
    <t>Dobrica, E.; Engrand, C.; Leroux, H.; Rouzaud, J. -N.; Duprat, J.</t>
  </si>
  <si>
    <t>Transmission Electron Microscopy of CONCORDIA UltraCarbonaceous Antarctic MicroMeteorites (UCAMMs): Mineralogical properties</t>
  </si>
  <si>
    <t>GEOCHIMICA ET COSMOCHIMICA ACTA</t>
  </si>
  <si>
    <t>X-RAY-DIFFRACTION; COMET 81P/WILD-2; INTERPLANETARY DUST; ELEMENTAL COMPOSITIONS; CRYSTALLINE SILICATES; PROTOPLANETARY DISKS; CARBONACEOUS MATTER; MODAL MINERALOGY; SOLAR-SYSTEM; CHONDRITES</t>
  </si>
  <si>
    <t>We performed mineralogical and petrographic studies of three UltraCarbonaceous Antarctic Micrometeorites (UCAMMs) by analytical transmission electron microscopy (TEM). The UCAMMs were identified in the CONCORDIA micrometeorite collection (2002 and 2006) recovered from central Antarctic snow, and are of probable cometary origin. UCAMMs are dominated by disordered carbonaceous matter that extends over surfaces of up to similar to 90% of the particle. Embedded in this carbonaceous matter, we observed small and complex assemblages of fine-grained mineral phases, isolated minerals, glassy phases that resemble Glass with Embedded Metal and Sulfides (GEMS) that were first found in Interplanetary Dust Particles (IDPs), and rounded objects containing both glass and crystalline materials. The mineral assemblages are chondritic in composition, within a factor of 2. Crystalline materials represent at least 25% of mineral phases. This value is much larger than the upper limit of crystallinity measured in the diffuse interstellar medium (&lt; 2.2 wt%). Crystalline phases are dominated by low-Ca, Mg-rich pyroxenes, Mg-rich olivine and low-Ni Fe-sulfides. Exotic phases such as Mn-, Zn-rich sulfide and perryite have also been found as accessory minerals. The variety of high temperature mineral phases observed in UCAMMs is similar to that reported in chondritic porous IDPs and 81P/Wild 2 samples. The close association of high temperature crystalline phases with the low temperature carbonaceous matter in UCAMMs supports the hypothesis of a large-scale radial mixing in the early solar nebula. This new type of carbon-rich micrometeorites containing crystalline material provides the opportunity to analyze in situ, without any chemical processing, the association of materials formed at both low and high temperatures in the protoplanetary disk. A better knowledge of these samples is also important to prepare for future cometary missions, like ROSETTA in 2014. (C) 2011 Elsevier Ltd. All rights reserved.</t>
  </si>
  <si>
    <t>[Dobrica, E.; Engrand, C.; Duprat, J.] Univ Paris 11, CNRS, Ctr Spectrometrie Nucl &amp; Spectrometrie Masse, F-91405 Orsay, France; [Leroux, H.] Univ Lille 1, CNRS, UMR 8207, Unite Mat &amp; Transformat, F-59655 Villeneuve Dascq, France; [Rouzaud, J. -N.] Ecole Normale Super, CNRS, UMR 8538, Geol Lab, F-75231 Paris 5, France</t>
  </si>
  <si>
    <t>Universite Paris Saclay; Centre National de la Recherche Scientifique (CNRS); Centre National de la Recherche Scientifique (CNRS); CNRS - Institute of Chemistry (INC); Universite de Lille; Centre National de la Recherche Scientifique (CNRS); CNRS - National Institute for Earth Sciences &amp; Astronomy (INSU); Universite PSL; Ecole Normale Superieure (ENS)</t>
  </si>
  <si>
    <t>Dobrica, E (corresponding author), Univ New Mexico, Dept Earth &amp; Planetary Sci, MSC03-2040 1,Northrop Hall, Albuquerque, NM 87131 USA.</t>
  </si>
  <si>
    <t>edobrica@unm.edu</t>
  </si>
  <si>
    <t>Leroux, Hugues/S-4570-2017</t>
  </si>
  <si>
    <t>Leroux, Hugues/0000-0002-8806-8434; Dobrica, Elena/0000-0002-7653-3431; ROUZAUD, Jean-Noel/0000-0002-1933-2617</t>
  </si>
  <si>
    <t>European Marie Curie Research Training Network 'Origins' [MRTN-CT-2006-035519]; Centre National de la Recherche Scientifique (CNRS); ANR [05-JC05-51407]; INSU (PNP); IN2P3; Centre National d'Etudes Spatiales (CNES)</t>
  </si>
  <si>
    <t>European Marie Curie Research Training Network 'Origins'; Centre National de la Recherche Scientifique (CNRS)(Centre National de la Recherche Scientifique (CNRS)); ANR(Agence Nationale de la Recherche (ANR)); INSU (PNP); IN2P3; Centre National d'Etudes Spatiales (CNES)(Centre National D'etudes Spatiales)</t>
  </si>
  <si>
    <t>The authors thank L. Keller and H. Ishii for detailed reviews and suggestions which helped improve the manuscript. We thank Odile Kaitasov for advice and assistance with the CSNSM TEM. Julien Stodolna and Alexandre Mussi are thanked for helpful and constructive discussions. Scanning electron microscope was performed at CTU/IEF Minerve and IDES, Orsay Campus. The collection of micrometeorites was performed at Concordia Station and supported by the French and Italian polar institutes (IPEV and PNRA). We gratefully acknowledge their decisive logistic support. This research was supported by the European Marie Curie Research Training Network 'Origins' (MRTN-CT-2006-035519), Centre National de la Recherche Scientifique (CNRS), ANR grant 05-JC05-51407, INSU (PNP), IN2P3, and Centre National d'Etudes Spatiales (CNES).</t>
  </si>
  <si>
    <t>PERGAMON-ELSEVIER SCIENCE LTD</t>
  </si>
  <si>
    <t>OXFORD</t>
  </si>
  <si>
    <t>THE BOULEVARD, LANGFORD LANE, KIDLINGTON, OXFORD OX5 1GB, ENGLAND</t>
  </si>
  <si>
    <t>0016-7037</t>
  </si>
  <si>
    <t>1872-9533</t>
  </si>
  <si>
    <t>GEOCHIM COSMOCHIM AC</t>
  </si>
  <si>
    <t>Geochim. Cosmochim. Acta</t>
  </si>
  <si>
    <t>JAN 1</t>
  </si>
  <si>
    <t>10.1016/j.gca.2011.10.025</t>
  </si>
  <si>
    <t>Geochemistry &amp; Geophysics</t>
  </si>
  <si>
    <t>863FR</t>
  </si>
  <si>
    <t>WOS:000298148700005</t>
  </si>
  <si>
    <t>Bertrand, S; Hughen, KA; Sepúlveda, J; Pantoja, S</t>
  </si>
  <si>
    <t>Bertrand, Sebastien; Hughen, Konrad A.; Sepulveda, Julio; Pantoja, Silvio</t>
  </si>
  <si>
    <t>Geochemistry of surface sediments from the fjords of Northern Chilean Patagonia (44-47°S): Spatial variability and implications for paleoclimate reconstructions</t>
  </si>
  <si>
    <t>LAST GLACIAL MAXIMUM; ORGANIC-MATTER; SOUTHERN WESTERLIES; ISOTOPIC EVIDENCE; MARINE-SEDIMENTS; LATE PLEISTOCENE; HOLOCENE CHANGES; ICE-SHEET; RECORD; OCEAN</t>
  </si>
  <si>
    <t>The Patagonian fjords have a clear potential to provide high-resolution sedimentary and geochemical records of past climate and environmental change in the Southern Andes. To improve our ability to interpret these proxy records, we investigated the processes that control fjord sediment inorganic geochemistry through a geochemical, mineralogical and sedimentological analysis of surface sediment samples from the fjords of Northern Chilean Patagonia. A simple Terrestrial Index based on measurements of salinity and Fraction of Terrestrial Carbon was used to estimate the terrestrial input/river discharge at each site. Our results demonstrate that, under the cold climate conditions of Patagonia, chemical weathering is weak and the inorganic geochemical composition of the fjord sediments is primarily controlled by hydrodynamic mineralogical sorting, i.e., the intensity of river discharge. Our results suggest that the distribution of Fe, Ti and Zr in surface sediments is controlled by their association with heavy and/or coarse minerals, whereas Al is independent of hydrodynamic processes. The elemental ratios Fe/Al, Ti/Al and Zr/Al are therefore well suited for estimating changes in the energy of terrestrial sediment supply into the fjords through time. Zr/Al is particularly sensitive in proximal environments, while Fe/Al is most useful in the outer fjords and on the continental margin. In the most proximal environments, however, Fe/Al is inversely related to hydrodynamic conditions. Caution should therefore be exercised when interpreting Fe/Al ratios in terms of past river discharge. The application of these proxies to long sediment cores from Quitralco fjord and Golfo Elefantes validates our interpretations. Our results also emphasize the need to measure Al-based elemental ratios at high precision, which can be achieved using simultaneous acquisition ICP-AES technology. This study therefore constitutes a strong basis for the interpretation of sedimentary records from the Chilean Fjords. (C) 2011 Elsevier Ltd. All rights reserved.</t>
  </si>
  <si>
    <t>[Bertrand, Sebastien] Univ Ghent, Renard Ctr Marine Geol, B-9000 Ghent, Belgium; [Bertrand, Sebastien; Hughen, Konrad A.] Woods Hole Oceanog Inst, Woods Hole, MA 02543 USA; [Sepulveda, Julio] MIT, Dept Earth Atmospher &amp; Planetary Sci, Cambridge, MA 02139 USA; [Pantoja, Silvio] Univ Concepcion, Dept Oceanog, Ctr Oceanog Res Eastern S Pacific, Concepcion, Chile; [Pantoja, Silvio] Univ Concepcion, COPAS Sur Austral, Concepcion, Chile</t>
  </si>
  <si>
    <t>Ghent University; Woods Hole Oceanographic Institution; Massachusetts Institute of Technology (MIT); Universidad de Concepcion; Universidad de Concepcion</t>
  </si>
  <si>
    <t>Bertrand, S (corresponding author), Univ Ghent, Renard Ctr Marine Geol, Krijgslaan 281 S-8, B-9000 Ghent, Belgium.</t>
  </si>
  <si>
    <t>sbertrand@whoi.edu</t>
  </si>
  <si>
    <t>Sepúlveda, Julio/K-6268-2017; Sepúlveda, Julio/AAC-9956-2020; Sepulveda, Julio/K-8908-2013; Bertrand, Sebastien/G-9744-2011</t>
  </si>
  <si>
    <t>Sepúlveda, Julio/0000-0002-8251-6937; Sepúlveda, Julio/0000-0002-8251-6937; Bertrand, Sebastien/0000-0003-0374-4040</t>
  </si>
  <si>
    <t>Chilean National Oceanographic Committee (CONA) [C7F 01-10]; CONICYT [1070508]; Belgian American Educational Foundation; EU; Fundacion Andes through WHOI/University of Concepcion; Graduate School of the University of Concepcion</t>
  </si>
  <si>
    <t>Chilean National Oceanographic Committee (CONA); CONICYT(Comision Nacional de Investigacion Cientifica y Tecnologica (CONICYT)); Belgian American Educational Foundation; EU(European Union (EU)); Fundacion Andes through WHOI/University of Concepcion; Graduate School of the University of Concepcion</t>
  </si>
  <si>
    <t>We acknowledge the Chilean National Oceanographic Committee (CONA) for financial support to carry out the Cimar-7 Fiordo Program (Grant C7F 01-10 to Silvio Pantoja). The captain and crew of the AGOR Vidal Gormaz are thanked for their professional support during the expedition. The soil samples were collected during a fieldwork expedition led by Dr. Roberto Urrutia (EULA, Chile), with funding from CONICYT grant 1070508. We thank the curators of the Florida State University Antarctic Marine Geology Research Facility (Simon Nielsen and Lindsey Geary) and John Anderson (Rice University) for providing access to core JPC14. Marco Coolen and Edward Sholkovitz (WHOI) are acknowledged for supplying some of the material used for sample preparation. We are grateful to Maureen Auro, Joanne Goudreau and Olivier Rouxel (WHOI) for their help with the geochemical measurements by FAAS, to Steve Manganini (WHOI) for providing access to the coulometer, to Jan-Berend Stuut and Inka Meyer (MARUM, Bremen, Germany) for sharing the Coulter grain size analyzer, and to Nathalie Fagel (ULg, Belgium) for allowing us to use the x-ray diffractometer. Carina Lange (COPAS, Chile) provided useful comments on an earlier version of this manuscript. This research was supported by a BAEF fellowship (Belgian American Educational Foundation) and an EU FP6 Marie Curie Outgoing Fellowship to S. Bertrand. J. Sepulveda was supported by Fundacion Andes through the WHOI/University of Concepcion agreement, and by a scholarship from the Graduate School of the University of Concepcion. S. Bertrand is currently a postdoctoral fellow of the Flemish Research Foundation of Belgium. M. Kaplan and one anonymous reviewer are acknowledged for providing constructive reviews.</t>
  </si>
  <si>
    <t>10.1016/j.gca.2011.10.028</t>
  </si>
  <si>
    <t>Green Submitted, Green Published</t>
  </si>
  <si>
    <t>WOS:000298148700009</t>
  </si>
  <si>
    <t>Vázquez, GE; Grejner-Brzeziska, DA</t>
  </si>
  <si>
    <t>Vazquez B, Guadalupe Esteban; Grejner-Brzeziska, Dorota A.</t>
  </si>
  <si>
    <t>A case of study for Pseudorange multipath estimation and analysis: TAMDEF GPS network</t>
  </si>
  <si>
    <t>GEOFISICA INTERNACIONAL</t>
  </si>
  <si>
    <t>Pseudorange; multipath; GPS; TAMDEF; Antarctica</t>
  </si>
  <si>
    <t>A research study was conducted to evaluate the amount of pseudorange multipath from GPS (Global Positioning System) observables at TAMDEF (Trans Antarctic Mountain Deformation) network, located in Victoria Land, Antarctica consisting of 33 GPS stations. It is well known that, despite carefully selected locations, the GPS stations are to some extent, affected by the presence of multipath. Pseudorange multipath effect for GPS measurements could be a potential contributor that might have an impact on the TAMDEF stations positioning. Thus, the root mean squared error variations (MP1-RMS and MP2-RMS) were estimated and analyzed in order to identify the most and least affected sites, considering GPS data span from year 1996 to year 2006. McMurdo (MCM4) IGS (The International GNSS Service for Geodynamics, formerly the International GPS Service) site, was adopted as part of the TAMDEF network, since MCM4 is the primary ITRF (International Terrestrial Reference Frame) access point for this part of Antarctica.</t>
  </si>
  <si>
    <t>[Vazquez B, Guadalupe Esteban] Univ Autonoma Sinaloa, Escuela Ciencias Tierra, Culiacan, Mexico; [Grejner-Brzeziska, Dorota A.] Ohio State Univ, Satellite Positioning &amp; Inertial Nav SPIN Lab, Columbus, OH 43210 USA</t>
  </si>
  <si>
    <t>Universidad Autonoma de Sinaloa; University System of Ohio; Ohio State University</t>
  </si>
  <si>
    <t>Vázquez, GE (corresponding author), Univ Autonoma Sinaloa, Escuela Ciencias Tierra, Culiacan, Mexico.</t>
  </si>
  <si>
    <t>estebanv_99@yahoo.com</t>
  </si>
  <si>
    <t>Vazquez, Esteban/0000-0002-8456-537X</t>
  </si>
  <si>
    <t>INST GEOPHYSICS UNAM</t>
  </si>
  <si>
    <t>MEXICO</t>
  </si>
  <si>
    <t>APDO POSTAL 22-118, DEL TLALPAN, MEXICO, 14000 D F, MEXICO</t>
  </si>
  <si>
    <t>0016-7169</t>
  </si>
  <si>
    <t>GEOFIS INT</t>
  </si>
  <si>
    <t>Geofis. Int.</t>
  </si>
  <si>
    <t>JAN-MAR</t>
  </si>
  <si>
    <t>871MC</t>
  </si>
  <si>
    <t>WOS:000298741200005</t>
  </si>
  <si>
    <t>Lorenzini, S; Baneschi, I; Fallick, AE; Salvatore, MC; Zanchetta, G; Dallai, L; Baroni, C</t>
  </si>
  <si>
    <t>Lorenzini, Sandra; Baneschi, Ilaria; Fallick, Anthony E.; Salvatore, Maria Cristina; Zanchetta, Giovanni; Dallai, Luigi; Baroni, Carlo</t>
  </si>
  <si>
    <t>Insights into the Holocene environmental setting of Terra Nova Bay region (Ross Sea, Antarctica) from oxygen isotope geochemistry of Adelie penguin eggshells</t>
  </si>
  <si>
    <t>HOLOCENE</t>
  </si>
  <si>
    <t>Adelie penguins; Antarctica; Holocene; oxygen isotope; palaeoenvironment</t>
  </si>
  <si>
    <t>NORTHERN VICTORIA-LAND; BONE PHOSPHATE; STABLE-ISOTOPES; SOUTHERN-OCEAN; CLIMATE-CHANGE; CARBON; RATES; WATER; ICE; FRACTIONATION</t>
  </si>
  <si>
    <t>An oxygen isotope record of Adelie penguin (Pygoscelis adeliae) eggshells from Terra Nova Bay (Victoria Land, Antarctica) has been reconstructed in order to provide insights into the palaeoenviroment of this region during the last similar to 8000 years. The delta(18)O values measured in eggshell carbonate show a great variability over the course of the studied period, with maximum values consistently around +27.5%. Adopting a metabolic enrichment relative to water source of similar to+28.5%, eggshell delta(18)O values can be interpreted in terms of marine water uptake by the penguins. The spread in delta(18)O of eggshell carbonate at any given time toward more negative values reflects the existence of a low delta(18)O water end member, most plausibly snow or snowmelt. Samples younger than 2000 years are characterized by a general lack of very negative delta(18)O values. As also attested by other proxies, this shift toward more positive isotopic values is likely to be related both to a decreasing contribution of snow or meltwater in the seawaters and consequently to an absence or paucity on the boundary of the nesting sites of snow or snowfall and freshwater that could be directly eaten or drunk by penguins.</t>
  </si>
  <si>
    <t>[Lorenzini, Sandra] Univ Pisa, Dipartimento Sci Terra, I-56126 Pisa, Italy; [Baneschi, Ilaria; Zanchetta, Giovanni; Dallai, Luigi; Baroni, Carlo] CNR, Ist Geosci &amp; Georisorse, I-00185 Rome, Italy; [Salvatore, Maria Cristina] Univ Roma La Sapienza, Rome, Italy</t>
  </si>
  <si>
    <t>University of Pisa; Consiglio Nazionale delle Ricerche (CNR); Istituto di Geoscienze e Georisorse (IGG-CNR); Sapienza University Rome</t>
  </si>
  <si>
    <t>Lorenzini, S (corresponding author), Univ Pisa, Dipartimento Sci Terra, Via S Maria 53, I-56126 Pisa, Italy.</t>
  </si>
  <si>
    <t>lorenzini@dst.unipi.it</t>
  </si>
  <si>
    <t>Baneschi, Ilaria/AAC-1935-2021; Salvatore, Maria Cristina/AAS-4000-2020; Lorenzini, Sandra/B-8963-2013; Baroni, Carlo/D-8184-2012</t>
  </si>
  <si>
    <t>Baneschi, Ilaria/0000-0001-6924-1599; Salvatore, Maria Cristina/0000-0002-1590-7284; Baroni, Carlo/0000-0001-5905-4650; Dallai, Luigi/0000-0002-1514-5013; Fallick, Anthony/0000-0002-7649-6167; Zanchetta, Giovanni/0000-0002-7080-9599</t>
  </si>
  <si>
    <t>Italian National Program on Antarctic Research (PNRA); PhD School in Earth Sciences of the University of Pisa</t>
  </si>
  <si>
    <t>Italian National Program on Antarctic Research (PNRA)(Ministry of Education, Universities and Research (MIUR)); PhD School in Earth Sciences of the University of Pisa</t>
  </si>
  <si>
    <t>This work was executed mainly under the financial support of the Italian National Program on Antarctic Research (PNRA) and of the PhD School in Earth Sciences of the University of Pisa. Isotopic analyses were performed at the SUERC of East Kilbride (Scotland). We particularly thank Julie Dougans and Andrew Tait for their irreplaceable technical support and supervision in stable isotope analyses at SUERC.</t>
  </si>
  <si>
    <t>SAGE PUBLICATIONS LTD</t>
  </si>
  <si>
    <t>LONDON</t>
  </si>
  <si>
    <t>1 OLIVERS YARD, 55 CITY ROAD, LONDON EC1Y 1SP, ENGLAND</t>
  </si>
  <si>
    <t>0959-6836</t>
  </si>
  <si>
    <t>Holocene</t>
  </si>
  <si>
    <t>10.1177/0959683611409773</t>
  </si>
  <si>
    <t>Geography, Physical; Geosciences, Multidisciplinary</t>
  </si>
  <si>
    <t>Physical Geography; Geology</t>
  </si>
  <si>
    <t>866BF</t>
  </si>
  <si>
    <t>WOS:000298353900007</t>
  </si>
  <si>
    <t>Miura, A; Saito, Y; Tazawa, Y; Fukuoka, T; Noguchi, T; Motoyama, H</t>
  </si>
  <si>
    <t>Miura, A.; Saito, Y.; Tazawa, Y.; Fukuoka, T.; Noguchi, T.; Motoyama, H.</t>
  </si>
  <si>
    <t>Micrometeorites in Antarctic ice detected by Ir: estimation of 120k year old accretion rate</t>
  </si>
  <si>
    <t>JOURNAL OF RADIOANALYTICAL AND NUCLEAR CHEMISTRY</t>
  </si>
  <si>
    <t>Article; Proceedings Paper</t>
  </si>
  <si>
    <t>13th International Conference on Modern Trends in Activation Analysis</t>
  </si>
  <si>
    <t>MAR 13-18, 2011</t>
  </si>
  <si>
    <t>College Station, TX</t>
  </si>
  <si>
    <t>Micrometeorite; Accretion rate; Ir; INAA; Ice shards; Dome Fuji Station</t>
  </si>
  <si>
    <t>COSMIC DUST; EXTRATERRESTRIAL</t>
  </si>
  <si>
    <t>The accretion rate of micrometeorites (MMs) was estimated from Ir contents in snow around Dome Fuji Station and ice shards obtained during ice core drilling at Dome Fuji Station, Antarctica. The snow and ice shards were melted and filtered from the residues. Although MMs were not found on filters, we tried to detect them from the residues as Ir peaks determined by instrumental neutron activation analysis (INAA). Although Ir is very rare in the earth's crust, its concentration is high in extraterrestrial matter (e.g., chondrites). Trace amounts of Ir can be easily detected by INAA, because the cross section of Ir is relatively large (e.g., 309 barn). The accretion rates were estimated for 120k year ago, 5k year ago and at present, as (3.2 +/- A 0.9) x 10(2) t/year (8.6 +/- A 0.18) x 10(3) t/year and (1.3 +/- A 0.10) x 10(3) t/year, respectively. These estimates were comparable to those of previous studies, however the rate of 120k year ago was approximately an order of magnitudes lower than the others.</t>
  </si>
  <si>
    <t>[Miura, A.; Tazawa, Y.; Fukuoka, T.] Rissho Univ, Fac Geoenvironm Sci, Kumagaya, Saitama 3600194, Japan; [Saito, Y.] Aoyama Gakuin Univ, Coll Sci &amp; Engn, Radio Isotope Lab, Sagamihara, Kanagawa 2525258, Japan; [Noguchi, T.] Ibaraki Univ, Coll Sci, Mito, Ibaraki 3108512, Japan; [Motoyama, H.] Natl Inst Polar Res, Tachikawa, Tokyo 1908518, Japan</t>
  </si>
  <si>
    <t>Aoyama Gakuin University; Ibaraki University; Research Organization of Information &amp; Systems (ROIS); National Institute of Polar Research (NIPR) - Japan</t>
  </si>
  <si>
    <t>Fukuoka, T (corresponding author), Rissho Univ, Fac Geoenvironm Sci, 1700 Magechi, Kumagaya, Saitama 3600194, Japan.</t>
  </si>
  <si>
    <t>tfukuoka@ris.ac.jp</t>
  </si>
  <si>
    <t>Noguchi, Takaaki/IWV-1123-2023</t>
  </si>
  <si>
    <t>Noguchi, Takaaki/0000-0001-7211-2595</t>
  </si>
  <si>
    <t>Institute-University Laboratory; Institute for Cosmic Ray Research, University of Tokyo; Grants-in-Aid for Scientific Research [22224010] Funding Source: KAKEN</t>
  </si>
  <si>
    <t>Institute-University Laboratory; Institute for Cosmic Ray Research, University of Tokyo; Grants-in-Aid for Scientific Research(Ministry of Education, Culture, Sports, Science and Technology, Japan (MEXT)Japan Society for the Promotion of ScienceGrants-in-Aid for Scientific Research (KAKENHI))</t>
  </si>
  <si>
    <t>Authors thank Ms. H. Kusuno for drawing figure and typing manuscript. Authors thank also Dr. T. Hasenaka for review of English. Frey counting system were maintained by Ms. K. Nagata. This work has been supported by the Institute-University Laboratory for Joint use of JAEA Facilities, and also by the Institute for Cosmic Ray Research, University of Tokyo. We thank Japan Antarctic Research Expedition Team working at Dome Fuji for providing the samples in this work.</t>
  </si>
  <si>
    <t>SPRINGER</t>
  </si>
  <si>
    <t>DORDRECHT</t>
  </si>
  <si>
    <t>VAN GODEWIJCKSTRAAT 30, 3311 GZ DORDRECHT, NETHERLANDS</t>
  </si>
  <si>
    <t>0236-5731</t>
  </si>
  <si>
    <t>1588-2780</t>
  </si>
  <si>
    <t>J RADIOANAL NUCL CH</t>
  </si>
  <si>
    <t>J. Radioanal. Nucl. Chem.</t>
  </si>
  <si>
    <t>10.1007/s10967-011-1312-7</t>
  </si>
  <si>
    <t>Chemistry, Analytical; Chemistry, Inorganic &amp; Nuclear; Nuclear Science &amp; Technology</t>
  </si>
  <si>
    <t>Science Citation Index Expanded (SCI-EXPANDED); Conference Proceedings Citation Index - Science (CPCI-S)</t>
  </si>
  <si>
    <t>Chemistry; Nuclear Science &amp; Technology</t>
  </si>
  <si>
    <t>861HU</t>
  </si>
  <si>
    <t>WOS:000298010800037</t>
  </si>
  <si>
    <t>Luo, ZC; Li, Q; Zhang, K; Wang, HH</t>
  </si>
  <si>
    <t>Luo ZhiCai; Li Qiong; Zhang Kun; Wang HaiHong</t>
  </si>
  <si>
    <t>Trend of mass change in the Antarctic ice sheet recovered from the GRACE temporal gravity field</t>
  </si>
  <si>
    <t>SCIENCE CHINA-EARTH SCIENCES</t>
  </si>
  <si>
    <t>GRACE; temporal gravity field; Antarctic ice sheet; mass variation</t>
  </si>
  <si>
    <t>GLACIAL ISOSTATIC-ADJUSTMENT; WATER STORAGE; SEA-LEVEL; SURFACE; SYSTEM; EARTH; MODEL</t>
  </si>
  <si>
    <t>It is important to quantify mass variations in the Antarctic ice sheet to study the global sea-level rise and climate change. A hybrid filtering scheme employing a combination of the decorrelated filter P3M6 and 300 km Fan filter was used, and the surface mass variations over the Antarctic are recovered from GRACE CSR RL04 monthly gravity field models from August 2002 to June 2010. After deduction of leakage errors using the GLDAS hydrological model and postglacial rebound effects using the glacial isostatic adjustment model IJ05, the variations in the ice sheet mass are obtained. The results reveal that the rate of melting of the Antarctic ice sheet is 80.0 Gt/a and increasing and contributes 0.22 mm/a to the global sea-level rise; the mass loss rate is 78.3 Gt/a in the West Antarctic and 1.6 Gt/a in the East Antarctic. The average mass loss rate increases from 39.3 Gt/a for the period 2002-2005 to 104.2 Gt/a for the period 2006-2010, and its corresponding contribution to the global sea-level rise increases from 0.11 to 0.29 mm/a, which indicates accelerated ice mass loss over the Antarctic since 2006. Moreover, the mass accumulation rates for Enderby Land and Wilkes Land along the coast of East Antarctica decrease for the period 2006-2008 but increase evidently after 2009.</t>
  </si>
  <si>
    <t>[Luo ZhiCai; Li Qiong; Zhang Kun; Wang HaiHong] Wuhan Univ, Sch Geodesy &amp; Geomat, Wuhan 430079, Peoples R China; [Luo ZhiCai; Wang HaiHong] Minist Educ, Key Lab Geospace Environm &amp; Geodesy, Wuhan 430079, Peoples R China; [Luo ZhiCai] State Key Lab Informat Engn Surveying Mapping &amp; R, Wuhan 430079, Peoples R China</t>
  </si>
  <si>
    <t>Wuhan University</t>
  </si>
  <si>
    <t>Luo, ZC (corresponding author), Wuhan Univ, Sch Geodesy &amp; Geomat, Wuhan 430079, Peoples R China.</t>
  </si>
  <si>
    <t>zhcluo@sgg.whu.edu.cn</t>
  </si>
  <si>
    <t>Luo, Zhicai/GSE-0602-2022; Wang, Haihong/ABF-5340-2021</t>
  </si>
  <si>
    <t>Wang, Haihong/0000-0002-0106-8360</t>
  </si>
  <si>
    <t>National Basic Research Program of China [2007CB714405]; National Natural Science Foundation of China [40874002]; Program for New Century Excellent Talents in University [NCET-07-0635]</t>
  </si>
  <si>
    <t>National Basic Research Program of China(National Basic Research Program of China); National Natural Science Foundation of China(National Natural Science Foundation of China (NSFC)); Program for New Century Excellent Talents in University(Program for New Century Excellent Talents in University (NCET))</t>
  </si>
  <si>
    <t>The authors are grateful to the anonymous reviewers for their valuable suggestions and to the Center for Space Research, University of Texas, Austin, TX, USA for providing the GRACE RL04 monthly gravity field model. This work was supported by the National Basic Research Program of China (Grant No. 2007CB714405), the National Natural Science Foundation of China (Grant No. 40874002) and the Program for New Century Excellent Talents in University (Grant No. NCET-07-0635).</t>
  </si>
  <si>
    <t>SCIENCE PRESS</t>
  </si>
  <si>
    <t>BEIJING</t>
  </si>
  <si>
    <t>16 DONGHUANGCHENGGEN NORTH ST, BEIJING 100717, PEOPLES R CHINA</t>
  </si>
  <si>
    <t>1674-7313</t>
  </si>
  <si>
    <t>1869-1897</t>
  </si>
  <si>
    <t>SCI CHINA EARTH SCI</t>
  </si>
  <si>
    <t>Sci. China-Earth Sci.</t>
  </si>
  <si>
    <t>10.1007/s11430-011-4275-1</t>
  </si>
  <si>
    <t>Geosciences, Multidisciplinary</t>
  </si>
  <si>
    <t>Geology</t>
  </si>
  <si>
    <t>874OG</t>
  </si>
  <si>
    <t>WOS:000298967300008</t>
  </si>
  <si>
    <t>Mortimer, E; Van Vuuren, BJ; Meiklejohn, KI; Chown, SL</t>
  </si>
  <si>
    <t>Mortimer, Elizabeth; Van Vuuren, Bettine Jansen; Meiklejohn, K. Ian; Chown, Steven L.</t>
  </si>
  <si>
    <t>Phylogeography of a mite, Halozetes fulvus, reflects the landscape history of a young volcanic island in the sub-Antarctic</t>
  </si>
  <si>
    <t>BIOLOGICAL JOURNAL OF THE LINNEAN SOCIETY</t>
  </si>
  <si>
    <t>biogeography; COI; geomorphology; Marion Island; Prince Edward Islands; rarefaction analyses</t>
  </si>
  <si>
    <t>SPRINGTAIL GOMPHIOCEPHALUS-HODGSONI; SPECIES RICHNESS ESTIMATORS; MARION-ISLAND; VICTORIA LAND; BOTHROMETOPUS-HUNTLEYI; ADAPTIVE RADIATION; INDIAN-OCEAN; DISPERSAL; CURCULIONIDAE; COLEOPTERA</t>
  </si>
  <si>
    <t>Previous studies of the microarthropods of Marion Island, Southern Ocean, documented high mitochondrial COI (cytochrome c oxidase subunit I) haplotype diversity and significant genetic structure, which were ascribed to landscape subdivision. In this paper we revisit these ideas in light of new geomorphological evidence indicating a major lineament orientated along N26.5 degrees E. Using the microarthropod Halozetes fulvus, we test the hypothesis that the eastern and western sides of the island show different population genetic patterns, corresponding to the previously unrecognized geological separation of these regions, and perhaps also with differences in climates across the island and further landscape complexity. Mitochondrial COI data were collected for 291 H. fulvus individuals from 30 localities across the island. Notwithstanding our sampling effort, haplotype diversity was under-sampled as indicated by rarefaction analyses. Overall, significant genetic structure was found across the island as indicated by FST analyses. Nested clade phylogeographical analyses suggested that restricted gene flow (with isolation-by-distance) played a role in shaping current genetic patterns, as confirmed by Mantel tests. At the local scale, coalescent modelling revealed two different genetic patterns. The first, characterizing populations on the south-western corner of the island, was that of low effective population size and high gene flow. The converse was found on the eastern side of Marion Island. Taken together, substantial differences in spatial genetic structure characterize H. fulvus populations across Marion Island, in keeping with the hypothesis that the complex history of the island, including the N26.5 degrees E geological lineament, has influenced population genetic structure. (C) 2011 The Linnean Society of London, Biological Journal of the Linnean Society, 2012, 105, 131145.</t>
  </si>
  <si>
    <t>[Mortimer, Elizabeth; Van Vuuren, Bettine Jansen] Univ Stellenbosch, Evolutionary Genom Grp, Dept Bot &amp; Zool, ZA-7602 Matieland, South Africa; [Van Vuuren, Bettine Jansen; Chown, Steven L.] Univ Stellenbosch, Ctr Invas Biol, Dept Bot &amp; Zool, ZA-7602 Matieland, South Africa; [Meiklejohn, K. Ian] Rhodes Univ, Dept Geog, ZA-6140 Grahamstown, South Africa</t>
  </si>
  <si>
    <t>Stellenbosch University; Stellenbosch University; Rhodes University</t>
  </si>
  <si>
    <t>Van Vuuren, BJ (corresponding author), Univ Stellenbosch, Evolutionary Genom Grp, Dept Bot &amp; Zool, Private Bag X1, ZA-7602 Matieland, South Africa.</t>
  </si>
  <si>
    <t>bjvv@sun.ac.za</t>
  </si>
  <si>
    <t>Meiklejohn, Ian/F-3183-2012; Chown, Steven/ABD-7646-2021; Jansen van Vuuren, Bettine/E-6227-2013; Chown, Steven/H-3347-2011</t>
  </si>
  <si>
    <t>Meiklejohn, Ian/0000-0001-8890-2938; Jansen van Vuuren, Bettine/0000-0002-5334-5358; Chown, Steven/0000-0001-6069-5105</t>
  </si>
  <si>
    <t>NRF SANAP [SNA2004070900002, SNA2005061300001]</t>
  </si>
  <si>
    <t>NRF SANAP</t>
  </si>
  <si>
    <t>We thank Justine Shaw, Savel Daniels, Peter Convey, Philip Pugh, and two anonymous reviewers for discussion and useful comments on earlier drafts of the manuscript. This work was supported by NRF SANAP Grant SNA2004070900002 (B. v. V.) and SNA2005061300001 (K. I. M.), and in the field by the logistic services of the South African National Antarctic Programme. We are especially grateful to Jacques Deere, Richard Mercer, and Niek Gremmen for their assistance in the field.</t>
  </si>
  <si>
    <t>OXFORD UNIV PRESS</t>
  </si>
  <si>
    <t>GREAT CLARENDON ST, OXFORD OX2 6DP, ENGLAND</t>
  </si>
  <si>
    <t>0024-4066</t>
  </si>
  <si>
    <t>1095-8312</t>
  </si>
  <si>
    <t>BIOL J LINN SOC</t>
  </si>
  <si>
    <t>Biol. J. Linnean Soc.</t>
  </si>
  <si>
    <t>10.1111/j.1095-8312.2011.01770.x</t>
  </si>
  <si>
    <t>Evolutionary Biology</t>
  </si>
  <si>
    <t>857SP</t>
  </si>
  <si>
    <t>hybrid</t>
  </si>
  <si>
    <t>WOS:000297740100009</t>
  </si>
  <si>
    <t>Torrecillas, C; Berrocoso, M; Pérez-López, R; Torrecillas, MD</t>
  </si>
  <si>
    <t>Torrecillas, C.; Berrocoso, M.; Perez-Lopez, R.; Torrecillas, M. D.</t>
  </si>
  <si>
    <t>Determination of volumetric variations and coastal changes due to historical volcanic eruptions using historical maps and remote-sensing at Deception Island (West-Antarctica)</t>
  </si>
  <si>
    <t>GEOMORPHOLOGY</t>
  </si>
  <si>
    <t>Volcanic eruption; Volumetric estimation; Coastal changes; Geographical Information System</t>
  </si>
  <si>
    <t>Deception Island is an active volcano in the South Shetland Islands (Antarctic). Its eruptions have been recorded since 1842, the last episode occurring between 1967 and 1970. This study quantifies the geomorphological changes which have taken place as a result of historical volcanic activity on the island. The linear and volumetric results obtained for the Telefon Bay and Craters of 1970s where the Surtseyan eruption took place in 1967 are presented in detail. (C) 2011 Elsevier B.V. All rights reserved.</t>
  </si>
  <si>
    <t>[Torrecillas, C.; Torrecillas, M. D.] Univ Seville, Dept Ingn Graf, Escuela Tecn Super Ingenieros, Seville 41092, Spain; [Berrocoso, M.] Univ Cadiz, Lab Astron Geodesia &amp; Cartog, Cadiz 11510, Spain; [Perez-Lopez, R.] IGME, Dpto Invest &amp; Prospect Geocient, Madrid 28003, Spain</t>
  </si>
  <si>
    <t>University of Sevilla; Universidad de Cadiz; Consejo Superior de Investigaciones Cientificas (CSIC); CSIC-UCM - Instituto de Astronomia y Geodesia (IAG)</t>
  </si>
  <si>
    <t>Torrecillas, C (corresponding author), Univ Seville, Dept Ingn Graf, Escuela Tecn Super Ingenieros, Av Descubrimientos S-N, Seville 41092, Spain.</t>
  </si>
  <si>
    <t>torrecillas@us.es; manuel.berrocoso@uca.es; r.perez@igme.es; mtorrecillas@us.es</t>
  </si>
  <si>
    <t>Silva, Pablo G./ABG-7664-2020; Torrecillas, Cristina/D-9178-2011; Perez, Raul/P-3485-2014; BERROCOSO, MANUEL/O-3818-2014</t>
  </si>
  <si>
    <t>Silva, Pablo G./0000-0003-1470-292X; Torrecillas, Cristina/0000-0002-3650-3174; Perez, Raul/0000-0002-9132-4806; BERROCOSO, MANUEL/0000-0002-1878-9658</t>
  </si>
  <si>
    <t>Spanish Ministry of Education and Science [CGL2005-07589-C03-01/ANT, CGL2004-21547-E, CGL2007-28768-E/ANT, CTM2009-07251]</t>
  </si>
  <si>
    <t>Spanish Ministry of Education and Science(Spanish Government)</t>
  </si>
  <si>
    <t>This geodetic research has been carried out with the support of the Spanish Ministry of Education and Science as part of the National Antarctic Program: Volcanotectonic activity on Deception Island: geodetic, geophysical investigations and Remote Sensing on Deception Island and its surroundings (VOLTEDEC, CGL2005-07589-C03-01/ANT); Geodetic Control of the volcanic activity on Deception Island (CONGEODEC, CGL2004-21547-E), Geodetic monitoring of the volcanic activity on Deception Island (SEGAVDEC, CGL2007-28768-E/ANT) and Geodetic and geothermal researches, time serial analysis and volcanic innovation in Antarctica (South Shetland Islands and Antarctic peninsula) (GEOTINANT, CTM2009-07251). Also, we would like to thank to the spanish Centro Geografico del Ejercito for their colaboration.</t>
  </si>
  <si>
    <t>ELSEVIER</t>
  </si>
  <si>
    <t>AMSTERDAM</t>
  </si>
  <si>
    <t>RADARWEG 29, 1043 NX AMSTERDAM, NETHERLANDS</t>
  </si>
  <si>
    <t>0169-555X</t>
  </si>
  <si>
    <t>1872-695X</t>
  </si>
  <si>
    <t>Geomorphology</t>
  </si>
  <si>
    <t>SI</t>
  </si>
  <si>
    <t>10.1016/j.geomorph.2011.06.017</t>
  </si>
  <si>
    <t>859JO</t>
  </si>
  <si>
    <t>Green Published</t>
  </si>
  <si>
    <t>WOS:000297872900002</t>
  </si>
  <si>
    <t>Calise, L; Knutsen, T</t>
  </si>
  <si>
    <t>Calise, Lucio; Knutsen, Tor</t>
  </si>
  <si>
    <t>Multifrequency target strength of northern krill (Meganyctiphanes norvegica) swimming horizontally</t>
  </si>
  <si>
    <t>ICES JOURNAL OF MARINE SCIENCE</t>
  </si>
  <si>
    <t>EK60; krill; Meganyctiphanes norvegica; mesocosm; multifrequency acoustics; swimming speed; target strength; TS frequency response</t>
  </si>
  <si>
    <t>ANTARCTIC KRILL; EUPHAUSIA-SUPERBA; IN-SITU; ACOUSTIC SCATTERING; IMPROVED PARAMETERIZATION; SOUND-SCATTERING; ZOOPLANKTON; BEHAVIOR; BEAM; BACKSCATTERING</t>
  </si>
  <si>
    <t>Multifrequency acoustic measurements on ex situ horizontally swimming krill were made in a novel experimental setting. An ensemble of northern krill (Meganyctiphanes norvegica) was introduced to a large enclosure (a mesocosm), and acoustic backscatter was sampled using a multifrequency (70, 120, and 200 kHz) echosounder (Simrad EK60). Two submerged lamps were placed at opposite sides of the mesocosm and switched on and off to induce the krill, by light attraction, to swim horizontally through the acoustic beams. By tracking echoes, animal displacement, swimming speed, and target strength (TS) by frequency were estimated. The dominant and secondary modes of the total-length distribution were 21.8 +/- 3.0 and 27.8 +/- 2.7 mm, respectively. Although krill orientation was assumed stable and the ping rate was high, the range and inter-ping variability of the average TS values were large, decreasing and increasing with frequency, respectively. The overall TS frequency response observed and concurrent measurements at 120 and 200 kHz confirm the theoretical expectation that the acoustic backscatter from the investigated organisms were confined to the Rayleigh and Geometric scattering regions, a finding that might both aid acoustic identification and size-group separation of in situ northern krill.</t>
  </si>
  <si>
    <t>[Calise, Lucio] Univ Bergen, Dept Phys &amp; Technol, N-5007 Bergen, Norway; [Calise, Lucio; Knutsen, Tor] Inst Marine Res, N-5817 Bergen, Norway</t>
  </si>
  <si>
    <t>University of Bergen; Institute of Marine Research - Norway</t>
  </si>
  <si>
    <t>Calise, L (corresponding author), Univ Bergen, Dept Phys &amp; Technol, Allegaten 55, N-5007 Bergen, Norway.</t>
  </si>
  <si>
    <t>lucio@imr.no</t>
  </si>
  <si>
    <t>Knutsen, Tor/0000-0003-3531-5611</t>
  </si>
  <si>
    <t>Research Council of Norway [178447, 190318/S40]; University of Bergen</t>
  </si>
  <si>
    <t>Research Council of Norway(Research Council of Norway); University of Bergen</t>
  </si>
  <si>
    <t>The Institute of Marine Research (IMR) and Webjorn Melle are thanked for making the fieldwork possible through its project New feed resources for the aquaculture industry. IMR's Arve Kristiansen and Harald Fitje helped during the experimental work and provided elegant mechanical solutions on transducer rig, respectively, and Are Johansen and Frank Reier Knudsen at Simrad AS provided support through all phases of the experiments, making parts of the acoustic system available. The Research Council of Norway gave financial support through the projects HARVEST (project 178447) and WESTZOO (project 190318/S40). The authors conducted the fieldwork and participated equally in the development of concepts and manuscript writing. LC undertook the substantial analysis of acoustic data, receiving financial support from the University of Bergen under its PhD fellowship programme. Dave Demer and an anonymous reviewer are sincerely thanked for their valued comments on the submitted work. The work is a contribution to the Barents and Norwegian Sea Ecosystem Programmes at IMR.</t>
  </si>
  <si>
    <t>1054-3139</t>
  </si>
  <si>
    <t>ICES J MAR SCI</t>
  </si>
  <si>
    <t>ICES J. Mar. Sci.</t>
  </si>
  <si>
    <t>10.1093/icesjms/fsr170</t>
  </si>
  <si>
    <t>Fisheries; Marine &amp; Freshwater Biology; Oceanography</t>
  </si>
  <si>
    <t>859HK</t>
  </si>
  <si>
    <t>Bronze</t>
  </si>
  <si>
    <t>WOS:000297867300015</t>
  </si>
  <si>
    <t>Polanowski, AM; Robinson-Laverick, SM; Paton, D; Jarman, SN</t>
  </si>
  <si>
    <t>Polanowski, Andrea M.; Robinson-Laverick, Sarah M.; Paton, David; Jarman, Simon N.</t>
  </si>
  <si>
    <t>Variation in the Tyrosinase Gene Associated with a White Humpback Whale (Megaptera novaeangliae)</t>
  </si>
  <si>
    <t>JOURNAL OF HEREDITY</t>
  </si>
  <si>
    <t>albinism; frameshift; humpback whale; tyrosinase</t>
  </si>
  <si>
    <t>IA OCULOCUTANEOUS ALBINISM; NONSENSE MUTATION</t>
  </si>
  <si>
    <t>Tyrosinase-negative oculocutaneous albinism (OCA1A) is characterized by lifelong white hair and skin, a phenotype that has been described in most mammalian species worldwide. Tyrosinase is the key enzyme in melanin biosynthesis, and mutations in the tyrosinase gene result in OCA1A. We examined sequence variation at exon 1 of the tyrosinase gene in 66 humpback whale samples collected from the east coast of Australia, including an anomalously white humpback whale known as Migaloo.'' We identified 3 novel variants, including a cytosine deletion that results in a premature stop codon in exon 1. The deletion truncates the tyrosinase protein including the putative catalytic domains that are essential for tyrosinase enzymatic activity. Migaloo was homozygous for this deletion, suggesting that the albino phenotype is a consequence of inactive tyrosinase caused by the frameshift in the tyrosinase gene.</t>
  </si>
  <si>
    <t>[Polanowski, Andrea M.; Robinson-Laverick, Sarah M.; Jarman, Simon N.] Australian Antarctic Div, Australian Marine Mammal Ctr, Kingston, Tas 7050, Australia; [Paton, David] Blue Planet Marine, Jamison Ctr, ACT, Australia</t>
  </si>
  <si>
    <t>Australian Antarctic Division</t>
  </si>
  <si>
    <t>Polanowski, AM (corresponding author), Australian Antarctic Div, Australian Marine Mammal Ctr, 203 Channel Highway, Kingston, Tas 7050, Australia.</t>
  </si>
  <si>
    <t>andrea.polanowski@aad.gov.au</t>
  </si>
  <si>
    <t>Jarman, Simon/H-9265-2016</t>
  </si>
  <si>
    <t>Jarman, Simon/0000-0002-0792-9686; Polanowski, Andrea/0000-0002-9612-220X</t>
  </si>
  <si>
    <t>Australian Antarctic Division; Australian Marine Mammal Centre</t>
  </si>
  <si>
    <t>Australian Antarctic Division; Australian Marine Mammal Centre.</t>
  </si>
  <si>
    <t>OXFORD UNIV PRESS INC</t>
  </si>
  <si>
    <t>CARY</t>
  </si>
  <si>
    <t>JOURNALS DEPT, 2001 EVANS RD, CARY, NC 27513 USA</t>
  </si>
  <si>
    <t>0022-1503</t>
  </si>
  <si>
    <t>J HERED</t>
  </si>
  <si>
    <t>J. Hered.</t>
  </si>
  <si>
    <t>JAN-FEB</t>
  </si>
  <si>
    <t>10.1093/jhered/esr108</t>
  </si>
  <si>
    <t>Evolutionary Biology; Genetics &amp; Heredity</t>
  </si>
  <si>
    <t>859GR</t>
  </si>
  <si>
    <t>WOS:000297865400014</t>
  </si>
  <si>
    <t>C</t>
  </si>
  <si>
    <t>Crandall, DJ; Fox, GC; Paden, JD</t>
  </si>
  <si>
    <t>IEEE</t>
  </si>
  <si>
    <t>Crandall, David J.; Fox, Geoffrey C.; Paden, John D.</t>
  </si>
  <si>
    <t>Layer-finding in Radar Echograms using Probabilistic Graphical Models</t>
  </si>
  <si>
    <t>2012 21ST INTERNATIONAL CONFERENCE ON PATTERN RECOGNITION (ICPR 2012)</t>
  </si>
  <si>
    <t>International Conference on Pattern Recognition</t>
  </si>
  <si>
    <t>Proceedings Paper</t>
  </si>
  <si>
    <t>21st International Conference on Pattern Recognition (ICPR)</t>
  </si>
  <si>
    <t>NOV 11-15, 2012</t>
  </si>
  <si>
    <t>Univ Tsukuba, Tsukuba, JAPAN</t>
  </si>
  <si>
    <t>Univ Tsukuba</t>
  </si>
  <si>
    <t>Ground-penetrating radar systems are useful for a variety scientific studies, including monitoring changes to the polar ice sheets that may give clues to climate change. A key step in analyzing radar echograms is to identify boundaries between layers of material (such as air, ice, rock, etc.). In this paper, we propose an automated technique for identifying these boundaries, posing this as an inference problem on a probabilistic graphical model. We show how to learn model parameters from labeled training data and how to perform inference efficiently, as well as how additional sources of evidence, such as feedback from a human operator, can be naturally incorporated. We evaluate the approach on over 800 echograms of the Antarctic ice sheets, measuring error with respect to hand-labeled ground truth.</t>
  </si>
  <si>
    <t>[Crandall, David J.; Fox, Geoffrey C.] Indiana Univ, Sch Informat &amp; Comp, Bloomington, IN 47405 USA</t>
  </si>
  <si>
    <t>Indiana University System; Indiana University Bloomington</t>
  </si>
  <si>
    <t>Crandall, DJ (corresponding author), Indiana Univ, Sch Informat &amp; Comp, Bloomington, IN 47405 USA.</t>
  </si>
  <si>
    <t>djcran@indiana.edu; gcf@indiana.edu; paden@ku.edu</t>
  </si>
  <si>
    <t>NSF [ANT-0424589]; NASA [NNX10AT68G]</t>
  </si>
  <si>
    <t>NSF(National Science Foundation (NSF)); NASA(National Aeronautics &amp; Space Administration (NASA))</t>
  </si>
  <si>
    <t>The Center for the Remote Sensing of Ice Sheets (CReSIS) is funded in part by NSF (ANT-0424589) and NASA (NNX10AT68G).</t>
  </si>
  <si>
    <t>NEW YORK</t>
  </si>
  <si>
    <t>345 E 47TH ST, NEW YORK, NY 10017 USA</t>
  </si>
  <si>
    <t>1051-4651</t>
  </si>
  <si>
    <t>978-4-9906441-0-9; 978-1-4673-2216-4</t>
  </si>
  <si>
    <t>INT C PATT RECOG</t>
  </si>
  <si>
    <t>Computer Science, Artificial Intelligence</t>
  </si>
  <si>
    <t>Conference Proceedings Citation Index - Science (CPCI-S)</t>
  </si>
  <si>
    <t>Computer Science</t>
  </si>
  <si>
    <t>BB5CC</t>
  </si>
  <si>
    <t>WOS:000343660601153</t>
  </si>
  <si>
    <t>Shi, SC; Paine, S; Yao, QJ; Lin, ZH; Li, XX; Duan, WY; Matsuo, H; Zhang, QZ; Yang, J; Ashley, MCB; Shang, ZH; Hu, ZW</t>
  </si>
  <si>
    <t>Shi, Sheng-Cai; Paine, Scott; Yao, Qi-Jun; Lin, Zhen-Hui; Li, Xin-Xing; Duan, Wen-Ying; Matsuo, Hiroshi; Zhang, Qizhou; Yang, Ji; Ashley, Michel C. B.; Shang, Zhao-Hui; Hu, Zhong-Wen</t>
  </si>
  <si>
    <t>THz Atmospheric Transmission Measured at Antarctic Dome A</t>
  </si>
  <si>
    <t>2012 37TH INTERNATIONAL CONFERENCE ON INFRARED, MILLIMETER, AND TERAHERTZ WAVES (IRMMW-THZ)</t>
  </si>
  <si>
    <t>International Conference on Infrared Millimeter and Terahertz Waves</t>
  </si>
  <si>
    <t>37th International Conference on Infrared, Millimeter, and Terahertz Waves (IRMMW-THz)</t>
  </si>
  <si>
    <t>SEP 23-28, 2012</t>
  </si>
  <si>
    <t>Univ Wollongong, Wollongong, AUSTRALIA</t>
  </si>
  <si>
    <t>Univ Wollongong</t>
  </si>
  <si>
    <t>China is planing to construct a 5-m THz telescope (DATE5) at Dome A, Antarctic, which is the best site on the earth for astronomical observations in the THz regime. To evaluate the atmospheric transmission at Dome A, we have developed a broadband Fourier transformer spectrometer for 0.75 similar to 15 THz (Dome A FTS). The details of the instrument and measurement results will be presented.</t>
  </si>
  <si>
    <t>[Shi, Sheng-Cai; Yao, Qi-Jun; Lin, Zhen-Hui; Li, Xin-Xing; Duan, Wen-Ying; Yang, Ji] Chinese Acad Sci, KLRA, Purple Mt Observ, Nanjing 210008, Jiangsu, Peoples R China</t>
  </si>
  <si>
    <t>Chinese Academy of Sciences; Nanjing Institute of Astronomical Optics &amp; Technology, NAOC, CAS; Purple Mountain Observatory, CAS</t>
  </si>
  <si>
    <t>Shi, SC (corresponding author), Chinese Acad Sci, KLRA, Purple Mt Observ, Nanjing 210008, Jiangsu, Peoples R China.</t>
  </si>
  <si>
    <t>scshi@pmo.ac.cn</t>
  </si>
  <si>
    <t>Matsuo, Hiroshi/F-4807-2013; DAI, QIZHOU/E-8502-2014</t>
  </si>
  <si>
    <t>Zhang, Qizhou/0000-0003-2384-6589; Ashley, Michael/0000-0003-1412-2028</t>
  </si>
  <si>
    <t>2162-2027</t>
  </si>
  <si>
    <t>978-1-4673-1597-5</t>
  </si>
  <si>
    <t>INT CONF INFRA MILLI</t>
  </si>
  <si>
    <t>Engineering, Electrical &amp; Electronic; Physics, Applied</t>
  </si>
  <si>
    <t>Engineering; Physics</t>
  </si>
  <si>
    <t>BJT74</t>
  </si>
  <si>
    <t>WOS:000330301800341</t>
  </si>
  <si>
    <t>Umemoto, S; Hayashi, M; Hara, K; Higashino, S</t>
  </si>
  <si>
    <t>JAAST</t>
  </si>
  <si>
    <t>Umemoto, Shiina; Hayashi, Masahiko; Hara, Keiichiro; Higashino, Shinichiro</t>
  </si>
  <si>
    <t>Vertical distributions of aerosol concentrations in the troposphere and the lower stratosphere over Syowa Station, Antarctica during the summer</t>
  </si>
  <si>
    <t>29TH SYMPOSIUM ON AEROSOL SCIENCE AND TECHNOLOGY, 2012</t>
  </si>
  <si>
    <t>Japanese</t>
  </si>
  <si>
    <t>29th Symposium on Aerosol Science and Technology</t>
  </si>
  <si>
    <t>AUG 28-30, 2012</t>
  </si>
  <si>
    <t>Kitakyushu, JAPAN</t>
  </si>
  <si>
    <t>Twelve profiles of aerosol size distributions over Syowa station were observed by balloon-borne optical particle counters in summer of 1997.2008 to understand vertical variations of aerosols in coastal Antarctic region. Aerosol number mixing ratio of radii r&gt;0.25um was about 900 particles/g in stratosphere, 80 particles/g in free troposphere, and 200 particles/g in boundary layer. Large variability of the mixing ratio was observed in 7-10 km and 2 km. Vertical features of aerosol mixing ratio were associated with height of tropopause and boundary layer. Junge slope was 3.3 in boundary layer, 3.7 in free troposphere, and 4.6 in lower stratosphere. High aerosol number mixing ratio was observed occasionally in free troposphere and lower stratosphere.</t>
  </si>
  <si>
    <t>[Umemoto, Shiina; Hayashi, Masahiko; Hara, Keiichiro] Fukuoka Univ, Jounan Ku, 8-19-1 Nanakuma, Fukuoka 8140180, Japan; [Higashino, Shinichiro] Kyushu Univ, Nishi Ku, Fukuoka 8158540, Japan</t>
  </si>
  <si>
    <t>Fukuoka University; Kyushu University</t>
  </si>
  <si>
    <t>Umemoto, S (corresponding author), Fukuoka Univ, Jounan Ku, 8-19-1 Nanakuma, Fukuoka 8140180, Japan.</t>
  </si>
  <si>
    <t>Hara, Keiichiro/N-8264-2018</t>
  </si>
  <si>
    <t>JAPAN ASSOC AEROSOL SCI &amp; TECHNOLOGY</t>
  </si>
  <si>
    <t>KYOTO</t>
  </si>
  <si>
    <t>C/O DEPT SCIENT SOC, NAKANISHI PRINT CO LTD, 146 NISHIOJO CHO, SHIMODACHIURI DORI, OGAWA HIGASHI IRU, KYOTO, 602 8048, JAPAN</t>
  </si>
  <si>
    <t>Meteorology &amp; Atmospheric Sciences</t>
  </si>
  <si>
    <t>BH2UR</t>
  </si>
  <si>
    <t>WOS:000399351200029</t>
  </si>
  <si>
    <t>Hara, K; Nakazawa, F; Fujita, S; Yamanouchi, T</t>
  </si>
  <si>
    <t>Hara, K.; Nakazawa, F.; Fujita, S.; Yamanouchi, T.</t>
  </si>
  <si>
    <t>JASE Members</t>
  </si>
  <si>
    <t>Aerosol constituents in the Antarctic continent during the JASE traverse</t>
  </si>
  <si>
    <t>Aerosol measurement and sampling were carried out in the Antarctic continent during the JASE.traverse in JARE49. Aerosol particles were observed and analyzed with SEM-EDX. Major constituents in coarse mode were sea-salt particles, modified sea-salt particles and sulfates. Most of minerals in coarse mode were internally mixed with sea-salts or sulfates. Major constituents in fine mode were sulfates and modified sea-salt particles. Minor constituents in coarse and fine modes were MgSO4 particles, sulfates containing K. Sea-salt particles were modified by acidic sulfur species (e.g., SO42-) in coastal side and by NO3- in plateau side.</t>
  </si>
  <si>
    <t>[Hara, K.] Fukuoka Univ, Fukuoka, Japan; [Nakazawa, F.; Fujita, S.; Yamanouchi, T.] Natl Inst Polar Res, Tachikawa, Tokyo, Japan</t>
  </si>
  <si>
    <t>Fukuoka University; Research Organization of Information &amp; Systems (ROIS); National Institute of Polar Research (NIPR) - Japan</t>
  </si>
  <si>
    <t>Hara, K (corresponding author), Fukuoka Univ, Fukuoka, Japan.</t>
  </si>
  <si>
    <t>WOS:000399351200134</t>
  </si>
  <si>
    <t>Kan, GF; Shi, CJ; Wang, XF; Xie, QJ; Wang, M; Wang, XL; Mia, JL</t>
  </si>
  <si>
    <t>Kan Guangfeng; Shi Cuijuan; Wang Xiaofei; Xie Qinju; Wang Min; Wang Xinlei; Mia Jinlai</t>
  </si>
  <si>
    <t>Acclimatory responses to high-salt stress in Chlamydomonas (Chlorophyta, Chlorophyceae) from Antarctica</t>
  </si>
  <si>
    <t>ACTA OCEANOLOGICA SINICA</t>
  </si>
  <si>
    <t>Antarctic ice microalga; SOD enzymes; ultra structure; membrane fatty acids; difference protein; hypersaline acclimation</t>
  </si>
  <si>
    <t>HALOTOLERANT ALGA DUNALIELLA; SALINITY STRESS; OSMOTIC-STRESS; SEA-ICE; TEMPERATURE; MICROALGA; PROTEINS; PEROXIDASE</t>
  </si>
  <si>
    <t>Antarctic ice microalga can survive and thrive in channels or pores containing high salinity in Antarctic ice layer. in this study, it was found that cell membrane permeability of green microalga Chlamydomonas sp. L4 from Antarctic sea ice was high in cells treated with hypersalinity due to the induction of active oxygen and radicals. However, increased super oxide dismutase (SOD) scavenged harmful free radicals effectively to keep cell membrane integrity. Also, the analysis of membrane fatty acids demonstrated the content of saturated fatty acids and monounsaturated fatty acids increased and polyunsaturated fatty acids decreased under the high-salt treatment for 14 d, which effectively reduced the membrane fluidity and minimized the injury to cell membrane. The morphological changes showed that hypersalinity induced the increase of cell volume and the consumption of starch granules. However, because of the increase in detoxification of vacuoles, electron-dense deposits and SOD activity under high-salt stress, the complete noninterference thylakoids, mitochondria and cell nucleus maintained cellular fundamental metabolism. Global-expression profiling of proteins showed eight protein spots disappeared, 18 protein spots decreased and 18 protein spots were enhanced after the high-salt shock obviously (P &lt;0.05). One new peptide (pI 6.90; MW 51 kDa) was primarily confirmed as the processor of light reaction center protein CP43 in photosystem II, which increased photosynthesis ability of Chlamydomonas sp. L4 treated with high salinity.</t>
  </si>
  <si>
    <t>[Kan Guangfeng; Shi Cuijuan; Wang Xiaofei; Xie Qinju; Wang Min; Wang Xinlei] Harbin Inst Technol, Sch Marine Sci &amp; Technol, Weihai 264209, Peoples R China; [Mia Jinlai] State Ocean Adm, Key Lab Marine Bioact Subst, Qingdao 266061, Peoples R China</t>
  </si>
  <si>
    <t>Harbin Institute of Technology</t>
  </si>
  <si>
    <t>Kan, GF (corresponding author), Harbin Inst Technol, Sch Marine Sci &amp; Technol, Weihai 264209, Peoples R China.</t>
  </si>
  <si>
    <t>kanguangfeng@163.com</t>
  </si>
  <si>
    <t>Liu, Liu/JXM-8208-2024</t>
  </si>
  <si>
    <t>National Natural Science Foundation of China [31100090]; Shandong Provincial Natural Science Foundation of China [ZR2010DQ010]; Fundamental Research Funds for the Central Universities [HIT.IBRSEM.2009148]</t>
  </si>
  <si>
    <t>National Natural Science Foundation of China(National Natural Science Foundation of China (NSFC)); Shandong Provincial Natural Science Foundation of China(Natural Science Foundation of Shandong Province); Fundamental Research Funds for the Central Universities(Fundamental Research Funds for the Central Universities)</t>
  </si>
  <si>
    <t>Foundation item: The National Natural Science Foundation of China under contract No. 31100090; Shandong Provincial Natural Science Foundation of China under contract No. ZR2010DQ010; the Fundamental Research Funds for the Central Universities under contract No. HIT.IBRSEM.2009148.</t>
  </si>
  <si>
    <t>ONE NEW YORK PLAZA, SUITE 4600, NEW YORK, NY, UNITED STATES</t>
  </si>
  <si>
    <t>0253-505X</t>
  </si>
  <si>
    <t>1869-1099</t>
  </si>
  <si>
    <t>ACTA OCEANOL SIN</t>
  </si>
  <si>
    <t>Acta Oceanol. Sin.</t>
  </si>
  <si>
    <t>10.1007/s13131-012-0183-2</t>
  </si>
  <si>
    <t>Oceanography</t>
  </si>
  <si>
    <t>881NF</t>
  </si>
  <si>
    <t>WOS:000299492700014</t>
  </si>
  <si>
    <t>Lin, L; He, JF; Zhao, YL; Zhang, F; Cai, MH</t>
  </si>
  <si>
    <t>Lin Ling; He Jianfeng; Zhao Yunlong; Zhang Fang; Cai Minghong</t>
  </si>
  <si>
    <t>Flow cytometry investigation of picoplankton across latitudes and along the circum Antarctic Ocean</t>
  </si>
  <si>
    <t>picoplankton; distribution; Antarctic Ocean; FCM</t>
  </si>
  <si>
    <t>PHYTOPLANKTON COMMUNITY STRUCTURE; AUTOTROPHIC PICOPLANKTON; SURFACE WATERS; NORTH PACIFIC; DYNAMICS; PROCHLOROCOCCUS; BIOMASS; SEA; PICOPHYTOPLANKTON; DISTRIBUTIONS</t>
  </si>
  <si>
    <t>Using a flow cytometer (FCM) onboard the R/V Xuelong during the 24th Chinese Antarctic cruise, picoplankton community structure and biomass in the surface water were examined along the latitude and around the Antarctic Ocean. Salinity and temperature were automatically recorded and total Chi a was determined. Along the cruise, the abundance of Synechococcus, Prochlorococcus, pico-eulcaryotes and heterotrophic bacteria ranged in 0.001-1.855x10(8) ind./L, 0.000-2.778x10(8) ind./L, 0.002-1.060x10(8) ind./L and 0.132-27.073x10(8) ind./L, respectively. Major oceanic distribution of Synechococcus and Prochlorococcus appeared between latitudes 30 degrees N and 30 degrees S. Prochlorococcus was mainly influenced by water temperature, water mass combination and freshwater inflow. Meanwhile, Synechococcus distribution was significantly associated with landing freshwater inflow. Pico-eukaryotes and heterotrophic bacteria were distributed all over the oceans, but with a relatively low abundance in the high latitudes of the Antarctic Ocean. Principal Component Analysis showed that at same latitude of Atlantic Ocean and Indian Ocean, picoplankton distribution and constitution were totally different, geographical location and different water masses combination would be main reasons.</t>
  </si>
  <si>
    <t>[Lin Ling; Zhao Yunlong] E China Normal Univ, Coll Life Sci, Shanghai 200062, Peoples R China; [Lin Ling; He Jianfeng; Zhang Fang; Cai Minghong] Polar Res Inst China, Key Lab Polar Sci, State Ocean Adm, Shanghai 200136, Peoples R China</t>
  </si>
  <si>
    <t>East China Normal University; Polar Research Institute of China</t>
  </si>
  <si>
    <t>Zhao, YL (corresponding author), E China Normal Univ, Coll Life Sci, Shanghai 200062, Peoples R China.</t>
  </si>
  <si>
    <t>ylzhao@bio.ecnu.edu.cn</t>
  </si>
  <si>
    <t>Zhang, Fang/AAX-3262-2021</t>
  </si>
  <si>
    <t>Zhang, Fang/0000-0002-0300-8273</t>
  </si>
  <si>
    <t>National Natural Science Foundation of China [40576002, 4006010]; Key International S &amp; T Cooperation Projects [2008DFA20420]; Youth Scientific and Technological Innovation Foundation of Polar Research Institute of China [JDQ200802]; Polar Strategic Research Foundation [2008209]; LMEB Open Research Foundation [LMEB200902]; ECNU [2010041]</t>
  </si>
  <si>
    <t>National Natural Science Foundation of China(National Natural Science Foundation of China (NSFC)); Key International S &amp; T Cooperation Projects; Youth Scientific and Technological Innovation Foundation of Polar Research Institute of China; Polar Strategic Research Foundation; LMEB Open Research Foundation; ECNU</t>
  </si>
  <si>
    <t>Foundation item: The National Natural Science Foundation of China under contract Nos 40576002 and 4006010; the Key International S &amp; T Cooperation Projects under contract No. 2008DFA20420; the Youth Scientific and Technological Innovation Foundation of Polar Research Institute of China under contract No. JDQ200802; the Polar Strategic Research Foundation under contract No. 2008209; the LMEB Open Research Foundation under contract No. LMEB200902; and the PhD Program Scholarship Fund of ECNU under contract No. 2010041.</t>
  </si>
  <si>
    <t>233 SPRING ST, NEW YORK, NY 10013 USA</t>
  </si>
  <si>
    <t>10.1007/s13131-012-0185-0</t>
  </si>
  <si>
    <t>WOS:000299492700016</t>
  </si>
  <si>
    <t>B</t>
  </si>
  <si>
    <t>Pearce, DA</t>
  </si>
  <si>
    <t>StanLotter, H; Fendrihan, S</t>
  </si>
  <si>
    <t>Pearce, David A.</t>
  </si>
  <si>
    <t>Extremophiles in Antarctica: life at low temperatures</t>
  </si>
  <si>
    <t>ADAPTION OF MICROBIAL LIFE TO ENVIRONMENTAL EXTREMES: NOVEL RESEARCH RESULTS AND APPLICATION</t>
  </si>
  <si>
    <t>Article; Book Chapter</t>
  </si>
  <si>
    <t>SUBGLACIAL LAKE VOSTOK; MCMURDO DRY VALLEYS; FRESH-WATER LAKES; SP-NOV.; MICROBIAL MATS; GEN. NOV.; PSYCHROPHILIC BACTERIA; COLD-ADAPTATION; HETEROTROPHIC BACTERIA; METHANOGENIUM-FRIGIDUM</t>
  </si>
  <si>
    <t>in this chapter, we will explore the different adaptations of extremophiles to life in the extreme cold. We generally forget that the Earth is mostly cold and that most ecosystems are exposed to temperatures that are permanently below 5 C. Such low mean temperatures mainly arise from the fact that similar to 70% of the Earth's surface is covered by oceans that have a constant temperature of 4-5 degrees C (below a depth of 1000 m), irrespective of the latitude. The polar regions account for another 15% of the surface, to which the glacier and alpine regions must also be added. Here, we will take an illustrated look in particular at the Antarctic environment, as it is by far the coldest environment on Earth the lowest temperature on the surface of the Earth (-89.2 degrees C) was recorded at the Russian Vostok Station, at the centre of the East Antarctic ice sheet. Antarctica is a place where organisms are often subjected to combined stresses including desiccation, limited nutrients, high salinity, adverse solar radiation and low biochemical activity. The incredibly harsh environment of the Antarctic continent precludes life in most of its forms, and the microorganisms are therefore dominant. Generally, conditions include air temperatures that average well below freezing all year round, strong winds that increase the effects of the cold, light which varies from months of total darkness to total sunlight and little free available water, with all but 2% of the continent covered with ice. Given this combination of extremes, it is surprising that anything lives on the continent at all, let alone thrives there. For the organisms that do manage to adapt, however, the benefits from a lack of competition in the extreme cold are enormous, and this is often seen in very large population sizes. So how do some organisms survive extreme cold, and others exploit and take advantage of it As organisms have been subjected to these stresses over extremely long periods of time, a range of adaptations have evolved; some species have adapted to live at the limits, some produce specific compounds such as antifreeze, some remain viable but frozen in a state of suspended animation whilst higher organisms can adapt their life cycles in such a way that when conditions are harsh they die, leaving the next generation to recover as conditions improve. By looking at a range of different strategies in a wide variety of organisms, it is hoped to bring together general mechanisms of adaptation to life in the extreme cold.</t>
  </si>
  <si>
    <t>British Antarctic Survey, Nat Environm Res Council, Cambridge CB3 0ET, England</t>
  </si>
  <si>
    <t>UK Research &amp; Innovation (UKRI); Natural Environment Research Council (NERC); NERC British Antarctic Survey</t>
  </si>
  <si>
    <t>Pearce, DA (corresponding author), British Antarctic Survey, Nat Environm Res Council, Madingley Rd, Cambridge CB3 0ET, England.</t>
  </si>
  <si>
    <t>dpearce@bas.ac.uk</t>
  </si>
  <si>
    <t>Pearce, David/0000-0001-5292-4596</t>
  </si>
  <si>
    <t>233 SPRING STREET, NEW YORK, NY 10013, UNITED STATES</t>
  </si>
  <si>
    <t>978-3-211-99690-4</t>
  </si>
  <si>
    <t>Ecology; Microbiology</t>
  </si>
  <si>
    <t>Book Citation Index – Science (BKCI-S)</t>
  </si>
  <si>
    <t>Environmental Sciences &amp; Ecology; Microbiology</t>
  </si>
  <si>
    <t>BZG50</t>
  </si>
  <si>
    <t>WOS:000301515200005</t>
  </si>
  <si>
    <t>Jia, P; Zhang, SJ</t>
  </si>
  <si>
    <t>Ellerbroek, BL; Marchetti, E; Veran, JP</t>
  </si>
  <si>
    <t>Jia, Peng; Zhang, Sijiong</t>
  </si>
  <si>
    <t>Ground layer adaptive optics system simulation for the 2.5m telescope in Dome A</t>
  </si>
  <si>
    <t>ADAPTIVE OPTICS SYSTEMS III</t>
  </si>
  <si>
    <t>Proceedings of SPIE</t>
  </si>
  <si>
    <t>Conference on Adaptive Optics Systems III</t>
  </si>
  <si>
    <t>JUL 01-06, 2012</t>
  </si>
  <si>
    <t>Amsterdam, NETHERLANDS</t>
  </si>
  <si>
    <t>Antarctic telescope; ground layer adaptive optics; rotation mirror; single laser guide star</t>
  </si>
  <si>
    <t>ANTARCTICA</t>
  </si>
  <si>
    <t>The Antarctic is an ideal place for optical and infrared astronomy observations. Chinese scientists are planning to build a 2.5m telescope in Dome A. The telescope will be built in a tower about 15 meters high to avoid the ground layer atmospheric turbulence. The Ground layer Adaptive Optics system (GLAO) will also be suggested to be installed to further reduce the seeing. The GLAO system with one laser guide star, one deformable mirror and one wide field Shack-Hartmann wavefront sensor is designed and simulated. The Strehl ratio has increased 2 to 3 times in visible and infrared band in 20 arc min field of view.</t>
  </si>
  <si>
    <t>[Zhang, Sijiong] Chinese Acad Sci, Nanjing Inst Astron Opt &amp; Technol, Natl Astron Observ, Nanjing 210042, Jiangsu, Peoples R China; [Jia, Peng] Nanjing Univ, Sch Astron &amp; Space Sci, Nanjing 210093, Jiangsu, Peoples R China</t>
  </si>
  <si>
    <t>Chinese Academy of Sciences; Nanjing Institute of Astronomical Optics &amp; Technology, NAOC, CAS; National Astronomical Observatory, CAS; Nanjing University</t>
  </si>
  <si>
    <t>Zhang, SJ (corresponding author), Chinese Acad Sci, Nanjing Inst Astron Opt &amp; Technol, Natl Astron Observ, Nanjing 210042, Jiangsu, Peoples R China.</t>
  </si>
  <si>
    <t>sjzhang@niaot.ac.cn</t>
  </si>
  <si>
    <t>Jia, Peng/AEA-4672-2022; Jia, Peng/J-9617-2014</t>
  </si>
  <si>
    <t>Jia, Peng/0000-0001-6623-0931; Jia, Peng/0000-0001-6623-0931</t>
  </si>
  <si>
    <t>Chinese Academy of Sciences (CAS)</t>
  </si>
  <si>
    <t>Chinese Academy of Sciences (CAS)(Chinese Academy of Sciences)</t>
  </si>
  <si>
    <t>Many thanks to Alastair Basden for providing the Durham extremely large telescope adaptive optics simulation platform and many thanks to Xiangyan Yuans help for providing the information of Dome A and the Chinese Antarctic 2.5 meters telescope. This work is supported by the dedicated operation funding for astronomical observation stations and facilities from the Chinese Academy of Sciences (CAS).</t>
  </si>
  <si>
    <t>SPIE-INT SOC OPTICAL ENGINEERING</t>
  </si>
  <si>
    <t>BELLINGHAM</t>
  </si>
  <si>
    <t>1000 20TH ST, PO BOX 10, BELLINGHAM, WA 98227-0010 USA</t>
  </si>
  <si>
    <t>0277-786X</t>
  </si>
  <si>
    <t>978-0-8194-9148-0</t>
  </si>
  <si>
    <t>PROC SPIE</t>
  </si>
  <si>
    <t>84475J</t>
  </si>
  <si>
    <t>10.1117/12.924262</t>
  </si>
  <si>
    <t>Optics</t>
  </si>
  <si>
    <t>BDA88</t>
  </si>
  <si>
    <t>WOS:000312387300174</t>
  </si>
  <si>
    <t>S</t>
  </si>
  <si>
    <t>Barnett, MJ; Pearce, DA; Cullen, DC</t>
  </si>
  <si>
    <t>Sariaslani, S; Gadd, GM</t>
  </si>
  <si>
    <t>Barnett, Megan J.; Pearce, David A.; Cullen, David C.</t>
  </si>
  <si>
    <t>Advances in the In-Field Detection of Microorganisms in Ice</t>
  </si>
  <si>
    <t>ADVANCES IN APPLIED MICROBIOLOGY, VOL 81</t>
  </si>
  <si>
    <t>Advances in Applied Microbiology</t>
  </si>
  <si>
    <t>Review; Book Chapter</t>
  </si>
  <si>
    <t>REAL-TIME PCR; BACTERIOPLANKTON COMMUNITY STRUCTURE; RAMAN-SPECTROSCOPIC DETECTION; POLYMERASE-CHAIN-REACTION; BACTERIAL COMMUNITIES; LAKE VOSTOK; OLIGONUCLEOTIDE MICROARRAY; PSYCHROPHILIC BACTERIA; SENSITIVE DETECTION; ANTARCTIC ARCHAEON</t>
  </si>
  <si>
    <t>The historic view of ice-bound ecosystems has been one of a predominantly lifeless environment, where microorganisms certainly exist but are assumed to be either completely inactive or in a state of long-term dormancy. However, this standpoint has been progressively overturned in the past 20 years as studies have started to reveal the importance of microbial life in the functioning of these environments. Our present knowledge of the distribution, taxonomy, and metabolic activity of such microbial life has been derived primarily from laboratory-based analyses of collected field samples. To date, only a restricted range of life detection and characterization techniques have been applied in the field. Specific examples include direct observation and DNA-based techniques (microscopy, specific stains, and community profiling based on PCR amplification), the detection of biomarkers (such as adenosine triphosphate), and measurements of metabolism [through the uptake and incorporation of radiolabeled isotopes or chemical alteration of fluorescent substrates (umbelliferones are also useful here)]. On-going improvements in technology mean that smaller and more robust life detection and characterization systems are continually being designed, manufactured, and adapted for in-field use. Adapting technology designed for other applications is the main source of new methodology, and the range of techniques is currently increasing rapidly. Here we review the current use of technology and techniques to detect and characterize microbial life within icy environments and specifically its deployment to in-field situations. We discuss the necessary considerations, limitations, and adaptations, review emerging technologies, and highlight the future potential. Successful application of these new techniques to in-field studies will certainly generate new insights into the way ice bound ecosystems function.</t>
  </si>
  <si>
    <t>[Barnett, Megan J.; Cullen, David C.] Cranfield Univ, Cranfield MK43 0AL, Beds, England; [Pearce, David A.] British Antarctic Survey, Cambridge CB3 OET, England</t>
  </si>
  <si>
    <t>Cranfield University; UK Research &amp; Innovation (UKRI); Natural Environment Research Council (NERC); NERC British Antarctic Survey</t>
  </si>
  <si>
    <t>Barnett, MJ (corresponding author), Cranfield Univ, Vincent Bldg, Cranfield MK43 0AL, Beds, England.</t>
  </si>
  <si>
    <t>Barnett, Megan/GYU-0888-2022</t>
  </si>
  <si>
    <t>Cullen, David/0000-0001-8198-0773; Pearce, David/0000-0001-5292-4596</t>
  </si>
  <si>
    <t>NERC [bas0100025] Funding Source: UKRI; Natural Environment Research Council [bas0100025] Funding Source: researchfish</t>
  </si>
  <si>
    <t>NERC(UK Research &amp; Innovation (UKRI)Natural Environment Research Council (NERC)); Natural Environment Research Council(UK Research &amp; Innovation (UKRI)Natural Environment Research Council (NERC))</t>
  </si>
  <si>
    <t>ELSEVIER ACADEMIC PRESS INC</t>
  </si>
  <si>
    <t>SAN DIEGO</t>
  </si>
  <si>
    <t>525 B STREET, SUITE 1900, SAN DIEGO, CA 92101-4495 USA</t>
  </si>
  <si>
    <t>0065-2164</t>
  </si>
  <si>
    <t>978-0-12-394382-8</t>
  </si>
  <si>
    <t>ADV APPL MICROBIOL</t>
  </si>
  <si>
    <t>Adv. Appl. Microbiol.</t>
  </si>
  <si>
    <t>10.1016/B978-0-12-394382-8.00004-6</t>
  </si>
  <si>
    <t>Biotechnology &amp; Applied Microbiology; Microbiology</t>
  </si>
  <si>
    <t>Book Citation Index – Science (BKCI-S); Science Citation Index Expanded (SCI-EXPANDED)</t>
  </si>
  <si>
    <t>BCO51</t>
  </si>
  <si>
    <t>WOS:000310857600004</t>
  </si>
  <si>
    <t>Shetye, S; Sudhakar, M; Ramesh, R; Mohan, R; Patil, S; Laskar, A</t>
  </si>
  <si>
    <t>Wu, CC; Gan, J; Satake, K</t>
  </si>
  <si>
    <t>Shetye, Suhas; Sudhakar, Maruthadu; Ramesh, Rengaswamy; Mohan, Rahul; Patil, Shramik; Laskar, Amzad</t>
  </si>
  <si>
    <t>SEA SURFACE pCO2 IN THE INDIAN SECTOR OF THE SOUTHERN OCEAN DURING AUSTRAL SUMMER OF 2009</t>
  </si>
  <si>
    <t>ADVANCES IN GEOSCIENCES VOL 28: ATMOSPHERIC SCIENCE (AS) &amp; OCEAN SCIENCE (OS)</t>
  </si>
  <si>
    <t>8th Annual Meeting of the Asia-Oceania-Geosciences-Society (AOGS)</t>
  </si>
  <si>
    <t>AUG 08-12, 2011</t>
  </si>
  <si>
    <t>Taipei, TAIWAN</t>
  </si>
  <si>
    <t>CARBON-DIOXIDE; CO2; WATERS; FRONTS; VARIABILITY; ISLANDS; IMPACT; SINK; PH</t>
  </si>
  <si>
    <t>This Southern Ocean plays a key role in removing carbon dioxide from the Earth's atmosphere by physical, chemical, and biological processes. The present study attempts to understand: the spatio-temporal variations in pCO(2) and its relationship with nutrients and biological production in the Indian sector of the Southern Ocean during the late austral summer of 2009. The partial pressure of carbon dioxide (pCO(2)) showed high spatio-temporal variability in the study area. The highest pCO(2) that was recorded along the Polar Front (PF) the two transects is attributed to low productivity in the PF. From 57 degrees 30' E(T-E) towards 48 degrees E, the average sea surface pCO(2), chlorophyll and Total organic carbon (TOC) increased by 24 mu atm, 0.3mg/m(3), and 3 mu M, respectively, suggesting that the physical processes are predominantly active along 48 degrees E. Enhanced vertical mixing along 48 degrees E supports the corresponding increase in the average NO3, PO4, and SiO4 concentrations by 2 mu M, 0.4 mu M, and 1.7 mu M, respectively. pCO(2) and chlorophyll a are negative correlated along 57. 30' E(TE), however, positively correlated along 48 degrees E'(T-W), which suggests that the biological processes control the pCO(2) along 57 degrees 30'E. The average air-sea fluxes recorded were about -28 and -33 mmol m(-2)d(-1), on T-W and T-E, respectively. A significant finding of this study is that although the Southern Ocean is a known sink of carbon dioxide, the vicinity of the Crozet Island, where oceanic fronts are known to merge, suggests to act as a source of atmospheric CO2. It is attributed that The island mass effect could also be a factor that generates elevated CO2 in the vicinity of the study area. In the last one decade the oceanic pCO(2) increased at a rate 0.77 mu atm/year in the region south of the Polar front; but is not associated with the Southern Annular Mode effect.</t>
  </si>
  <si>
    <t>[Shetye, Suhas; Mohan, Rahul; Patil, Shramik] Natl Ctr Antarctic &amp; Ocean Res, Headland Sada 403804, Goa, India; [Sudhakar, Maruthadu] Minist Earth Sci, New Delhi 110003, India; [Ramesh, Rengaswamy; Laskar, Amzad] Phys Res Lab, Ahmadabad 380009, Gujarat, India</t>
  </si>
  <si>
    <t>Ministry of Earth Sciences (MoES) - India; National Centre for Polar and Ocean Research (NCPOR); Ministry of Earth Sciences (MoES) - India; Department of Space (DoS), Government of India; Physical Research Laboratory - India</t>
  </si>
  <si>
    <t>Shetye, S (corresponding author), Natl Ctr Antarctic &amp; Ocean Res, Headland Sada 403804, Goa, India.</t>
  </si>
  <si>
    <t>Laskar, Amzad/K-5125-2019</t>
  </si>
  <si>
    <t>Laskar, Amzad/0000-0003-1875-8314; Patil, Shramik/0000-0001-8937-1403</t>
  </si>
  <si>
    <t>Ministry of Earth Sciences</t>
  </si>
  <si>
    <t>Authors thank the Ministry of Earth Sciences for funding the Southern Ocean Expedition and the Director, National Centre for Antarctic and Ocean Research for his interest and support to this work. Thanks to the Chief Scientist, Master, crew, participants, and technical staff of the Akademik Boris Petrov for their invaluable assistance in sample collection. Thanks are extended to Dr. Thamban Meloth for lab facility for TOC samples and Mr. Mahalinganathan for analysis. We would like to thank the anonymous reviewers for their comments, which helped in improving the quality of this manuscript. This is NCAOR contribution no. 19/2012.</t>
  </si>
  <si>
    <t>WORLD SCIENTIFIC PUBL CO PTE LTD</t>
  </si>
  <si>
    <t>SINGAPORE</t>
  </si>
  <si>
    <t>PO BOX 128 FARRER RD, SINGAPORE 9128, SINGAPORE</t>
  </si>
  <si>
    <t>978-981-4405-68-3; 978-981-4405-67-6</t>
  </si>
  <si>
    <t>Geosciences, Multidisciplinary; Meteorology &amp; Atmospheric Sciences; Oceanography</t>
  </si>
  <si>
    <t>Geology; Meteorology &amp; Atmospheric Sciences; Oceanography</t>
  </si>
  <si>
    <t>BB7LC</t>
  </si>
  <si>
    <t>gold</t>
  </si>
  <si>
    <t>WOS:000345698200007</t>
  </si>
  <si>
    <t>Ivanov, VV; Alexeev, VA; Repina, I; Koldunov, NV; Smirnov, A</t>
  </si>
  <si>
    <t>Ivanov, Vladimir V.; Alexeev, Vladimir A.; Repina, Irina; Koldunov, Nikolay V.; Smirnov, Alexander</t>
  </si>
  <si>
    <t>Tracing Atlantic Water Signature in the Arctic Sea Ice Cover East of Svalbard</t>
  </si>
  <si>
    <t>ADVANCES IN METEOROLOGY</t>
  </si>
  <si>
    <t>POLAR AMPLIFICATION; OCEAN; SURFACE; HEAT; VARIABILITY; INTERMEDIATE; AQUAPLANET; ATMOSPHERE; HALOCLINE; GREENLAND</t>
  </si>
  <si>
    <t>We focus on the Arctic Ocean between Svalbard and Franz Joseph Land in order to elucidate the possible role of Atlantic water (AW) inflow in shaping ice conditions. Ice conditions substantially affect the temperature regime of the Spitsbergen archipelago, particularly in winter. We test the hypothesis that intensive vertical mixing at the upper AW boundary releases substantial heat upwards that eventually reaches the under-ice water layer, thinning the ice cover. We examine spatial and temporal variation of ice concentration against time series of wind, air temperature, and AW temperature. Analysis of 1979-2011 ice properties revealed a general tendency of decreasing ice concentration that commenced after the mid-1990s. AW temperature time series in Fram Strait feature a monotonic increase after the mid-1990s, consistent with shrinking ice cover. Ice thins due to increased sensible heat flux from AW; ice erosion from below allows wind and local currents to more effectively break ice. The winter spatial pattern of sea ice concentration is collocated with patterns of surface heat flux anomalies. Winter minimum sea ice thickness occurs in the ice pack interior above the AW path, clearly indicating AW influence on ice thickness. Our study indicates that in the AW inflow region heat flux from the ocean reduces the ice thickness.</t>
  </si>
  <si>
    <t>[Ivanov, Vladimir V.; Smirnov, Alexander] Arctic &amp; Antarctic Res Inst, St Petersburg 199397, Russia; [Ivanov, Vladimir V.; Alexeev, Vladimir A.] Univ Alaska, Int Arctic Res Ctr, Fairbanks, AK 99775 USA; [Ivanov, Vladimir V.] Scottish Marine Inst, Oban PA37 1QA, Argyll, Scotland; [Repina, Irina] RAS, AM Obukhov Inst Atmospher Phys, Moscow 119017, Russia; [Koldunov, Nikolay V.] Univ Hamburg, Inst Oceanog, D-20146 Hamburg, Germany</t>
  </si>
  <si>
    <t>Arctic &amp; Antarctic Research Institute; University of Alaska System; University of Alaska Fairbanks; Russian Academy of Sciences; Obukhov Institute of Atmospheric Physics of Russian Academy of Sciences; University of Hamburg</t>
  </si>
  <si>
    <t>Ivanov, VV (corresponding author), Arctic &amp; Antarctic Res Inst, St Petersburg 199397, Russia.</t>
  </si>
  <si>
    <t>vladimir.ivanov@sams.ac.uk</t>
  </si>
  <si>
    <t>Ivanov, Vladimir/J-5979-2014; Smirnov, Alexander/J-5935-2014; Repina, Irina A/H-3530-2016; Koldunov, Nikolay V. V./A-5439-2011; alexeev, vladimir/B-2234-2010; Ivanov, Vladimir/AAX-6830-2020</t>
  </si>
  <si>
    <t>Ivanov, Vladimir/0000-0003-2569-6027; Smirnov, Alexander/0000-0003-3231-7283; Koldunov, Nikolay V. V./0000-0002-3365-8146; alexeev, vladimir/0000-0003-3519-2797; Repina, Irina/0000-0001-7341-0826</t>
  </si>
  <si>
    <t>EU [NERSC-IAP 196174/S30]; RFBR [11-05-12019-ofi-m-2011]; ONR [62909-12-1-7013]; European Commission [242446]; NSF [ARC 0909525]; Japan Agency for Marine-Earth Science and Technology; [RFBR 11-05-12019-ofi-m-2011]; [RFBR 11-05-01143]; Directorate For Geosciences; Office of Polar Programs (OPP) [0909525] Funding Source: National Science Foundation</t>
  </si>
  <si>
    <t>EU(European Union (EU)); RFBR(Russian Foundation for Basic Research (RFBR)); ONR(Office of Naval Research); European Commission(European Union (EU)European Commission Joint Research Centre); NSF(National Science Foundation (NSF)); Japan Agency for Marine-Earth Science and Technology; ; ; Directorate For Geosciences; Office of Polar Programs (OPP)(National Science Foundation (NSF)NSF - Directorate for Geosciences (GEO))</t>
  </si>
  <si>
    <t>This study was supported by the following research grants/programs: EU FP7 Arctic Climate Change Economy and Society (ACCESS) project, NERSC-IAP 196174/S30: The atmospheric boundary layer structure and surface-atmosphere exchange in the Svalbard area; RFBR 11-05-12019-ofi-m-2011: Modern polar climate change estimation on the base satellite microwave database GLOBAL-RT; RFBR 11-05-01143: Investigation of tide action on generation and dynamics of internal waves and their manifestation on the sea surface in Russian Arctic seas; ONR-Global grant 62909-12-1-7013: Decision Making Support System for Arctic Exploration, Monitoring and Governance; European Commission 7th framework program through the MONARCH-A Collaborative Project, FP7-Space-2009-1 Contract no. 242446, NSF Grant ARC 0909525 and Japan Agency for Marine-Earth Science and Technology. ERA-Interim data used for the analysis were downloaded from the website of the European Centre for Medium Range Weather Forecasts (http://www.ecmwf.int/). The authors thank Anton Beljaars of ECMWF for providing very useful information on ERA-Interim data assimilation procedures.</t>
  </si>
  <si>
    <t>HINDAWI LTD</t>
  </si>
  <si>
    <t>ADAM HOUSE, 3RD FLR, 1 FITZROY SQ, LONDON, W1T 5HF, ENGLAND</t>
  </si>
  <si>
    <t>1687-9309</t>
  </si>
  <si>
    <t>1687-9317</t>
  </si>
  <si>
    <t>ADV METEOROL</t>
  </si>
  <si>
    <t>Adv. Meteorol.</t>
  </si>
  <si>
    <t>10.1155/2012/201818</t>
  </si>
  <si>
    <t>997ID</t>
  </si>
  <si>
    <t>WOS:000308157400001</t>
  </si>
  <si>
    <t>Brito, MP; Griffiths, G; Mowlem, M</t>
  </si>
  <si>
    <t>Berenguer, C; Grall, A; Soares, CG</t>
  </si>
  <si>
    <t>Brito, M. P.; Griffiths, G.; Mowlem, M.</t>
  </si>
  <si>
    <t>A probabilistic framework for managing blowout risk during access to subglacial Antarctic Lakes</t>
  </si>
  <si>
    <t>ADVANCES IN SAFETY, RELIABILITY AND RISK MANAGEMENT</t>
  </si>
  <si>
    <t>European Safety And Reliability Conference (ESREL)</t>
  </si>
  <si>
    <t>SEP 18-22, 2011</t>
  </si>
  <si>
    <t>FRANCE</t>
  </si>
  <si>
    <t>EXPERT JUDGMENT; BENEATH; ICE; ELICITATION; INVENTORY</t>
  </si>
  <si>
    <t>The planning for exploring Antarctic subglacial lake has been on the making since they were first discovered, nearly 20 years ago. An important topic in planning for entry into a lake is the likely gas concentration and the potential risk for blowout. Depending on hydrological setting, subglacial lakes may contain large amounts of dissolved gas or gas trapped within clathrates. Consequently, access can be potentially dangerous due to the risk of blowout from the sudden release of pressure. We present a structured approach to assess the blowout risk in subglacial lake exploration. The approach integrates a generic event tree, applicable to open and closed hydrological systems, with site-specific expert judgment incorporating rigorous probabilistic formulations. We apply the methodology to assess the risk of blowout during access to the subglacial Lake Ellsworth. Formally elicited judgments were provided by five experts with a combined 80 years experience in glaciology and ice drilling. Expert judgments' were aggregated to form two schools of thought, the optimists and the pessimists. The optimistic model was used for estimating the blowout risk during access to Lake Ellsworth, which gave a median risk of blowout of 1 in 12014 with a lower quartile of 1 in 17065 and an upper quartile of 1 in 9796. Following this initial assessment we explain how the efficiency of different risk mitigation strategies can be quantified.</t>
  </si>
  <si>
    <t>[Brito, M. P.; Griffiths, G.; Mowlem, M.] Natl Oceanog Ctr, Southampton, Hants, England</t>
  </si>
  <si>
    <t>NERC National Oceanography Centre</t>
  </si>
  <si>
    <t>Mowlem, Matthew/0000-0001-7613-6121; Brito, Mario/0000-0002-1779-4535</t>
  </si>
  <si>
    <t>NERC's Oceans research programme; NERC [NERC/001/0345012]</t>
  </si>
  <si>
    <t>NERC's Oceans research programme; NERC(UK Research &amp; Innovation (UKRI)Natural Environment Research Council (NERC))</t>
  </si>
  <si>
    <t>The authors are vey thankful to all five experts that took-freely-part in this exercise. The authors are extremely grateful to the Ellsworth consortium for encouraging this work. Dr. Mario Brito and Prof. Gwyn Griffiths are sponsored by NERC's Oceans 2025 research programme; Dr. Matt Mowlem is sponsored by NERC research grant NERC/001/0345012.</t>
  </si>
  <si>
    <t>CRC PRESS-TAYLOR &amp; FRANCIS GROUP</t>
  </si>
  <si>
    <t>BOCA RATON</t>
  </si>
  <si>
    <t>6000 BROKEN SOUND PARKWAY NW, STE 300, BOCA RATON, FL 33487-2742 USA</t>
  </si>
  <si>
    <t>978-0-203-13510-5; 978-0-415-68379-1</t>
  </si>
  <si>
    <t>Engineering, Industrial; Operations Research &amp; Management Science</t>
  </si>
  <si>
    <t>Engineering; Operations Research &amp; Management Science</t>
  </si>
  <si>
    <t>BG8LW</t>
  </si>
  <si>
    <t>WOS:000392426504055</t>
  </si>
  <si>
    <t>Febretti, A; Richmond, K; Gulati, S; Flesher, C; Hogan, BP; Johnson, A; Stone, WC; Priscu, J; Doran, P</t>
  </si>
  <si>
    <t>Bebis, G; Boyle, R; Parvin, B; Koracin, D; Fowlkes, C; Wang, S; Choi, MH; Mantler, S; Schulze, J; Acevedo, D; Mueller, K; Papka, M</t>
  </si>
  <si>
    <t>Febretti, Alessandro; Richmond, Kristof; Gulati, Shilpa; Flesher, Christopher; Hogan, Bartholomew P.; Johnson, Andrew; Stone, William C.; Priscu, John; Doran, Peter</t>
  </si>
  <si>
    <t>Poisson Reconstruction of Extreme Submersed Environments: The ENDURANCE Exploration of an Under-Ice Antarctic Lake</t>
  </si>
  <si>
    <t>ADVANCES IN VISUAL COMPUTING, ISVC 2012, PT I</t>
  </si>
  <si>
    <t>Lecture Notes in Computer Science</t>
  </si>
  <si>
    <t>8th International Symposium on Visual Computing (ISVC)</t>
  </si>
  <si>
    <t>JUL 16-18, 2012</t>
  </si>
  <si>
    <t>Rethymnon, GREECE</t>
  </si>
  <si>
    <t>We evaluate the use of Poisson reconstruction to generate a 3D bathymetric model of West Lake Bonney, Antarctica. The source sonar dataset has been collected by the ENDURANCE autonomous vehicle in the course of two Antarctic summer missions. The reconstruction workflow involved processing 200 million datapoints to generate a high resolution model of the lake bottom, Narrows region and underwater glacier face. A novel and flexible toolset has been developed to automate the processing of the Bonney data.</t>
  </si>
  <si>
    <t>[Richmond, Kristof; Gulati, Shilpa; Flesher, Christopher; Hogan, Bartholomew P.; Stone, William C.] Stone Aerosp, Del Valle, TX 78617 USA; [Febretti, Alessandro; Johnson, Andrew] Univ Illinois, Dept Comp Sci, Elect Visualizat Lab, Chicago, IL 60607 USA; [Priscu, John] Montana State Univ, Dept Land Resources &amp; Environm Sci, Bozeman, MT 59717 USA; [Doran, Peter] Univ Illinois, Dept Earth &amp; Environm Sci, Chicago, IL 60607 USA</t>
  </si>
  <si>
    <t>University of Illinois System; University of Illinois Chicago; University of Illinois Chicago Hospital; Montana State University System; Montana State University Bozeman; University of Illinois System; University of Illinois Chicago; University of Illinois Chicago Hospital</t>
  </si>
  <si>
    <t>Febretti, A (corresponding author), Univ Illinois, Dept Comp Sci, Elect Visualizat Lab, 851 S Morgan St, Chicago, IL 60607 USA.</t>
  </si>
  <si>
    <t>SPRINGER-VERLAG BERLIN</t>
  </si>
  <si>
    <t>BERLIN</t>
  </si>
  <si>
    <t>HEIDELBERGER PLATZ 3, D-14197 BERLIN, GERMANY</t>
  </si>
  <si>
    <t>0302-9743</t>
  </si>
  <si>
    <t>1611-3349</t>
  </si>
  <si>
    <t>978-3-642-33179-4</t>
  </si>
  <si>
    <t>LECT NOTES COMPUT SC</t>
  </si>
  <si>
    <t>Computer Science, Artificial Intelligence; Computer Science, Information Systems; Computer Science, Theory &amp; Methods; Mathematical &amp; Computational Biology</t>
  </si>
  <si>
    <t>Computer Science; Mathematical &amp; Computational Biology</t>
  </si>
  <si>
    <t>BD7LL</t>
  </si>
  <si>
    <t>WOS:000363266600038</t>
  </si>
  <si>
    <t>Tang, B; Tian, M; Row, KH</t>
  </si>
  <si>
    <t>Tang, Baokun; Tian, Minglei; Row, Kyung Ho</t>
  </si>
  <si>
    <t>ZINC ION DOPED SOLID-PHASE EXTRACTION OF EICOSAPENTAENOIC ACID AND DOCOSAHEXAENOIC ACID FROM ANTARCTIC KRILL</t>
  </si>
  <si>
    <t>ANALYTICAL LETTERS</t>
  </si>
  <si>
    <t>Antarctic Krill; Aminopropyl; Docosahexaenoic acid; Eicosapentaenoic acid; Zinc ion doped C-18; Zinc ion doped silica</t>
  </si>
  <si>
    <t>POLYUNSATURATED FATTY-ACIDS; PERFORMANCE LIQUID-CHROMATOGRAPHY; EUPHAUSIA-SUPERBA DANA; GAS-CHROMATOGRAPHY; METHYL-ESTERS; LIPID CLASSES; HIGH-YIELD; SEPARATION; COLUMNS; MICROALGAE</t>
  </si>
  <si>
    <t>Antarctic krill crude extracts contain high levels of eicosapentaenoic acid (EPA) and docosahexaenoic acid (DHA). Accordingly, the solid phase extraction of EPA and DHA from Antarctic krill crude extracts has attracted significant research interest. This study compared the extraction of EPA and DHA from Antarctic krill crude extracts using an aminopropyl, zinc ion-doped silica, and C-18 and zinc ion-doped C-18 solid-phase column. The best extraction effect was obtained using the zinc ion-doped C-18 SPE with water containing methanol as the eluant. The efficiency increased gradually with increasing methanol concentration from 12.5 to 25% in the washing stage, and when pure methanol (5.0 mL) or acetonitrile (3.0 mL) was used as the eluant. To detect EPA and DHA, the acids were first converted to their methyl esters and detected by gas chromatography with flame ionization detection (GC-FID). In the zinc ion-doped C-18 elution fractions, EPA and DHA were isolated from the crude extracts in high yield (85-91% (r(2) = 4.8-6.3%)).</t>
  </si>
  <si>
    <t>[Tang, Baokun; Tian, Minglei; Row, Kyung Ho] Inha Univ, Dept Chem Engn, Inchon 402751, South Korea</t>
  </si>
  <si>
    <t>Inha University</t>
  </si>
  <si>
    <t>Row, KH (corresponding author), Inha Univ, Dept Chem Engn, Inchon 402751, South Korea.</t>
  </si>
  <si>
    <t>rowkho@inha.ac.kr</t>
  </si>
  <si>
    <t>Kyung Ho, Row/AGB-8348-2022</t>
  </si>
  <si>
    <t>Tian, Minglei/0000-0003-4880-3139</t>
  </si>
  <si>
    <t>Ministry of Land, Transport, and Maritime Affairs, Korea</t>
  </si>
  <si>
    <t>Ministry of Land, Transport, and Maritime Affairs, Korea(Ministry of Land, Transport and Maritime Affairs (MLTM), Republic of Korea)</t>
  </si>
  <si>
    <t>This study was a part of the project titled Korea Sea Grant Program (Gyeong-gi Sea Grant)'' funded by the Ministry of Land, Transport, and Maritime Affairs, Korea.</t>
  </si>
  <si>
    <t>TAYLOR &amp; FRANCIS INC</t>
  </si>
  <si>
    <t>PHILADELPHIA</t>
  </si>
  <si>
    <t>520 CHESTNUT STREET, STE 850, PHILADELPHIA, PA 19106 USA</t>
  </si>
  <si>
    <t>0003-2719</t>
  </si>
  <si>
    <t>1532-236X</t>
  </si>
  <si>
    <t>ANAL LETT</t>
  </si>
  <si>
    <t>Anal. Lett.</t>
  </si>
  <si>
    <t>10.1080/00032719.2012.702179</t>
  </si>
  <si>
    <t>Chemistry, Analytical</t>
  </si>
  <si>
    <t>Chemistry</t>
  </si>
  <si>
    <t>045NG</t>
  </si>
  <si>
    <t>WOS:000311702900003</t>
  </si>
  <si>
    <t>Wilkinson, BL; Stone, RS; Capicciotti, CJ; Thaysen-Andersen, M; Matthews, JM; Packer, NH; Ben, RN; Payne, RJ</t>
  </si>
  <si>
    <t>Wilkinson, Brendan L.; Stone, Robin S.; Capicciotti, Chantelle J.; Thaysen-Andersen, Morten; Matthews, Jacqueline M.; Packer, Nicolle H.; Ben, Robert N.; Payne, Richard J.</t>
  </si>
  <si>
    <t>Total Synthesis of Homogeneous Antifreeze Glycopeptides and Glycoproteins</t>
  </si>
  <si>
    <t>ANGEWANDTE CHEMIE-INTERNATIONAL EDITION</t>
  </si>
  <si>
    <t>antifreeze proteins; chemical ligation; glycopeptides; glycoproteins; thermal hysteresis</t>
  </si>
  <si>
    <t>NATIVE CHEMICAL LIGATION; FREEZING RESISTANCE; ANTARCTIC FISHES; POLAR FISH; CONFORMATION; ADSORPTION; ICE; PEPTIDES; PROTEINS; DESULFURIZATION</t>
  </si>
  <si>
    <t>[Wilkinson, Brendan L.; Stone, Robin S.; Payne, Richard J.] Univ Sydney, Sch Chem, Sydney, NSW 2006, Australia; [Capicciotti, Chantelle J.; Ben, Robert N.] Univ Ottawa, Dept Chem, Ottawa, ON K1N 6N5, Canada; [Thaysen-Andersen, Morten; Packer, Nicolle H.] Macquarie Univ, Biomol Frontiers Res Ctr, N Ryde, NSW 2109, Australia; [Matthews, Jacqueline M.] Univ Sydney, Sch Mol Biosci, Sydney, NSW 2006, Australia</t>
  </si>
  <si>
    <t>University of Sydney; University of Ottawa; Macquarie University; University of Sydney</t>
  </si>
  <si>
    <t>Payne, RJ (corresponding author), Univ Sydney, Sch Chem, Sydney, NSW 2006, Australia.</t>
  </si>
  <si>
    <t>richard.payne@sydney.edu.au</t>
  </si>
  <si>
    <t>Payne, Richard/AAH-3666-2021; Packer, Nicolle/Q-8929-2019; Matthews, Jacqueline M/A-7322-2013</t>
  </si>
  <si>
    <t>Packer, Nicolle/0000-0002-7532-4021; Thaysen-Andersen, Morten/0000-0001-8327-6843</t>
  </si>
  <si>
    <t>Australian Research Council (ARC) [0986632]; Canadian Blood Services</t>
  </si>
  <si>
    <t>Australian Research Council (ARC)(Australian Research Council); Canadian Blood Services</t>
  </si>
  <si>
    <t>We would like to thank the Australian Research Council for funding (ARC Discovery Project: 0986632) and the Canadian Blood Services for a GFP Award (C.J.C.).</t>
  </si>
  <si>
    <t>WILEY-V C H VERLAG GMBH</t>
  </si>
  <si>
    <t>WEINHEIM</t>
  </si>
  <si>
    <t>BOSCHSTRASSE 12, D-69469 WEINHEIM, GERMANY</t>
  </si>
  <si>
    <t>1433-7851</t>
  </si>
  <si>
    <t>ANGEW CHEM INT EDIT</t>
  </si>
  <si>
    <t>Angew. Chem.-Int. Edit.</t>
  </si>
  <si>
    <t>10.1002/anie.201108682</t>
  </si>
  <si>
    <t>Chemistry, Multidisciplinary</t>
  </si>
  <si>
    <t>Science Citation Index Expanded (SCI-EXPANDED); Index Chemicus (IC); Current Chemical Reactions (CCR-EXPANDED)</t>
  </si>
  <si>
    <t>919SF</t>
  </si>
  <si>
    <t>WOS:000302348200015</t>
  </si>
  <si>
    <t>Wolfram, EA; Salvador, J; Orte, F; D'Elia, R; Godin-Beekmann, S; Kuttippurath, J; Pazmiño, A; Goutail, F; Casiccia, C; Zamorano, F; Leme, NP; Quel, EJ</t>
  </si>
  <si>
    <t>Wolfram, E. A.; Salvador, J.; Orte, F.; D'Elia, R.; Godin-Beekmann, S.; Kuttippurath, J.; Pazmino, A.; Goutail, F.; Casiccia, C.; Zamorano, F.; Paes Leme, N.; Quel, E. J.</t>
  </si>
  <si>
    <t>The unusual persistence of an ozone hole over a southern mid-latitude station during the Antarctic spring 2009: a multi-instrument study</t>
  </si>
  <si>
    <t>ANNALES GEOPHYSICAE</t>
  </si>
  <si>
    <t>Atmospheric composition and structure; Middle atmosphere; composition and chemistry</t>
  </si>
  <si>
    <t>3-DIMENSIONAL MODEL; VORTEX; MULTICHANNEL; RADIATION; IMPACT; NO2</t>
  </si>
  <si>
    <t>Record-low ozone column densities (with a minimum of 212 DU) persisted over three weeks at the Rio Gallegos NDACC (Network for the Detection of Atmospheric Composition Change) station (51.5 degrees S. 69.3 degrees W) in November 2009. Total ozone remained two standard deviations below the climatological mean for five consecutive days during this period. The statistical analysis of 30 years of satellite data from the Multi Sensor Reanalysis (MSR) database for Rio Gallegos revealed that such a long-lasting low-ozone episode is a rare occurrence. The event is examined using height-resolved ozone lidar measurements at Rio Gallegos, and observations from satellite and ground-based instruments. The computed relative difference between the measured total ozone and the climatological monthly mean shows reductions varying between 10 and 30% with an average decrease of 25 To. The mean absolute difference of total ozone column with respect to climatological monthly mean ozone column is around 75 DU. Extreme values of the UV index (UVI) were measured at the ground for this period, with the daily maximum UVI of around 13 on 15 and 28 November. The high-resolution MIMOSA-CHIM (Modelisation Isentrope du transport Meso-echelle de l'Ozone Stratospherique par Advection) model was used to interpret the ozone depletion event. An ozone decrease of about 2 ppmv was observed in mid-November at the 550 K isentropic level (similar to 22 km). The position of Rio Gallegos relative to the polar vortex was classified using equivalent latitude maps. During the second week of November, the vortex was over the station at all isentropic levels, but after 20 November and until the end of the month, only the 10 lower levels in the stratosphere were affected by vortex overpasses with ozone poor air masses. A rapid recovery of the ozone column density was observed later, due to an ozone rich filament moving over Rio Gallegos between 18 and 24 km in the first two weeks of December 2009.</t>
  </si>
  <si>
    <t>[Wolfram, E. A.; Salvador, J.; Orte, F.; D'Elia, R.; Quel, E. J.] UMI3351, UMI IFAECI CNRS 3351, CEILAP UNIDEF MINDEF CONICET, Ctr Invest Laseres &amp; Aplicac, Villa Martelli, Argentina; [Godin-Beekmann, S.; Kuttippurath, J.; Pazmino, A.; Goutail, F.] Univ Versailles St Quentin En Yvelines, CNRS, Univ Paris 06,Inst Pierre Simon Laplace, Lab Atmosphere Milieux Observat Spatiales LATMOS, Paris, France; [Casiccia, C.; Zamorano, F.] Univ Magallanes, Lab Ciencias Atmosfer, Punta Arenas, Chile</t>
  </si>
  <si>
    <t>Universite Paris Cite; Centre National de la Recherche Scientifique (CNRS); CNRS - National Institute for Earth Sciences &amp; Astronomy (INSU); Sorbonne Universite; Universite Paris Saclay; Universidad de Magallanes</t>
  </si>
  <si>
    <t>Wolfram, EA (corresponding author), UMI3351, UMI IFAECI CNRS 3351, CEILAP UNIDEF MINDEF CONICET, Ctr Invest Laseres &amp; Aplicac, Villa Martelli, Argentina.</t>
  </si>
  <si>
    <t>ewolfram@gmail.com</t>
  </si>
  <si>
    <t>Kuttippurath, Jayanarayanan/M-2878-2019; Salvador, Jacobo/ISV-5414-2023</t>
  </si>
  <si>
    <t>Kuttippurath, Jayanarayanan/0000-0003-4073-8918; , Raul/0000-0002-8154-6114; Orte, Pablo Facundo/0000-0003-1826-3741</t>
  </si>
  <si>
    <t>JICA (Japan International Cooperation Agency)</t>
  </si>
  <si>
    <t>The authors would like to thank JICA (Japan International Cooperation Agency) for their financial support; the CNRS in France for their collaboration in facilitating the shelter and part of the electronic instruments; to TEMIS group for the MSR database; to Project ATAMANTAR/PROANTAR/CNPq and INCT-APA/MCTI that supports Brewer calibration and transport to Argentina. Also thanks to the anonymous reviewers that have provided very useful comments, and have helped to improve the manuscript in a very substantial way.</t>
  </si>
  <si>
    <t>COPERNICUS GESELLSCHAFT MBH</t>
  </si>
  <si>
    <t>GOTTINGEN</t>
  </si>
  <si>
    <t>BAHNHOFSALLEE 1E, GOTTINGEN, 37081, GERMANY</t>
  </si>
  <si>
    <t>0992-7689</t>
  </si>
  <si>
    <t>1432-0576</t>
  </si>
  <si>
    <t>ANN GEOPHYS-GERMANY</t>
  </si>
  <si>
    <t>Ann. Geophys.</t>
  </si>
  <si>
    <t>10.5194/angeo-30-1435-2012</t>
  </si>
  <si>
    <t>Astronomy &amp; Astrophysics; Geosciences, Multidisciplinary; Meteorology &amp; Atmospheric Sciences</t>
  </si>
  <si>
    <t>Astronomy &amp; Astrophysics; Geology; Meteorology &amp; Atmospheric Sciences</t>
  </si>
  <si>
    <t>049IX</t>
  </si>
  <si>
    <t>Green Submitted, gold, Green Published</t>
  </si>
  <si>
    <t>WOS:000311977200002</t>
  </si>
  <si>
    <t>Lee, G; Evans, KJ; Merry, AM</t>
  </si>
  <si>
    <t>Lee, G.; Evans, K. J.; Merry, A. M.</t>
  </si>
  <si>
    <t>Leaf growth characteristics of Vitis vinifera and prediction of final lamina length for studies of powdery mildew</t>
  </si>
  <si>
    <t>ANNALS OF APPLIED BIOLOGY</t>
  </si>
  <si>
    <t>Erysiphe necator; growth model; lamina length; leaf area; mixed-effects; nonlinear; powdery mildew; Vitis vinifera</t>
  </si>
  <si>
    <t>GRAPEVINE; MODEL; STRESS; YIELD; SHOOT; SIZE</t>
  </si>
  <si>
    <t>Total functional leaf area is a key factor in determining crop yield. A nonlinear mixed-effects model was employed to estimate growth responses for individual leaves using repeated measures of lamina length =30?mm, in the absence of disease. Resulting growth curves make allowances for, and allow assessment of, leaf to leaf variability. The major source of variability in leaf growth was identified as differences in thermal time required to reach half final lamina length. Juvenile leaves of Vitis vinifera are susceptible to infection by the powdery mildew fungus (Erysiphe necator) which impairs leaf function. The model was used to predict unobserved final lamina length for a subset of leaves inoculated with E. necator immediately after observations ceased. The severity of infection by E. necator varies among infected leaves. A previous study identified which of the inoculated leaves developed symptoms of severe powdery mildew. Maximum severity of infection was found to occur when individual leaves were at 85.397.9% of predicted final lamina length.</t>
  </si>
  <si>
    <t>[Lee, G.; Evans, K. J.; Merry, A. M.] Univ Tasmania, Perennial Hort Ctr, Tasmanian Inst Agr, Newtown, Tas 7008, Australia</t>
  </si>
  <si>
    <t>University of Tasmania</t>
  </si>
  <si>
    <t>Lee, G (corresponding author), Univ Tasmania, Antarctic Climate &amp; Ecosyst Cooperat Res Ctr, Private Bag 80, Hobart, Tas 7001, Australia.</t>
  </si>
  <si>
    <t>greg.lee@utas.edu.au</t>
  </si>
  <si>
    <t>Evans, Katherine/C-3157-2008; Merry, Angela/I-7884-2013</t>
  </si>
  <si>
    <t>Evans, Katherine/0000-0003-2189-5870; Merry, Angela/0000-0002-7901-2228; Lee, Greg/0000-0002-8206-1151</t>
  </si>
  <si>
    <t>University of Tasmania; Australian grape growers and winemakers through their investment body the Grape and Wine Research and Development Corporation [UT0401]</t>
  </si>
  <si>
    <t>University of Tasmania; Australian grape growers and winemakers through their investment body the Grape and Wine Research and Development Corporation(Australian Grape and Wine Authority)</t>
  </si>
  <si>
    <t>Data for this study were generated from the PhD thesis research of A. M. M., which was supported by the University of Tasmania and Australian grape growers and winemakers through their investment body the Grape and Wine Research and Development Corporation (Project UT0401). Support from the latter was matched by the Federal Government. We thank J.E. Jones and D. Ratkowsky for reviewing earlier versions of this manuscript.</t>
  </si>
  <si>
    <t>WILEY-BLACKWELL</t>
  </si>
  <si>
    <t>HOBOKEN</t>
  </si>
  <si>
    <t>111 RIVER ST, HOBOKEN 07030-5774, NJ USA</t>
  </si>
  <si>
    <t>0003-4746</t>
  </si>
  <si>
    <t>ANN APPL BIOL</t>
  </si>
  <si>
    <t>Ann. Appl. Biol.</t>
  </si>
  <si>
    <t>10.1111/j.1744-7348.2012.00557.x</t>
  </si>
  <si>
    <t>Agriculture, Multidisciplinary</t>
  </si>
  <si>
    <t>Agriculture</t>
  </si>
  <si>
    <t>982LV</t>
  </si>
  <si>
    <t>WOS:000307046000004</t>
  </si>
  <si>
    <t>Tulaczyk, S</t>
  </si>
  <si>
    <t>Tulaczyk, Slawek</t>
  </si>
  <si>
    <t>PREFACE</t>
  </si>
  <si>
    <t>ANNALS OF GLACIOLOGY</t>
  </si>
  <si>
    <t>Editorial Material</t>
  </si>
  <si>
    <t>ANTARCTIC ICE-SHEET</t>
  </si>
  <si>
    <t>Tulaczyk, Slawek/O-7375-2018</t>
  </si>
  <si>
    <t>CAMBRIDGE UNIV PRESS</t>
  </si>
  <si>
    <t>CAMBRIDGE</t>
  </si>
  <si>
    <t>EDINBURGH BLDG, SHAFTESBURY RD, CB2 8RU CAMBRIDGE, ENGLAND</t>
  </si>
  <si>
    <t>0260-3055</t>
  </si>
  <si>
    <t>1727-5644</t>
  </si>
  <si>
    <t>ANN GLACIOL</t>
  </si>
  <si>
    <t>Ann. Glaciol.</t>
  </si>
  <si>
    <t>V</t>
  </si>
  <si>
    <t>VI</t>
  </si>
  <si>
    <t>095BU</t>
  </si>
  <si>
    <t>WOS:000315310300001</t>
  </si>
  <si>
    <t>095BV</t>
  </si>
  <si>
    <t>WOS:000315310400001</t>
  </si>
  <si>
    <t>Steig, EJ; Ding, Q; Battisti, DS; Jenkins, A</t>
  </si>
  <si>
    <t>Steig, E. J.; Ding, Q.; Battisti, D. S.; Jenkins, A.</t>
  </si>
  <si>
    <t>Tropical forcing of Circumpolar Deep Water Inflow and outlet glacier thinning in the Amundsen Sea Embayment, West Antarctica</t>
  </si>
  <si>
    <t>PINE ISLAND GLACIER; SOUTHERN-HEMISPHERE; EL-NINO; ICE-SHELF; MASS-LOSS; CLIMATE; PACIFIC; OCEAN; TRENDS; MODEL</t>
  </si>
  <si>
    <t>Outlet glaciers draining the Antarctic ice sheet into the Amundsen Sea Embayment (ASE) have accelerated in recent decades, most likely as a result of increased melting of their ice-shelf termini by warm Circumpolar Deep Water (CDW). An ocean model forced with climate reanalysis data shows that, beginning in the early 1990s, an increase in westerly wind stress near the continental shelf edge drove an increase in CDW inflow onto the shelf. The change in local wind stress occurred predominantly in fall and early winter, associated with anomalous high sea-level pressure (SIP) to the north of the ASE and an increase in sea surface temperature (SST) in the central tropical Pacific. The SLP change is associated with geopotential height anomalies in the middle and upper troposphere, characteristic of a stationary Rossby wave response to tropical SST forcing, rather than with changes in the zonally symmetric circulation. Tropical Pacific warming similar to that of the 1990s occurred in the 1940s, and thus is a candidate for initiating the current period of ASE glacier retreat.</t>
  </si>
  <si>
    <t>[Steig, E. J.; Ding, Q.] Univ Washington, Dept Earth &amp; Space Sci, Seattle, WA 98195 USA; [Steig, E. J.; Ding, Q.] Univ Washington, Quaternary Res Ctr, Seattle, WA 98195 USA; [Battisti, D. S.] Univ Washington, Dept Atmospher Sci, Seattle, WA 98195 USA; [Battisti, D. S.] Univ Bergen, Inst Geophys, Bergen, Norway; [Jenkins, A.] British Antarctic Survey, NERC, Cambridge CB3 0ET, England</t>
  </si>
  <si>
    <t>University of Washington; University of Washington Seattle; University of Washington; University of Washington Seattle; University of Washington; University of Washington Seattle; University of Bergen; UK Research &amp; Innovation (UKRI); Natural Environment Research Council (NERC); NERC British Antarctic Survey</t>
  </si>
  <si>
    <t>Steig, EJ (corresponding author), Univ Washington, Dept Earth &amp; Space Sci, Seattle, WA 98195 USA.</t>
  </si>
  <si>
    <t>steig@uw.edu</t>
  </si>
  <si>
    <t>Jenkins, Adrian/IUN-2406-2023; ding, qinghua/G-1186-2011; Battisti, David/A-3340-2013; /G-9088-2015</t>
  </si>
  <si>
    <t>Battisti, David/0000-0003-4871-1293; /0000-0002-8191-5549; Jenkins, Adrian/0000-0002-9117-0616</t>
  </si>
  <si>
    <t>Norwegian Centre for International Cooperation in Higher Education; University of Washington; Massachusetts Institute of Technology; NASA; US Department of Energy; US National Science Foundation [OPP-0837988]; UK Natural Environment Research Council [NE/G001367/1]; University of Washington's Quaternary Research Center; Directorate For Geosciences; Office of Polar Programs (OPP) [0837988] Funding Source: National Science Foundation; Natural Environment Research Council [bas0100033, bas0100028, NE/G001367/1] Funding Source: researchfish; NERC [bas0100028, bas0100033, NE/G001367/1] Funding Source: UKRI</t>
  </si>
  <si>
    <t>Norwegian Centre for International Cooperation in Higher Education; University of Washington(University of Washington); Massachusetts Institute of Technology; NASA(National Aeronautics &amp; Space Administration (NASA)); US Department of Energy(United States Department of Energy (DOE)); US National Science Foundation(National Science Foundation (NSF)); UK Natural Environment Research Council(UK Research &amp; Innovation (UKRI)Natural Environment Research Council (NERC)); University of Washington's Quaternary Research Center;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</si>
  <si>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We thank three anonymous reviewers and the journal editors for their thorough and helpful comments on an earlier version of the manuscript, and Marcel Kuttel and Joe MacGregor for fruitful discussion. Mauri Pelto's summary of the history of studies of PIG at RealClimate.org provided useful background information. The manuscript stemmed in part from discussions at the 2010 Advanced Climate Dynamics course funded by the Norwegian Centre for International Cooperation in Higher Education, the University of Washington, the Massachusetts Institute of Technology, NASA and the US Department of Energy. This research was supported by US National Science Foundation grant OPP-0837988 to E.J.S., UK Natural Environment Research Council grant NE/G001367/1 to A.J., and by the University of Washington's Quaternary Research Center.</t>
  </si>
  <si>
    <t>10.3189/2012AoG60A110</t>
  </si>
  <si>
    <t>Green Submitted, Green Accepted, Bronze</t>
  </si>
  <si>
    <t>WOS:000315310300004</t>
  </si>
  <si>
    <t>Matsuoka, K; Pattyn, F; Callens, D; Conway, H</t>
  </si>
  <si>
    <t>Matsuoka, Kenichi; Pattyn, Frank; Callens, Denis; Conway, Howard</t>
  </si>
  <si>
    <t>Radar characterization of the basal interface across the grounding zone of an ice-rise promontory in East Antarctica</t>
  </si>
  <si>
    <t>WEST ANTARCTICA; STREAM; SHELF; BENEATH; FLOW</t>
  </si>
  <si>
    <t>Radar power returned from the basal interface along a 42 km long profile over an ice-rise promontory and the adjacent Roi Baudouin ice shelf, Dronning Maud Land, East Antarctica, is analyzed to infer spatial variations in basal reflectivity and hence the basal environment. Extracting basal reflectivity from basal returned power requires an englacial attenuation model. We estimate attenuation in two ways: (1) using a temperature-dependent model with input from thermomechanical ice-flow models; and (2) using a radar method that linearly approximates the geometrically corrected returned power with ice thickness. The two methods give different results. We argue that attenuation calculated using a modeled temperature profile is more robust than the widely used radar method, especially in locations where depth-averaged attenuation varies spatially or where the patterns of basal reflectivity correlate with the patterns of the ice thickness.</t>
  </si>
  <si>
    <t>[Matsuoka, Kenichi; Callens, Denis] Norwegian Polar Res Inst, Fram Ctr, Tromso, Norway; [Pattyn, Frank; Callens, Denis] Univ Libre Bruxelles, Lab Glaciol, Brussels, Belgium; [Conway, Howard] Univ Washington, Dept Earth &amp; Space Sci, Seattle, WA 98195 USA</t>
  </si>
  <si>
    <t>Norwegian Polar Institute; Universite Libre de Bruxelles; University of Washington; University of Washington Seattle</t>
  </si>
  <si>
    <t>Matsuoka, K (corresponding author), Norwegian Polar Res Inst, Fram Ctr, Tromso, Norway.</t>
  </si>
  <si>
    <t>matsuoka@npolar.no</t>
  </si>
  <si>
    <t>Pattyn, Frank/AAA-9640-2019; Matsuoka, Kenichi/B-7298-2017</t>
  </si>
  <si>
    <t>Pattyn, Frank/0000-0003-4805-5636; Matsuoka, Kenichi/0000-0002-3587-3405; Conway, Howard/0000-0003-4634-3474</t>
  </si>
  <si>
    <t>Belgian Antarctic Research Expedition (BELARE); Belgian Federal Science Policy Office [EA/11/3A]; University of Washington Royalty fund [4208]; Center for Ice, Climate and Ecosystems at the Norwegian Polar Institute; FNRS-FRIA scholarship; YGGDRASIL mobility program; Research Council of Norway</t>
  </si>
  <si>
    <t>Belgian Antarctic Research Expedition (BELARE); Belgian Federal Science Policy Office(Belgian Federal Science Policy Office); University of Washington Royalty fund(University of Washington); Center for Ice, Climate and Ecosystems at the Norwegian Polar Institute; FNRS-FRIA scholarship(Fonds de la Recherche Scientifique - FNRS); YGGDRASIL mobility program; Research Council of Norway(Research Council of Norway)</t>
  </si>
  <si>
    <t>We acknowledge logistic support from the Belgian Antarctic Research Expedition (BELARE). This project was supported by the Belgian Federal Science Policy Office (grant No.: EA/11/3A), the University of Washington Royalty fund (grant No.: 4208) and the Center for Ice, Climate and Ecosystems at the Norwegian Polar Institute. We are indebted to A. Hubert, R. Wagemans, K. Soete and other BELARE field participants for assistance in the field. D.C. is funded by an FNRS-FRIA scholarship and by the YGGDRASIL mobility program, Research Council of Norway. Comments by Sasha Carter, an anonymous reviewer and the scientific editor, Poul Christoffersen, improved the paper significantly.</t>
  </si>
  <si>
    <t>10.3189/2012AoG60A106</t>
  </si>
  <si>
    <t>WOS:000315310300005</t>
  </si>
  <si>
    <t>Gladstone, RM; Payne, AJ; Cornford, SL</t>
  </si>
  <si>
    <t>Gladstone, Rupert M.; Payne, Antony J.; Cornford, Stephen L.</t>
  </si>
  <si>
    <t>Resolution requirements for grounding-line modelling: sensitivity to basal drag and ice-shelf buttressing</t>
  </si>
  <si>
    <t>PINE ISLAND GLACIER; SHEET; FLOW</t>
  </si>
  <si>
    <t>Simulations of grounding-line migration in ice-sheet models using a fixed grid have been shown to exhibit poor convergence at achievable resolutions. We present a series of 'shelfy-stream' flowline model experiments using an idealized set-up. We assess the performance of a range of grounding-line parameterizations (GLPs) over a large input space by varying bedrock gradient, rate factor, basal drag coefficient and net accumulation. The relative performance of GLPs is similar to Gladstone and others (2010a) except at low basal drag, in which case the grounding-line errors are very small for all GLPs. We find that grounding-line errors are far more sensitive to basal drag than to the other inputs or to choice of GLP. We then quantify grounding-line errors as a function of resolution while varying basal drag and channel width (using a parameterization to represent buttressing). Reducing either basal drag or channel width reduces the errors associated with the grounding line. Our results suggest that a structured fixed-grid shelfy-stream ice-sheet model would need to run at a horizontal resolution of similar to 1-2 km to accurately simulate grounding-line positions of marine ice-sheet outlet glaciers such as Pine Island Glacier, Antarctica.</t>
  </si>
  <si>
    <t>[Gladstone, Rupert M.; Payne, Antony J.; Cornford, Stephen L.] Univ Bristol, Sch Geog Sci, Bristol, Avon, England</t>
  </si>
  <si>
    <t>University of Bristol</t>
  </si>
  <si>
    <t>Gladstone, RM (corresponding author), Univ Bristol, Sch Geog Sci, Bristol, Avon, England.</t>
  </si>
  <si>
    <t>r.gladstone@bristol.ac.uk</t>
  </si>
  <si>
    <t>Gladstone, Rupert M/C-1086-2013; payne, antony/A-8916-2008</t>
  </si>
  <si>
    <t>Cornford, Stephen/0000-0003-1844-274X; payne, antony/0000-0001-8825-8425; Cornford, Stephen/0000-0002-2461-1645</t>
  </si>
  <si>
    <t>UK's National Centre for Earth Observation cryosphere and climate themes; UK Natural Environment Research Council (NERC); NERC [NE/E006256/1, NE/E006108/1]; NERC [NE/E006108/1, NE/E006256/1] Funding Source: UKRI; Natural Environment Research Council [NE/E006256/1, earth010006, NE/E006108/1] Funding Source: researchfish</t>
  </si>
  <si>
    <t>UK's National Centre for Earth Observation cryosphere and climate themes; UK 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</si>
  <si>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two anonymous reviewers for helpful comments which led to improvements in the clarity of the manuscript. This work was supported by the UK's National Centre for Earth Observation cryosphere and climate themes, the UK Natural Environment Research Council (NERC) Joint Weather and Climate Research Programme, and the project 'Understanding contemporary change in the West Antarctic ice sheet' funded by NERC standard grants NE/E006256/1 and NE/E006108/1.</t>
  </si>
  <si>
    <t>10.3189/2012AoG60A148</t>
  </si>
  <si>
    <t>WOS:000315310300014</t>
  </si>
  <si>
    <t>Amundson, JM; Burton, JC; Correa-Legisos, S</t>
  </si>
  <si>
    <t>Amundson, Jason M.; Burton, Justin C.; Correa-Legisos, Sergio</t>
  </si>
  <si>
    <t>Impact of hydrodynamics on seismic signals generated by iceberg collisions</t>
  </si>
  <si>
    <t>GLACIAL EARTHQUAKES; FREQUENCY; GREENLAND</t>
  </si>
  <si>
    <t>Full-glacier-thickness icebergs are frequently observed to capsize as they calve into the ocean. As they capsize they may collide with the glaciers' termini; previous studies have hypothesized that such collisions are the source of teleseismic 'glacial earthquakes'. We use laboratory-scale experiments, force-balance modeling and theoretical arguments to show that (1) the contact forces during these collisions are strongly influenced by hydrodynamic forces and (2) the associated glacial earthquake magnitudes (expressed as twice-integrated force histories) are related to the energy released by the capsizing icebergs plus a hydrodynamic term that is composed of drag forces and hydrodynamic pressure. Our experiments and first-order modeling efforts suggest that, due to hydrodynamic forces, both contact force and glacial earthquake magnitudes may not be directly proportional to the energy released by the capsizing icebergs (as might be expected). Most importantly, however, our results highlight the need to better understand the hydrodynamics of iceberg capsize prior to being able to accurately interpret seismic signals generated by iceberg collisions.</t>
  </si>
  <si>
    <t>[Amundson, Jason M.] Univ Chicago, Dept Geophys Sci, Chicago, IL 60637 USA; [Burton, Justin C.] Univ Chicago, Dept Phys, Chicago, IL 60637 USA; [Correa-Legisos, Sergio] Univ Santiago Chile, Dept Fis, Estn Cent, Santiago, Chile</t>
  </si>
  <si>
    <t>University of Chicago; University of Chicago; Universidad de Santiago de Chile</t>
  </si>
  <si>
    <t>Amundson, JM (corresponding author), Univ Chicago, Dept Geophys Sci, 5734 S Ellis Ave, Chicago, IL 60637 USA.</t>
  </si>
  <si>
    <t>jason.amundson@uas.alaska.edu</t>
  </si>
  <si>
    <t>Burton, Justin C/M-9735-2016</t>
  </si>
  <si>
    <t>Burton, Justin C/0000-0002-4797-8968</t>
  </si>
  <si>
    <t>US National Science Foundation (NSF) Antarctic Sciences Program [ANT0944193]; Materials World Network [DMR0807012]; Direct For Mathematical &amp; Physical Scien; Division Of Materials Research [0807012] Funding Source: National Science Foundation; Office of Polar Programs (OPP); Directorate For Geosciences [0944193] Funding Source: National Science Foundation</t>
  </si>
  <si>
    <t>US National Science Foundation (NSF) Antarctic Sciences Program(National Science Foundation (NSF)); Materials World Network; Direct For Mathematical &amp; Physical Scien; Division Of Materials Research(National Science Foundation (NSF)NSF - Directorate for Mathematical &amp; Physical Sciences (MPS)); Office of Polar Programs (OPP); Directorate For Geosciences(National Science Foundation (NSF)NSF - Directorate for Geosciences (GEO))</t>
  </si>
  <si>
    <t>Funding for this project was provided by the US National Science Foundation (NSF) Antarctic Sciences Program (ANT0944193) and Materials World Network (DMR0807012). We thank D.S. Abbot, L.M. Cathles IV, K.N. Darnell, N. Guttenberg, D.R. MacAyeal and W.W. Zhang for discussions that inspired this work, and F. Walter for help with waveform modeling. This paper greatly benefited from the comments of D. Benn, an anonymous reviewer and editor P. Christoffersen.</t>
  </si>
  <si>
    <t>INT GLACIOL SOC</t>
  </si>
  <si>
    <t>LENSFIELD RD, CAMBRIDGE CB2 1ER, ENGLAND</t>
  </si>
  <si>
    <t>10.3189/2012/AoG60A012</t>
  </si>
  <si>
    <t>Bronze, Green Submitted</t>
  </si>
  <si>
    <t>WOS:000315310300015</t>
  </si>
  <si>
    <t>Hubbard, B; Tison, JL; Pattyn, F; Dierckx, M; Boereboom, T; Samyn, D</t>
  </si>
  <si>
    <t>Hubbard, Bryn; Tison, Jean-Louis; Pattyn, Frank; Dierckx, Marie; Boereboom, Thierry; Samyn, Denis</t>
  </si>
  <si>
    <t>Optical-televiewer-based identification and characterization of material facies associated with an Antarctic ice-shelf rift</t>
  </si>
  <si>
    <t>MARINE-ICE; BENEATH; BASAL; STRATIGRAPHY; GLACIERS; LAYERS</t>
  </si>
  <si>
    <t>We have drilled 13 boreholes within and around a through-cutting rift on the (unofficially named) Roi Baudouin Ice Shelf, East Antarctica. Logging by optical televiewer (OPTV) combined with core inspection has resulted in the identification and characterization of several material facies. Outside the rift, OPTV-imaged annual layering indicates similar to 150 years of accumulation over the 66 m length of one of the boreholes. Luminosity analysis of this image also reveals the presence of numerous dark melt layers as well as a systematic decrease in background luminosity, interpreted in terms of a progressive increase in light transmission during firnification. We identify four material facies within the rift: snow, granular ice, marine ice and unconsolidated platelets. We interpret the granular ice facies as snow that has been saturated by percolating sea water, and the underlying marine ice as compacted buoyant platelets that have adhered to the rift base. Core sections reveal the presence of tubular channels within the marine ice, indicating that it is macroporous and permeable to sea water. The lower boundary of this facies merges into a mushy layer of unconsolidated platelets that were successfully imaged by OPTV, revealing irregular sub-horizontal layering similar to that reported previously on the basis of (directional) borehole video.</t>
  </si>
  <si>
    <t>[Hubbard, Bryn] Aberystwyth Univ, Inst Geog &amp; Earth Sci, Ctr Glaciol, Aberystwyth, Dyfed, Wales; [Tison, Jean-Louis; Pattyn, Frank; Dierckx, Marie; Boereboom, Thierry; Samyn, Denis] Univ Libre Bruxelles, Fac Sci, Dept Sci Terre &amp; Environm, Brussels, Belgium; [Samyn, Denis] Nagaoka Univ Technol, Dept Mech Engn, Nagaoka, Niigata 94021, Japan</t>
  </si>
  <si>
    <t>Aberystwyth University; Universite Libre de Bruxelles; Nagaoka University of Technology</t>
  </si>
  <si>
    <t>Hubbard, B (corresponding author), Aberystwyth Univ, Inst Geog &amp; Earth Sci, Ctr Glaciol, Aberystwyth, Dyfed, Wales.</t>
  </si>
  <si>
    <t>byh@aber.ac.uk</t>
  </si>
  <si>
    <t>Pattyn, Frank/AAA-9640-2019; Tison, Jean-Louis/F-4065-2015</t>
  </si>
  <si>
    <t>Pattyn, Frank/0000-0003-4805-5636; Hubbard, Bryn/0000-0002-3565-3875; Tison, Jean-Louis/0000-0002-9758-3454</t>
  </si>
  <si>
    <t>Belgian Research Programme on the Antarctic (Belgian Federal Science Policy Office) [EA/11/3A]; UK Royal Society grant [RG1430]; Climate Change Consortium of Wales (C3W); International Polar Foundation for Antarctic</t>
  </si>
  <si>
    <t>Belgian Research Programme on the Antarctic (Belgian Federal Science Policy Office); UK Royal Society grant(Royal Society); Climate Change Consortium of Wales (C3W); International Polar Foundation for Antarctic</t>
  </si>
  <si>
    <t>This paper forms a contribution to the Belgian Research Programme on the Antarctic (Belgian Federal Science Policy Office), project No. EA/11/3A 'Belgian Ice Sheet Shelf Ice Measurements in Antarctica (BELISSIMA)' and to UK Royal Society grant RG1430. B.H. was also supported by the Climate Change Consortium of Wales (C3W). We thank the International Polar Foundation for Antarctic for support, and A. Hubert, R. Wagemans and K. Soete for invaluable assistance in the field. We also thank two anonymous reviewers and the scientific editor, Helen Fricker, for comments that led to the improvement of the manuscript.</t>
  </si>
  <si>
    <t>10.3189/2012AoG60A045</t>
  </si>
  <si>
    <t>WOS:000315310400002</t>
  </si>
  <si>
    <t>Schodlok, MP; Menemenlis, D; Rignot, E; Studinger, M</t>
  </si>
  <si>
    <t>Schodlok, Michael P.; Menemenlis, Dimitris; Rignot, Eric; Studinger, Michael</t>
  </si>
  <si>
    <t>Sensitivity of the ice-shelf/ocean system to the sub-ice-shelf cavity shape measured by NASA Ice Bridge in Pine Island Glacier, West Antarctica</t>
  </si>
  <si>
    <t>OCEAN; SEA; CIRCULATION; THICKNESS; ALTIMETRY; BENEATH; MODEL</t>
  </si>
  <si>
    <t>Two high-resolution (1 km grid) numerical model simulations of the Amundsen Sea, West Antarctica, are used to study the role of the ocean in the mass loss and grounding line retreat of Pine Island Glacier. The first simulation uses BEDMAP bathymetry under the Pine Island ice shelf, and the second simulation uses NASA Ice Bridge-derived bathymetry. The Ice Bridge data reveal the existence of a trough from the ice-shelf edge to the grounding line, enabling warm Circumpolar Deep Water to penetrate to the grounding line, leading to higher melt rates than previously estimated. The mean melt rate for the simulation with NASA Ice Bridge data is 28 m a(-1), much higher than previous model estimates but closer to estimates from remote sensing. Although the mean melt rate is 25% higher than in the simulation with BEDMAP bathymetry, the temporal evolution remains unchanged between the two simulations. This indicates that temporal variability of melting is mostly driven by processes outside the cavity. Spatial melt rate patterns of BEDMAP and IceBridge simulations differ significantly, with the latter in closer agreement with satellite-derived melt rate estimates of similar to 50 m a(-1) near the grounding line. Our simulations confirm that knowledge of the cavity shape and its time evolution are essential to accurately capture basal mass loss of Antarctic ice shelves.</t>
  </si>
  <si>
    <t>[Schodlok, Michael P.] Univ Calif Los Angeles, Joint Inst Reg Earth Syst Sci &amp; Engn JIFRESSE, Los Angeles, CA 90024 USA; [Schodlok, Michael P.; Menemenlis, Dimitris; Rignot, Eric] CALTECH, JPL, Pasadena, CA 91125 USA; [Rignot, Eric] Univ Calif Irvine, Irvine, CA USA; [Studinger, Michael] NASA, Goddard Space Flight Ctr, Greenbelt, MD 20771 USA</t>
  </si>
  <si>
    <t>University of California System; University of California Los Angeles; California Institute of Technology; National Aeronautics &amp; Space Administration (NASA); NASA Jet Propulsion Laboratory (JPL); University of California System; University of California Irvine; National Aeronautics &amp; Space Administration (NASA); NASA Goddard Space Flight Center</t>
  </si>
  <si>
    <t>Schodlok, MP (corresponding author), Univ Calif Los Angeles, Joint Inst Reg Earth Syst Sci &amp; Engn JIFRESSE, Los Angeles, CA 90024 USA.</t>
  </si>
  <si>
    <t>mschodlok@ucla.edu</t>
  </si>
  <si>
    <t>Menemenlis, Dimitris/G-8091-2017; Rignot, Eric/A-4560-2014</t>
  </si>
  <si>
    <t>Menemenlis, Dimitris/0000-0001-9940-8409; Rignot, Eric/0000-0002-3366-0481; Studinger, Michael/0000-0003-1265-4741</t>
  </si>
  <si>
    <t>NASA Cryospheric Sciences Program; ECCO2 project; Jet Propulsion Laboratory, California Institute of Technology; National Aeronautics and Space Administration; NASA Advanced Supercomputing Division; JPL Supercomputing and Visualization Facility (SVF); Office of Polar Programs (OPP); Directorate For Geosciences [0804150] Funding Source: National Science Foundation</t>
  </si>
  <si>
    <t>NASA Cryospheric Sciences Program(National Aeronautics &amp; Space Administration (NASA)); ECCO2 project; Jet Propulsion Laboratory, California Institute of Technology; National Aeronautics and Space Administration(National Aeronautics &amp; Space Administration (NASA)); NASA Advanced Supercomputing Division; JPL Supercomputing and Visualization Facility (SVF); Office of Polar Programs (OPP); Directorate For Geosciences(National Science Foundation (NSF)NSF - Directorate for Geosciences (GEO))</t>
  </si>
  <si>
    <t>We thank the scientific editor, Laurie Padman, for many detailed and very helpful comments. Some data used in this paper were acquired by NASA's Operation Ice Bridge Project. This work was funded by the NASA Cryospheric Sciences Program and by the ECCO2 project, a contribution to the NASA Modeling Analysis and Prediction (MAP) Program. This research was carried out at the Jet Propulsion Laboratory, California Institute of Technology, under a contract with the National Aeronautics and Space Administration. We gratefully acknowledge computational resources and support from the NASA Advanced Supercomputing Division and from the JPL Supercomputing and Visualization Facility (SVF).</t>
  </si>
  <si>
    <t>10.3189/2012AoG60A073</t>
  </si>
  <si>
    <t>WOS:000315310400004</t>
  </si>
  <si>
    <t>Nicholls, KW; Corr, HFJ; Makinson, K; Pudsey, CJ</t>
  </si>
  <si>
    <t>Nicholls, K. W.; Corr, H. F. J.; Makinson, K.; Pudsey, C. J.</t>
  </si>
  <si>
    <t>Rock debris in an Antarctic ice shelf</t>
  </si>
  <si>
    <t>FILCHNER-RONNE ICE; MARINE ICE; BENEATH; SEDIMENTS; WEDDELL; SEA</t>
  </si>
  <si>
    <t>We have discovered a band of stones and coarse sand in the Ronne Ice Shelf, Antarctica, some 60 m above the ice shelf's base, 40 km from its seaward edge and 420 km from the point where the ice originally went afloat. A study of ice-sounding radar data from across the Ronne Ice Shelf has revealed other areas likely to contain debris in significant quantities. It appears that basal debris at the margins of ice streams feeding the ice shelf can be buried in the ice shelf by sea water freezing-on at the ice-shelf base. These findings are evidence for a mechanism active in a present-day ice-sheet/shelf system, which enables icebergs to transport large volumes of ice-rafted debris, and which also provides a potential mechanism for the formation of ice rises near ice fronts. We anticipate that a seismics study of debris melted from the ice shelf and deposited beneath will provide a valuable control on the history of ice-shelf ocean interactions.</t>
  </si>
  <si>
    <t>[Nicholls, K. W.; Corr, H. F. J.; Makinson, K.] British Antarctic Survey, NERC, Cambridge, England; [Pudsey, C. J.] Univ Dundee, Dept Geog, Dundee, Scotland</t>
  </si>
  <si>
    <t>UK Research &amp; Innovation (UKRI); Natural Environment Research Council (NERC); NERC British Antarctic Survey; University of Dundee</t>
  </si>
  <si>
    <t>Nicholls, KW (corresponding author), British Antarctic Survey, NERC, Cambridge, England.</t>
  </si>
  <si>
    <t>kwni@bas.ac.uk</t>
  </si>
  <si>
    <t>Makinson, Keith/A-2495-2013; Corr, Hugh/C-5398-2011</t>
  </si>
  <si>
    <t>Makinson, Keith/0000-0002-5791-1767;</t>
  </si>
  <si>
    <t>NERC [bas0100033, bas0100026, bas0100028] Funding Source: UKRI; Natural Environment Research Council [bas0100033, bas0100028, bas0100026] Funding Source: researchfish</t>
  </si>
  <si>
    <t>10.3189/2012AoG60A014</t>
  </si>
  <si>
    <t>WOS:000315310400013</t>
  </si>
  <si>
    <t>Anderson, DM; Cembella, AD; Hallegraeff, GM</t>
  </si>
  <si>
    <t>Carlson, CA; Giovannoni, SJ</t>
  </si>
  <si>
    <t>Anderson, Donald M.; Cembella, Allan D.; Hallegraeff, Gustaaf M.</t>
  </si>
  <si>
    <t>Progress in Understanding Harmful Algal Blooms: Paradigm Shifts and New Technologies for Research, Monitoring, and Management</t>
  </si>
  <si>
    <t>ANNUAL REVIEW OF MARINE SCIENCE, VOL 4</t>
  </si>
  <si>
    <t>Annual Review of Marine Science</t>
  </si>
  <si>
    <t>red tide; shellfish toxicity; fish kills; ecogenomics; climate change</t>
  </si>
  <si>
    <t>TOXIN-PRODUCING DINOFLAGELLATE; MARINE DINOFLAGELLATE; ALEXANDRIUM-TAMARENSE; CHATTONELLA-MARINA; AUREOCOCCUS-ANOPHAGEFFERENS; PHYTOPLANKTON COMMUNITY; POLYKETIDE SYNTHASES; NITZSCHIA-PUNGENS; SPECIES COMPLEX; CLIMATE-CHANGE</t>
  </si>
  <si>
    <t>The public health, tourism, fisheries, and ecosystem impacts from harmful algal blooms (HABs) have all increased over the past few decades. This has led to heightened scientific and regulatory attention, and the development of many new technologies and approaches for research and management. This, in turn, is leading to significant paradigm shifts with regard to, e.g., our interpretation of the phytoplankton species concept (strain variation), the dogma of their apparent cosmopolitanism, the role of bacteria and zooplankton grazing in HABs, and our approaches to investigating the ecological and genetic basis for the production of toxins and allelochemicals. Increasingly, eutrophication and climate change are viewed and managed as multifactorial environmental stressors that will further challenge managers of coastal resources and those responsible for protecting human health. Here we review HAB science with an eye toward new concepts and approaches, emphasizing, where possible, the unexpected yet promising new directions that research has taken in this diverse field.</t>
  </si>
  <si>
    <t>[Anderson, Donald M.] Woods Hole Oceanog Inst, Dept Biol, Woods Hole, MA 02543 USA; [Cembella, Allan D.] Alfred Wegener Inst Polar &amp; Marine Res, D-27570 Bremerhaven, Germany; [Hallegraeff, Gustaaf M.] Univ Tasmania, Inst Marine &amp; Antarctic Studies, Hobart, Tas 7001, Australia</t>
  </si>
  <si>
    <t>Woods Hole Oceanographic Institution; Helmholtz Association; Alfred Wegener Institute, Helmholtz Centre for Polar &amp; Marine Research; University of Tasmania</t>
  </si>
  <si>
    <t>Anderson, DM (corresponding author), Woods Hole Oceanog Inst, Dept Biol, Woods Hole, MA 02543 USA.</t>
  </si>
  <si>
    <t>danderson@whoi.edu; acembella@awi-bremerhaven.de; hallegraeff@utas.edu.au</t>
  </si>
  <si>
    <t>Hallegraeff, Gustaaf/C-8351-2013</t>
  </si>
  <si>
    <t>Hallegraeff, Gustaaf/0000-0001-8464-7343; Cembella, Allan/0000-0002-1297-2240</t>
  </si>
  <si>
    <t>Division Of Ocean Sciences; Directorate For Geosciences [0911031] Funding Source: National Science Foundation; NIEHS NIH HHS [1-P50-ES012742, P50 ES012742] Funding Source: Medline</t>
  </si>
  <si>
    <t>Division Of Ocean Sciences; Directorate For Geosciences(National Science Foundation (NSF)NSF - Directorate for Geosciences (GEO)); NIEHS NIH HHS(United States Department of Health &amp; Human ServicesNational Institutes of Health (NIH) - USANIH National Institute of Environmental Health Sciences (NIEHS))</t>
  </si>
  <si>
    <t>ANNUAL REVIEWS</t>
  </si>
  <si>
    <t>PALO ALTO</t>
  </si>
  <si>
    <t>4139 EL CAMINO WAY, PO BOX 10139, PALO ALTO, CA 94303-0897 USA</t>
  </si>
  <si>
    <t>1941-1405</t>
  </si>
  <si>
    <t>978-0-8243-4504-4</t>
  </si>
  <si>
    <t>ANNU REV MAR SCI</t>
  </si>
  <si>
    <t>Annu. Rev. Mar. Sci.</t>
  </si>
  <si>
    <t>10.1146/annurev-marine-120308-081121</t>
  </si>
  <si>
    <t>Geochemistry &amp; Geophysics; Marine &amp; Freshwater Biology; Oceanography</t>
  </si>
  <si>
    <t>BYW27</t>
  </si>
  <si>
    <t>Green Accepted, Green Published, Green Submitted</t>
  </si>
  <si>
    <t>WOS:000300634900008</t>
  </si>
  <si>
    <t>Varin, T; Lovejoy, C; Jungblut, AD; Vincent, WF; Corbeil, J</t>
  </si>
  <si>
    <t>Varin, Thibault; Lovejoy, Connie; Jungblut, Anne D.; Vincent, Warwick F.; Corbeil, Jacques</t>
  </si>
  <si>
    <t>Metagenomic Analysis of Stress Genes in Microbial Mat Communities from Antarctica and the High Arctic</t>
  </si>
  <si>
    <t>APPLIED AND ENVIRONMENTAL MICROBIOLOGY</t>
  </si>
  <si>
    <t>SEA-ICE; EXOPOLYMERIC SUBSTANCES; CYANOBACTERIAL ECOTYPES; COLD; GENOME; EXOPOLYSACCHARIDES; DIVERSITY; BACTERIUM; TEMPERATURE; ADAPTATION</t>
  </si>
  <si>
    <t>Polar and alpine microbial communities experience a variety of environmental stresses, including perennial cold and freezing; however, knowledge of genomic responses to such conditions is still rudimentary. We analyzed the metagenomes of cyanobacterial mats from Arctic and Antarctic ice shelves, using high-throughput pyrosequencing to test the hypotheses that consortia from these extreme polar habitats were similar in terms of major phyla and subphyla and consequently in their potential responses to environmental stresses. Statistical comparisons of the protein-coding genes showed similarities between the mats from the two poles, with the majority of genes derived from Proteobacteria and Cyanobacteria; however, the relative proportions differed, with cyanobacterial genes more prevalent in the Antarctic mat metagenome. Other differences included a higher representation of Actinobacteria and Alphaproteobacteria in the Arctic metagenomes, which may reflect the greater access to diasporas from both adjacent ice-free lands and the open ocean. Genes coding for functional responses to environmental stress (exopolysaccharides, cold shock proteins, and membrane modifications) were found in all of the metagenomes. However, in keeping with the greater exposure of the Arctic to long-range pollutants, sequences assigned to copper homeostasis genes were statistically (30%) more abundant in the Arctic samples. In contrast, more reads matching the sigma B genes were identified in the Antarctic mat, likely reflecting the more severe osmotic stress during freeze-up of the Antarctic ponds. This study underscores the presence of diverse mechanisms of adaptation to cold and other stresses in polar mats, consistent with the proportional representation of major bacterial groups.</t>
  </si>
  <si>
    <t>[Lovejoy, Connie; Jungblut, Anne D.; Vincent, Warwick F.] Univ Laval, Dept Biol, Quebec City, PQ G1K 7P4, Canada; [Lovejoy, Connie] Univ Laval, IBIS, Quebec City, PQ, Canada; [Varin, Thibault; Corbeil, Jacques] Univ Laval, Fac Med, Quebec City, PQ G1K 7P4, Canada; [Jungblut, Anne D.; Vincent, Warwick F.] Univ Laval, CEN, Quebec City, PQ, Canada; [Jungblut, Anne D.] Nat Hist Museum, Dept Bot, London SW7 5BD, England</t>
  </si>
  <si>
    <t>Laval University; Laval University; Laval University; Laval University; Natural History Museum London</t>
  </si>
  <si>
    <t>Lovejoy, C (corresponding author), Univ Laval, Dept Biol, Quebec City, PQ G1K 7P4, Canada.</t>
  </si>
  <si>
    <t>connie.lovejoy@bio.ulaval.ca</t>
  </si>
  <si>
    <t>Corbeil, Jacques/AAW-9739-2020; Vincent, Warwick/AAH-6152-2019; Lovejoy, Connie/A-3756-2008</t>
  </si>
  <si>
    <t>Corbeil, Jacques/0000-0002-9973-2740; Vincent, Warwick/0000-0001-9055-1938; Lovejoy, Connie/0000-0001-8027-2281</t>
  </si>
  <si>
    <t>Natural Sciences and Engineering Research Council of Canada (NSERC); Canada Research Chair program; Canadian Institute of Health Research</t>
  </si>
  <si>
    <t>Natural Sciences and Engineering Research Council of Canada (NSERC)(Natural Sciences and Engineering Research Council of Canada (NSERC)); Canada Research Chair program(Canada Research Chairs); Canadian Institute of Health Research(Canadian Institutes of Health Research (CIHR))</t>
  </si>
  <si>
    <t>Funding was from the Natural Sciences and Engineering Research Council of Canada (NSERC), with additional support from Quebec Ocean, the International Polar Year program Microbiological and Ecological Responses to Global Environmental Change in the Polar Regions, the Networks of Centres of Excellence program ArcticNet, Genome Canada, and Genome Quebec. We thank the staff of Quttinirpaaq National Park. J.C. and W.F.V. acknowledge support from the Canada Research Chair program, and T.V. was supported by a doctoral fellowship from the Canadian Institute of Health Research.</t>
  </si>
  <si>
    <t>AMER SOC MICROBIOLOGY</t>
  </si>
  <si>
    <t>WASHINGTON</t>
  </si>
  <si>
    <t>1752 N ST NW, WASHINGTON, DC 20036-2904 USA</t>
  </si>
  <si>
    <t>0099-2240</t>
  </si>
  <si>
    <t>1098-5336</t>
  </si>
  <si>
    <t>APPL ENVIRON MICROB</t>
  </si>
  <si>
    <t>Appl. Environ. Microbiol.</t>
  </si>
  <si>
    <t>10.1128/AEM.06354-11</t>
  </si>
  <si>
    <t>875GQ</t>
  </si>
  <si>
    <t>WOS:000299018800030</t>
  </si>
  <si>
    <t>Clark, MS; Souster, T</t>
  </si>
  <si>
    <t>Clark, Melody S.; Souster, Terri</t>
  </si>
  <si>
    <t>Slow arm regeneration in the Antarctic brittle star Ophiura crassa (Echinodermata, Ophiuroidea)</t>
  </si>
  <si>
    <t>AQUATIC BIOLOGY</t>
  </si>
  <si>
    <t>Ophiura crassa; Ophionotus victoriae; Autoecology; Ophioderma longicaudum; Brooder; Q(10) coefficient</t>
  </si>
  <si>
    <t>AMPHIURA-FILIFORMIS; OPHIONOTUS-VICTORIAE; STERECHINUS-NEUMAYERI; FIELD SURVEY; WEST-COAST; GROWTH; WATER; ECOLOGY; SEASONALITY; FREQUENCY</t>
  </si>
  <si>
    <t>Regeneration of arms in brittle stars is thought to proceed slowly in low temperature environments. Here a survey of natural arm damage and arm regeneration rates is documented in the Antarctic brittle star Ophiura crassa. This relatively small ophiuroid, a detritivore found amongst red macroalgae, displays high levels of natural arm damage and repair. This is largely thought to be due to ice damage in the shallow waters it inhabits. The time scale of arm regeneration was measured in an aquarium-based 10 mo experiment. There was a delayed regeneration phase of 7 mo before arm growth was detectable in this species. This is 2 mo longer than the longest time previously described, which was in another Antarctic ophiuroid, Ophionotus victoriae. The subsequent regeneration of arms in O. crassa occurred at a rate of approximately 0.16 mm mo(-1). To date, this is the slowest regeneration rate known of any ophiuroid. The confirmation that such a long delay before arm regeneration occurs in a second Antarctic species provides strong evidence that this phenomenon is yet another characteristic feature of Southern Ocean species, along with deferred maturity, slowed growth and development rates. It is unclear whether delayed initial regeneration phases are adaptations to, or limitations of, low temperature environments.</t>
  </si>
  <si>
    <t>[Clark, Melody S.; Souster, Terri] British Antarctic Survey, NERC, Cambridge CB3 0ET, England</t>
  </si>
  <si>
    <t>Clark, MS (corresponding author), British Antarctic Survey, NERC, High Cross,Madingley Rd, Cambridge CB3 0ET, England.</t>
  </si>
  <si>
    <t>mscl@bas.ac.uk</t>
  </si>
  <si>
    <t>Souster, Terri/HJY-6034-2023; Clark, Melody/D-7371-2014</t>
  </si>
  <si>
    <t>Souster, Terri/0000-0002-7585-1999; Clark, Melody/0000-0002-3442-3824</t>
  </si>
  <si>
    <t>Natural Environment Research Council [dml011000, bas0100025] Funding Source: researchfish; NERC [bas0100025, dml011000] Funding Source: UKRI</t>
  </si>
  <si>
    <t>Natural Environment Research Council(UK Research &amp; Innovation (UKRI)Natural Environment Research Council (NERC)); NERC(UK Research &amp; Innovation (UKRI)Natural Environment Research Council (NERC))</t>
  </si>
  <si>
    <t>INTER-RESEARCH</t>
  </si>
  <si>
    <t>OLDENDORF LUHE</t>
  </si>
  <si>
    <t>NORDBUNTE 23, D-21385 OLDENDORF LUHE, GERMANY</t>
  </si>
  <si>
    <t>1864-7790</t>
  </si>
  <si>
    <t>AQUAT BIOL</t>
  </si>
  <si>
    <t>Aquat. Biol.</t>
  </si>
  <si>
    <t>10.3354/ab00435</t>
  </si>
  <si>
    <t>Marine &amp; Freshwater Biology</t>
  </si>
  <si>
    <t>989FO</t>
  </si>
  <si>
    <t>WOS:000307545900001</t>
  </si>
  <si>
    <t>Ainley, DG; Ballard, G</t>
  </si>
  <si>
    <t>Ainley, David G.; Ballard, Grant</t>
  </si>
  <si>
    <t>Trophic Interactions and Population Trends of Killer Whales (Orcinus orca) in the Southern Ross Sea</t>
  </si>
  <si>
    <t>AQUATIC MAMMALS</t>
  </si>
  <si>
    <t>Antarctic toothfish; Dissostichus mawsoni; Ross Sea killer whales; Type-B killer whales; Type-C killer whales; Orcinus orca; Weddell seal; Leptonychotes weddellii; fish depletion; prey selectivity</t>
  </si>
  <si>
    <t>ANTARCTIC TOOTHFISH; PREDATION; PENGUIN; DIET; PREY</t>
  </si>
  <si>
    <t>Foraging events and related trends in numbers of Type-B and -C killer whales (Orcinus orca) are reported for the vicinity of Ross Island, Ross Sea, Antarctica between 2002 and 2010. Updating an earlier report, the frequency of sightings and the number of individuals per sighting of Ross Sea killer whales (Type-C; RSKWs), a fishing-eating ecotype, has continued to decrease in a pattern coincident with a decrease in the number and size of an important prey: Antarctic toothfish (Dissostichus mawsoni). Increasingly rare, large fish are much more energetically dense and may also be socially important to the whales, a relationship with potential parallels to that known between well-studied fish-eating killer whales and large Chinook salmon (Oncorhynchus tshawytscha) in the northeast Pacific. In contrast, the prevalence of the larger, mammal-eating Type-B killer whales has not changed in the southern Ross Sea study area. Predation events by Type-B killer whales involving Weddell seals (Leptonychotes weddellii), interest in large penguins, such as emperors (Aptenodytes forsteri), and lack of interest in small penguins, such as Adelies (Pygoscelis adeliae), are presented. In the case of both killer whale forms, the progressive seasonal breakup of fast ice in large bays bordering the Ross Sea likely provides reliable, enhanced foraging opportunities as prey are exposed one area at a time during summer. Given the apparent relationship between RSKW prevalence and the availability of large toothfish, we speculate that the current management strategy of Antarctic toothfish in the Ross Sea region threatens current population levels of RSKWs.</t>
  </si>
  <si>
    <t>[Ainley, David G.] HT Harvey &amp; Associates, Los Gatos, CA 95032 USA; [Ballard, Grant] PRBO Conservat Sci, Petaluma, CA 94954 USA</t>
  </si>
  <si>
    <t>Ainley, DG (corresponding author), HT Harvey &amp; Associates, 983 Univ Ave,Bldg D, Los Gatos, CA 95032 USA.</t>
  </si>
  <si>
    <t>dainley@penguinscience.com</t>
  </si>
  <si>
    <t>National Science Foundation [ANT-0440463, ANT-0944411]; Directorate For Geosciences; Office of Polar Programs (OPP) [0944141] Funding Source: National Science Foundation</t>
  </si>
  <si>
    <t>National Science Foundation(National Science Foundation (NSF)); Directorate For Geosciences; Office of Polar Programs (OPP)(National Science Foundation (NSF)NSF - Directorate for Geosciences (GEO))</t>
  </si>
  <si>
    <t>Collection of cetacean data and preparation of this paper was funded by National Science Foundation grants ANT-0440463 and ANT-0944411. We thank S. Jennings, A. Lescroel, M. Massaro, J. Pennycook, A. Pollard, and L. Porzig for participating in observations for the past two seasons. The toothfish data referred to were gathered by A. L. DeVries and C. W. Evans under grants funded by NSF. The U.S. Antarctic Program amply provided all logistical support. R. L. Pitman and two anonymous reviewers provided thoughtful, constructive comments, thus immensely helping to improve an earlier draft of the paper. The views expressed herein do not necessarily represent those of the NSF. PRBO contribution #1862.</t>
  </si>
  <si>
    <t>EUROPEAN ASSOC AQUATIC MAMMALS</t>
  </si>
  <si>
    <t>MOLINE</t>
  </si>
  <si>
    <t>C/O DR JEANETTE THOMAS, BIOLOGICAL SCIENCES, WESTERN ILLIONIS UNIV-QUAD CITIES, 3561 60TH STREET, MOLINE, IL 61265 USA</t>
  </si>
  <si>
    <t>0167-5427</t>
  </si>
  <si>
    <t>AQUAT MAMM</t>
  </si>
  <si>
    <t>Aquat. Mamm.</t>
  </si>
  <si>
    <t>10.1578/AM.38.2.2012.153</t>
  </si>
  <si>
    <t>Marine &amp; Freshwater Biology; Zoology</t>
  </si>
  <si>
    <t>952UB</t>
  </si>
  <si>
    <t>WOS:000304817000004</t>
  </si>
  <si>
    <t>Simon, M; Billerbeck, S; Kessler, D; Selje, N; Schlingloff, A</t>
  </si>
  <si>
    <t>Simon, Meinhard; Billerbeck, Sara; Kessler, Daniel; Selje, Natascha; Schlingloff, Andrea</t>
  </si>
  <si>
    <t>Bacterioplankton communities in the Southern Ocean: composition and growth response to various substrate regimes</t>
  </si>
  <si>
    <t>AQUATIC MICROBIAL ECOLOGY</t>
  </si>
  <si>
    <t>Bacteria; Fluorescence in situ hybridization; DGGE; Cluster analysis; Biopolymers; Southern Ocean</t>
  </si>
  <si>
    <t>HETEROTROPHIC PICOPLANKTON PRODUCTION; BACTERIAL COMMUNITY; CLASS FLAVOBACTERIA; SEAWATER MESOCOSMS; MOLECULAR-WEIGHT; ORGANIC-MATTER; ROSS SEA; DYNAMICS; PHYTOPLANKTON; PROTEIN</t>
  </si>
  <si>
    <t>To examine the adaptation of bacterioplankton communities in the Southern Ocean to various biopolymeric substrates, we carried out experiments at the Polar Front and in the Antarctic Coastal Current (CC) in which samples were enriched with agarose, starch, peptone and extracts of the green alga Scenedesmus acutus and diatoms from the Polar Front. Growth and metabolic activity were assessed based on leucine incorporation and turnover rates of glucose, dissolved free amino acids and protein. In both experiments, growth was highest on peptone and the diatom extract and lowest on agarose. There was a general trend of decreasing proportions of Alphaproteobacteria and increasing proportions of Flavobacteria/Sphingobacteria and Gamma proteobacteria. The growth response and shift to Flavobacteria/Sphingobacteria was more pronounced in the CC experiment. A cluster analysis of denaturing gradient gel electrophoresis (DGGE) banding patterns showed that bacterial communities in each treatment of both experiments differed and that those in the treatments with peptone and the Scenedesmus and diatom extracts clustered together. Sequencing of excised bands revealed that Gammaproteobacteria comprised members of Pseudoalteromonadaceae, the Colwellia cluster of Alteromonadaceae and 1 other cluster. Alphaproteobacteria comprised only members of the Roseobacter clade and the Bacteroidetes phylum only of Flavobacteria and Cytophagales. The results show that the bacterio plankton communities in the Southern Ocean are able to adapt to various biopolymeric substrates. The most pronounced response to the additions of peptone and the diatom extract rich in protein is in line with previous observations that proteins are preferred bacterial substrates in this oceanic region.</t>
  </si>
  <si>
    <t>[Simon, Meinhard; Billerbeck, Sara; Kessler, Daniel; Selje, Natascha; Schlingloff, Andrea] Carl von Ossietzky Univ Oldenburg, Inst Chem &amp; Biol Marine Environm, D-26111 Oldenburg, Germany</t>
  </si>
  <si>
    <t>Carl von Ossietzky Universitat Oldenburg</t>
  </si>
  <si>
    <t>Simon, M (corresponding author), Carl von Ossietzky Univ Oldenburg, Inst Chem &amp; Biol Marine Environm, D-26111 Oldenburg, Germany.</t>
  </si>
  <si>
    <t>m.simon@icbm.de</t>
  </si>
  <si>
    <t>Deutsche Forschungsgemeinschaft [Si 360/7-1, Si 360/10-1, TRR 51]</t>
  </si>
  <si>
    <t>Deutsche Forschungsgemeinschaft(German Research Foundation (DFG))</t>
  </si>
  <si>
    <t>We thank the crew of RV 'Polarstern' for their excellent cooperation and help on shipboard, T. Brinkhoff for introduction to the Pintail software for checking chimera sequences and S. Breider and H. A. Giebel for assistance with the submission of the sequences to Gen-Bank. We are most grateful to constructive suggestions of 4 reviewers on earlier versions of this publication. This work was supported by grants from Deutsche Forschungsgemeinschaft (Si 360/7-1, Si 360/10-1, TRR 51 Roseobacter).</t>
  </si>
  <si>
    <t>0948-3055</t>
  </si>
  <si>
    <t>1616-1564</t>
  </si>
  <si>
    <t>AQUAT MICROB ECOL</t>
  </si>
  <si>
    <t>Aquat. Microb. Ecol.</t>
  </si>
  <si>
    <t>10.3354/ame01597</t>
  </si>
  <si>
    <t>Ecology; Marine &amp; Freshwater Biology; Microbiology</t>
  </si>
  <si>
    <t>Environmental Sciences &amp; Ecology; Marine &amp; Freshwater Biology; Microbiology</t>
  </si>
  <si>
    <t>060MK</t>
  </si>
  <si>
    <t>WOS:000312782200002</t>
  </si>
  <si>
    <t>Nielsen, LT; Hallegraeff, GM; Wright, SW; Hansen, PJ</t>
  </si>
  <si>
    <t>Nielsen, Lasse Tor; Hallegraeff, Gustaaf M.; Wright, Simon W.; Hansen, Per Juel</t>
  </si>
  <si>
    <t>Effects of experimental seawater acidification on an estuarine plankton community</t>
  </si>
  <si>
    <t>Seawater acidification; pH; CO2; Climate change; Plankton; Pigment analysis</t>
  </si>
  <si>
    <t>MARINE-PHYTOPLANKTON; NOCTILUCA-SCINTILLANS; CARBON ACQUISITION; CHLOROPHYLL-A; HIGH PH; GROWTH; CO2; PHOTOSYNTHESIS; LIGHT; LIMITATION</t>
  </si>
  <si>
    <t>The atmospheric CO2 concentration is rising, and models predict that by the end of the century it will have increased to twice the amount seen at any given time during the last 15 million yr. This will cause a decrease in average surface water pH of 0.4, and planktonic protists will be among the organisms to be affected first by this change. We tested whether reduced pH (and increased free CO2) would affect plankton communities over an incubation period of 14 d. In a laboratory microcosm setup using a natural plankton community from the Derwent River estuary, Australia, 2 treatments with reduced pH (8.0 and 7.7) were compared to an unaltered control of pH 8.3. An extreme pH 6.3 was included for comparison. Measured parameters included community photosynthesis, nutrient uptake and biomass build-up as well as enumeration of 25 protist taxa and quantitative HPLC of phytoplankton pigments. A major succession was seen during the 14 d, but no effects at all were found in pH treatments 8.0 and 7.7, whereas the extreme pH 6.3 clearly affected the community for all measured parameters. Thus, it is unlikely that the investigated plankton community would be significantly affected by a pH and CO2 change as predicted for the 21st century. This has previously been found for other coastal plankton assemblages as well, and we suggest that high pH resilience is a necessity for protist species living in coastal waters with relatively large pH fluctuations.</t>
  </si>
  <si>
    <t>[Nielsen, Lasse Tor; Hansen, Per Juel] Univ Copenhagen, Marine Biol Sect, DK-3000 Helsingor, Denmark; [Hallegraeff, Gustaaf M.] Univ Tasmania, Inst Marine &amp; Antarctic Studies, Hobart, Tas 7001, Australia; [Wright, Simon W.] Australian Antarctic Div &amp; Antarctic Climate, Kingston, Tas 7050, Australia; [Wright, Simon W.] Ecosyst Cooperat Res Ctr, Kingston, Tas 7050, Australia</t>
  </si>
  <si>
    <t>University of Copenhagen; University of Tasmania; Australian Antarctic Division</t>
  </si>
  <si>
    <t>Nielsen, LT (corresponding author), Univ Copenhagen, Marine Biol Sect, Strandpromenaden 5, DK-3000 Helsingor, Denmark.</t>
  </si>
  <si>
    <t>ltnielsen@bio.ku.dk</t>
  </si>
  <si>
    <t>Hansen, Per Juel/AAX-6193-2020; Hallegraeff, Gustaaf/C-8351-2013; Nielsen, Lasse Tor/L-9907-2014; Hansen, Per Juel/E-9969-2011</t>
  </si>
  <si>
    <t>Hallegraeff, Gustaaf/0000-0001-8464-7343; Nielsen, Lasse Tor/0000-0003-4177-3205; Hansen, Per Juel/0000-0003-0228-9621</t>
  </si>
  <si>
    <t>Danish Natural Research Council [21-03-0449]; Australian government's Cooperative Research Centre through Antarctic Climate and Ecosystems Cooperative Research Centre (ACE CRC)</t>
  </si>
  <si>
    <t>Danish Natural Research Council(Danish Natural Science Research Council); Australian government's Cooperative Research Centre through Antarctic Climate and Ecosystems Cooperative Research Centre (ACE CRC)(Australian GovernmentDepartment of Industry, Innovation and ScienceCooperative Research Centres (CRC) Programme)</t>
  </si>
  <si>
    <t>We thank Dr. T. Rodemann for performing the C-N analysis. We also thank The Derwent Estuary Program Norske Skog &amp; Nyrstar for in situ pH data from the Derwent estuary. The work was funded by the Danish Natural Research Council project no. 21-03-0449 for P.J.H. This work was supported by the Australian government's Cooperative Research Centres Programme through the Antarctic Climate and Ecosystems Cooperative Research Centre (ACE CRC).</t>
  </si>
  <si>
    <t>10.3354/ame01554</t>
  </si>
  <si>
    <t>904UD</t>
  </si>
  <si>
    <t>WOS:000301222500006</t>
  </si>
  <si>
    <t>Celis, J; Jara, S; González-Acuña, D; Barra, R; Espejo, W</t>
  </si>
  <si>
    <t>Celis, J.; Jara, S.; Gonzalez-Acuna, D.; Barra, R.; Espejo, W.</t>
  </si>
  <si>
    <t>A preliminary study of trace metals and porphyrins in excreta of Gentoo penguins (Pygoscelis papua) at two locations of the Antarctic Peninsula</t>
  </si>
  <si>
    <t>ARCHIVOS DE MEDICINA VETERINARIA</t>
  </si>
  <si>
    <t>heavy metals; excrement; bio-monitoring; seabirds; Antarctic; polar region</t>
  </si>
  <si>
    <t>ELEMENTS; CONTAMINATION; EXPOSURE; ENVIRONMENT; ECOSYSTEMS; BIOMARKERS; SEDIMENTS; MERCURY; ORGANS; ISLAND</t>
  </si>
  <si>
    <t>Even though concentrations of most chemical elements in Antarctic ecosystems are very low as compared to other world's areas, their increasing time trends, as a consequence of the strong population growth and industrial development in countries of the Southern Hemisphere, could be affecting some vulnerable endemic species such as penguins. Concentrations (dry weight) of arsenic (As), cadmium (Cd), mercury (Hg) and lead (Pb) and porphyrins (copro-, uro- and proto-) were determined in feces of Gentoo penguins (Pygoscelis papua), collected at two locations of the Antarctic Peninsula (O'Higgins and Videla). We found higher (p&lt;0.05) levels of Hg in excreta of penguin colonies at O'Higgins (7.55 +/- 1.28 mu g g(-1)), whereas penguins at Videla showed the highest concentrations of Cd (1.68 +/- 0.71 mu g g(-1)). Gentoo penguins from O'Higgins site showed higher levels of copro- (1.81 +/- 0.61 nmol g(-1)), uro- (1.74 +/- 0.72 nmol g(-1)) and protoporphyrins (1.24 +/- 0.46 nmol g(-1)), directly related to higher levels of Hg and Pb measured. These findings imply that some Gentoo penguin colonies of the Antarctic Peninsula are likely to develop some biochemical effects through trace metal contamination at some level. These preliminary results raise concerns about anthropogenic pollutants in Antarctica.</t>
  </si>
  <si>
    <t>[Celis, J.; Gonzalez-Acuna, D.; Espejo, W.] Univ Concepcion, Dept Ciencias Pecuarias, Fac Ciencias Vet, Chillan, Chile; [Jara, S.; Barra, R.] Univ Concepcion, Unidad Sistemas Acuat, Ctr Ciencias Ambientales EULA Chile, Concepcion, Chile</t>
  </si>
  <si>
    <t>Universidad de Concepcion; Universidad de Concepcion</t>
  </si>
  <si>
    <t>Celis, J (corresponding author), Casilla 537, Chillan, Chile.</t>
  </si>
  <si>
    <t>jcelis@udec.cl</t>
  </si>
  <si>
    <t>Barra, Ricardo O./A-5543-2009; Espejo, Winfred/AAO-7150-2020; CELIS, JOSE/AAP-6048-2021</t>
  </si>
  <si>
    <t>Barra, Ricardo O./0000-0002-1567-7722; Espejo, Winfred/0000-0002-3753-2006; CELIS, JOSE E./0000-0002-2458-1239</t>
  </si>
  <si>
    <t>Financiado por Institut Antartico Chileno [INACH T 18-09, T 27-10]; Collusion Chilena de Investigacion Cientifica y Tecnologica [FONDECYT 1110719]</t>
  </si>
  <si>
    <t>Financiado por Institut Antartico Chileno; Collusion Chilena de Investigacion Cientifica y Tecnologica</t>
  </si>
  <si>
    <t>Financiado por Institut Antartico Chileno (project INACH T 18-09 and T 27-10) and Collusion Chilena de Investigacion Cientifica y Tecnologica (project FONDECYT 1110719).</t>
  </si>
  <si>
    <t>UNIV AUSTRAL CHILE, FAC CIENCIAS VETERINARIAS</t>
  </si>
  <si>
    <t>VALDIVIA</t>
  </si>
  <si>
    <t>CASILLA 567, VALDIVIA, 00000, CHILE</t>
  </si>
  <si>
    <t>0301-732X</t>
  </si>
  <si>
    <t>0717-6201</t>
  </si>
  <si>
    <t>ARCH MED VET</t>
  </si>
  <si>
    <t>Arch. Med. Vet.</t>
  </si>
  <si>
    <t>10.4067/S0301-732X2012000300016</t>
  </si>
  <si>
    <t>Veterinary Sciences</t>
  </si>
  <si>
    <t>071MM</t>
  </si>
  <si>
    <t>gold, Green Submitted</t>
  </si>
  <si>
    <t>WOS:000313597500016</t>
  </si>
  <si>
    <t>Abbasi, R; Abdou, Y; Abu-Zayyad, T; Adams, J; Aguilar, JA; Ahlers, M; Andeen, K; Auffenberg, J; Bai, X; Baker, M; Barwick, SW; Bay, R; Alba, JLB; Beattie, K; Beatty, JJ; Bechet, S; Becker, JK; Becker, KH; Benabderrahmane, ML; BenZvi, S; Berdermann, J; Berghaus, P; Berley, D; Bernardini, E; Bertrand, D; Besson, DZ; Bindig, D; Bissok, M; Blaufuss, E; Blumenthal, J; Boersma, DJ; Bohm, C; Bose, D; Böser, S; Botner, O; Braun, J; Brown, AM; Buitink, S; Carson, M; Chirkin, D; Christy, B; Clem, J; Clevermann, F; Cohen, S; Colnard, C; Cowen, DF; D'Agostino, MV; Danninger, M; Daughhetee, J; Davis, JC; De Clercq, C; Demirörs, L; Denger, T; Depaepe, O; Descamps, F; Desiati, P; de Vries-Uiterweerd, G; DeYoung, T; Díaz-Vélez, JC; Dierckxsens, M; Dreyer, J; Dumm, JP; Ehrlich, R; Eisch, J; Ellsworth, RW; Engdegård, O; Euler, S; Evenson, PA; Fadiran, O; Fazely, AR; Fedynitch, A; Feusels, T; Filimonov, K; Finley, C; Fischer-Wasels, T; Foerster, MM; Fox, BD; Franckowiak, A; Franke, R; Gaisser, TK; Gallagher, J; Geisler, M; Gerhardt, L; Gladstone, L; Glüsenkamp, T; Goldschmidt, A; Goodman, JA; Grant, D; Griesel, T; Gross, A; Grullon, S; Gurtner, M; Ha, C; Hallgren, A; Halzen, F; Han, K; Hanson, K; Heinen, D; Helbing, K; Herquet, P; Hickford, S; Hill, GC; Hoffman, KD; Homeier, A; Hoshina, K; Hubert, D; Huelsnitz, W; Hülss, JP; Hulth, PO; Hultqvist, K; Hussain, S; Ishihara, A; Jacobsen, J; Japaridze, GS; Johansson, H; Joseph, JM; Kampert, KH; Kappes, A; Karg, T; Karle, A; Kelley, JL; Kenny, P; Kiryluk, J; Kislat, F; Klein, SR; Köhne, JH; Kohnen, G; Kolanoski, H; Köpke, L; Kopper, S; Koskinen, DJ; Kowalski, M; Kowarik, T; Krasberg, M; Krings, T; Kroll, G; Kuehn, K; Kuwabara, T; Labare, M; Lafebre, S; Laihem, K; Landsman, H; Larson, MJ; Lauer, R; Lünemann, J; Madsen, J; Majumdar, P; Marotta, A; Maruyama, R; Mase, K; Matis, HS; Meagher, K; Merck, M; Mészáros, P; Meures, T; Middell, E; Milke, N; Miller, J; Montaruli, T; Morse, R; Movit, SM; Nahnhauer, R; Nam, JW; Naumann, U; Niessen, P; Nygren, DR; Odrowski, S; Olivas, A; Olivo, M; O'Murchadha, A; Ono, M; Panknin, S; Paul, L; de los Heros, CP; Petrovic, J; Piegsa, A; Pieloth, D; Porrata, R; Posselt, J; Price, PB; Prikockis, M; Przybylski, GT; Rawlins, K; Redl, P; Resconi, E; Rhode, W; Ribordy, M; Rizzo, A; Rodrigues, JP; Roth, P; Rothmaier, F; Rott, C; Ruhe, T; Rutledge, D; Ruzybayev, B; Ryckbosch, D; Sander, HG; Santander, M; Sarkar, S; Schatto, K; Schmidt, T; Schönwald, A; Schukraft, A; Schultes, A; Schulz, O; Schunck, M; Seckel, D; Semburg, B; Seo, SH; Sestayo, Y; Seunarine, S; Silvestri, A; Slipak, A; Spiczak, GM; Spiering, C; Stamatikos, M; Stanev, T; Stephens, G; Stezelberger, T; Stokstad, RG; Stössl, A; Stoyanov, S; Strahler, EA; Straszheim, T; Stür, M; Sullivan, GW; Swillens, Q; Taavola, H; Taboada, I; Tamburro, A; Tepe, A; Ter-Antonyan, S; Tilav, S; Toale, PA; Toscano, S; Tosi, D; Turcan, D; van Eijndhoven, N; Vandenbroucke, J; Van Overloop, A; van Santen, J; Vehring, M; Voge, M; Walck, C; Waldenmaier, T; Wallraff, M; Walter, M; Weaver, C; Wendt, C; Westerhoff, S; Whitehorn, N; Wiebe, K; Wiebusch, CH; Williams, DR; Wischnewski, R; Wissing, H; Wolf, M; Woschnagg, K; Xu, C; Xu, XW; Yanez, JP; Yodh, G; Yoshida, S; Zarzhitsk, P</t>
  </si>
  <si>
    <t>Abbasi, R.; Abdou, Y.; Abu-Zayyad, T.; Adams, J.; Aguilar, J. A.; Ahlers, M.; Andeen, K.; Auffenberg, J.; Bai, X.; Baker, M.; Barwick, S. W.; Bay, R.; Alba, J. L. Bazo; Beattie, K.; Beatty, J. J.; Bechet, S.; Becker, J. K.; Becker, K. -H.; Benabderrahmane, M. L.; BenZvi, S.; Berdermann, J.; Berghaus, P.; Berley, D.; Bernardini, E.; Bertrand, D.; Besson, D. Z.; Bindig, D.; Bissok, M.; Blaufuss, E.; Blumenthal, J.; Boersma, D. J.; Bohm, C.; Bose, D.; Boeser, S.; Botner, O.; Braun, J.; Brown, A. M.; Buitink, S.; Carson, M.; Chirkin, D.; Christy, B.; Clem, J.; Clevermann, F.; Cohen, S.; Colnard, C.; Cowen, D. F.; D'Agostino, M. V.; Danninger, M.; Daughhetee, J.; Davis, J. C.; De Clercq, C.; Demiroers, L.; Denger, T.; Depaepe, O.; Descamps, F.; Desiati, P.; de Vries-Uiterweerd, G.; DeYoung, T.; Diaz-Velez, J. C.; Dierckxsens, M.; Dreyer, J.; Dumm, J. P.; Ehrlich, R.; Eisch, J.; Ellsworth, R. W.; Engdegard, O.; Euler, S.; Evenson, P. A.; Fadiran, O.; Fazely, A. R.; Fedynitch, A.; Feusels, T.; Filimonov, K.; Finley, C.; Fischer-Wasels, T.; Foerster, M. M.; Fox, B. D.; Franckowiak, A.; Franke, R.; Gaisser, T. K.; Gallagher, J.; Geisler, M.; Gerhardt, L.; Gladstone, L.; Gluesenkamp, T.; Goldschmidt, A.; Goodman, J. A.; Grant, D.; Griesel, T.; Gross, A.; Grullon, S.; Gurtner, M.; Ha, C.; Hallgren, A.; Halzen, F.; Han, K.; Hanson, K.; Heinen, D.; Helbing, K.; Herquet, P.; Hickford, S.; Hill, G. C.; Hoffman, K. D.; Homeier, A.; Hoshina, K.; Hubert, D.; Huelsnitz, W.; Huelss, J. -P.; Hulth, P. O.; Hultqvist, K.; Hussain, S.; Ishihara, A.; Jacobsen, J.; Japaridze, G. S.; Johansson, H.; Joseph, J. M.; Kampert, K. -H.; Kappes, A.; Karg, T.; Karle, A.; Kelley, J. L.; Kenny, P.; Kiryluk, J.; Kislat, F.; Klein, S. R.; Koehne, J. -H.; Kohnen, G.; Kolanoski, H.; Koepke, L.; Kopper, S.; Koskinen, D. J.; Kowalski, M.; Kowarik, T.; Krasberg, M.; Krings, T.; Kroll, G.; Kuehn, K.; Kuwabara, T.; Labare, M.; Lafebre, S.; Laihem, K.; Landsman, H.; Larson, M. J.; Lauer, R.; Luenemann, J.; Madsen, J.; Majumdar, P.; Marotta, A.; Maruyama, R.; Mase, K.; Matis, H. S.; Meagher, K.; Merck, M.; Meszaros, P.; Meures, T.; Middell, E.; Milke, N.; Miller, J.; Montaruli, T.; Morse, R.; Movit, S. M.; Nahnhauer, R.; Nam, J. W.; Naumann, U.; Niessen, P.; Nygren, D. R.; Odrowski, S.; Olivas, A.; Olivo, M.; O'Murchadha, A.; Ono, M.; Panknin, S.; Paul, L.; de los Heros, C. Perez; Petrovic, J.; Piegsa, A.; Pieloth, D.; Porrata, R.; Posselt, J.; Price, P. B.; Prikockis, M.; Przybylski, G. T.; Rawlins, K.; Redl, P.; Resconi, E.; Rhode, W.; Ribordy, M.; Rizzo, A.; Rodrigues, J. P.; Roth, P.; Rothmaier, F.; Rott, C.; Ruhe, T.; Rutledge, D.; Ruzybayev, B.; Ryckbosch, D.; Sander, H. -G.; Santander, M.; Sarkar, S.; Schatto, K.; Schmidt, T.; Schoenwald, A.; Schukraft, A.; Schultes, A.; Schulz, O.; Schunck, M.; Seckel, D.; Semburg, B.; Seo, S. H.; Sestayo, Y.; Seunarine, S.; Silvestri, A.; Slipak, A.; Spiczak, G. M.; Spiering, C.; Stamatikos, M.; Stanev, T.; Stephens, G.; Stezelberger, T.; Stokstad, R. G.; Stoessl, A.; Stoyanov, S.; Strahler, E. A.; Straszheim, T.; Stuer, M.; Sullivan, G. W.; Swillens, Q.; Taavola, H.; Taboada, I.; Tamburro, A.; Tepe, A.; Ter-Antonyan, S.; Tilav, S.; Toale, P. A.; Toscano, S.; Tosi, D.; Turcan, D.; van Eijndhoven, N.; Vandenbroucke, J.; Van Overloop, A.; van Santen, J.; Vehring, M.; Voge, M.; Walck, C.; Waldenmaier, T.; Wallraff, M.; Walter, M.; Weaver, Ch; Wendt, C.; Westerhoff, S.; Whitehorn, N.; Wiebe, K.; Wiebusch, C. H.; Williams, D. R.; Wischnewski, R.; Wissing, H.; Wolf, M.; Woschnagg, K.; Xu, C.; Xu, X. W.; Yanez, J. P.; Yodh, G.; Yoshida, S.; Zarzhitsk, P.</t>
  </si>
  <si>
    <t>Background studies for acoustic neutrino detection at the South Pole</t>
  </si>
  <si>
    <t>ASTROPARTICLE PHYSICS</t>
  </si>
  <si>
    <t>Acoustic neutrino detection; Absolute noise level; Neutrino flux limit</t>
  </si>
  <si>
    <t>The detection of acoustic signals from ultra-high energy neutrino interactions is a promising method to measure the flux of cosmogenic neutrinos expected on Earth. The energy threshold for this process depends strongly on the absolute noise level in the target material. The South Pole Acoustic Test Setup (SPATS), deployed in the upper part of four boreholes of the IceCube Neutrino Observatory, has monitored the noise in Antarctic ice at the geographic South Pole for more than two years down to 500 m depth. The noise is very stable and Gaussian distributed. Lacking an in situ calibration up to now, laboratory measurements have been used to estimate the absolute noise level in the 10-50 kHz frequency range to be smaller than 20 mPa. Using a threshold trigger, sensors of the South Pole Acoustic Test Setup registered acoustic events in the IceCube detector volume and its vicinity. Acoustic signals from refreezing IceCube holes and from anthropogenic sources have been used to test the localization of acoustic events. An upper limit on the neutrino flux at energies E-v&gt;10(11) GeV is derived from acoustic data taken over eight months. (C) 2011 Elsevier B.V. All rights reserved.</t>
  </si>
  <si>
    <t>[Alba, J. L. Bazo; Benabderrahmane, M. L.; Berdermann, J.; Bernardini, E.; Franke, R.; Han, K.; Kislat, F.; Lauer, R.; Majumdar, P.; Middell, E.; Nahnhauer, R.; Schoenwald, A.; Spiering, C.; Stoessl, A.; Tosi, D.; Walter, M.; Wischnewski, R.; Yanez, J. P.] DESY, D-15735 Zeuthen, Germany; [Bissok, M.; Blumenthal, J.; Boersma, D. J.; Euler, S.; Geisler, M.; Gluesenkamp, T.; Heinen, D.; Huelss, J. -P.; Krings, T.; Laihem, K.; Meures, T.; Paul, L.; Schukraft, A.; Schunck, M.; Vehring, M.; Wallraff, M.; Wiebusch, C. H.] Rhein Westfal TH Aachen, Inst Phys 3, D-52056 Aachen, Germany; [Toale, P. A.; Williams, D. R.; Zarzhitsk, P.] Univ Alabama, Dept Phys &amp; Astron, Tuscaloosa, AL 35487 USA; [Rawlins, K.] Univ Alaska Anchorage, Dept Phys &amp; Astron, Anchorage, AK 99508 USA; [Fadiran, O.; Japaridze, G. S.] Clark Atlanta Univ, CTSPS, Atlanta, GA 30314 USA; [Daughhetee, J.; Taboada, I.; Tepe, A.] Georgia Inst Technol, Sch Phys, Atlanta, GA 30332 USA; [Daughhetee, J.; Taboada, I.; Tepe, A.] Georgia Inst Technol, Ctr Relativist Astrophys, Atlanta, GA 30332 USA; [Fazely, A. R.; Ter-Antonyan, S.; Xu, X. W.] Southern Univ, Dept Phys, Baton Rouge, LA 70813 USA; [Bay, R.; D'Agostino, M. V.; Filimonov, K.; Gerhardt, L.; Kiryluk, J.; Klein, S. R.; Porrata, R.; Price, P. B.; Vandenbroucke, J.; Woschnagg, K.] Univ Calif Berkeley, Dept Phys, Berkeley, CA 94720 USA; [Beattie, K.; Buitink, S.; Gerhardt, L.; Goldschmidt, A.; Joseph, J. M.; Kiryluk, J.; Klein, S. R.; Matis, H. S.; Nygren, D. R.; Przybylski, G. T.; Stezelberger, T.; Stokstad, R. G.] Univ Calif Berkeley, Lawrence Berkeley Natl Lab, Berkeley, CA 94720 USA; [Kappes, A.; Kolanoski, H.; Waldenmaier, T.] Humboldt Univ, Inst Phys, D-12489 Berlin, Germany; [Becker, J. K.; Dreyer, J.; Fedynitch, A.; Olivo, M.] Ruhr Univ Bochum, Fak Phys &amp; Astron, D-44780 Bochum, Germany; [Boeser, S.; Denger, T.; Franckowiak, A.; Homeier, A.; Kowalski, M.; Panknin, S.; Stuer, M.; Voge, M.] Univ Bonn, Inst Phys, D-53115 Bonn, Germany; [Seunarine, S.] Univ W Indies, Dept Phys, BB-11000 Bridgetown, Barbados; [Bechet, S.; Bertrand, D.; Dierckxsens, M.; Hanson, K.; Marotta, A.; Petrovic, J.; Swillens, Q.] Univ Libre Bruxelles, Sci Fac CP230, B-1050 Brussels, Belgium; [Bose, D.; De Clercq, C.; Depaepe, O.; Hubert, D.; Labare, M.; Rizzo, A.; Strahler, E. A.; van Eijndhoven, N.] Vrije Univ Brussel, Dienst ELEM, B-1050 Brussels, Belgium; [Ishihara, A.; Mase, K.; Ono, M.; Yoshida, S.] Chiba Univ, Dept Phys, Chiba 2638522, Japan; [Adams, J.; Brown, A. M.; Gross, A.; Hickford, S.] Univ Canterbury, Dept Phys &amp; Astron, Christchurch 1, New Zealand; [Berley, D.; Blaufuss, E.; Christy, B.; Ehrlich, R.; Ellsworth, R. W.; Goodman, J. A.; Hoffman, K. D.; Huelsnitz, W.; Meagher, K.; Olivas, A.; Redl, P.; Schmidt, T.; Straszheim, T.; Sullivan, G. W.; Turcan, D.; Wissing, H.] Univ Maryland, Dept Phys, College Pk, MD 20742 USA; [Beatty, J. J.; Davis, J. C.; Kuehn, K.; Rott, C.; Stamatikos, M.] Ohio State Univ, Dept Phys, Columbus, OH 43210 USA; [Beatty, J. J.; Davis, J. C.; Kuehn, K.; Rott, C.; Stamatikos, M.] Ohio State Univ, Ctr Cosmol &amp; Astroparticle Phys, Columbus, OH 43210 USA; [Beatty, J. J.] Ohio State Univ, Dept Astron, Columbus, OH 43210 USA; [Clevermann, F.; Koehne, J. -H.; Milke, N.; Pieloth, D.; Rhode, W.; Ruhe, T.] TU Dortmund Univ, Dept Phys, D-44221 Dortmund, Germany; [Grant, D.] Univ Alberta, Dept Phys, Edmonton, AB T6G 2G7, Canada; [Abdou, Y.; Carson, M.; Descamps, F.; de Vries-Uiterweerd, G.; Feusels, T.; Ryckbosch, D.; Van Overloop, A.] Univ Ghent, Dept Phys &amp; Astron, B-9000 Ghent, Belgium; [Colnard, C.; Gross, A.; Odrowski, S.; Resconi, E.; Schulz, O.; Sestayo, Y.; Wolf, M.] Max Planck Inst Kernphys, D-69177 Heidelberg, Germany; [Barwick, S. W.; Nam, J. W.; Silvestri, A.; Yodh, G.] Univ Calif Irvine, Dept Phys &amp; Astron, Irvine, CA 92697 USA; [Cohen, S.; Demiroers, L.; Ribordy, M.] Ecole Polytech Fed Lausanne, High Energy Phys Lab, CH-1015 Lausanne, Switzerland; [Besson, D. Z.; Kenny, P.] Univ Kansas, Dept Phys &amp; Astron, Lawrence, KS 66045 USA; [Gallagher, J.] Univ Wisconsin, Dept Astron, Madison, WI 53706 USA; [Aguilar, J. A.; Andeen, K.; Baker, M.; BenZvi, S.; Berghaus, P.; Braun, J.; Chirkin, D.; Desiati, P.; Diaz-Velez, J. C.; Dumm, J. P.; Eisch, J.; Gladstone, L.; Grullon, S.; Halzen, F.; Hill, G. C.; Hoshina, K.; Jacobsen, J.; Karle, A.; Kelley, J. L.; Krasberg, M.; Landsman, H.; Maruyama, R.; Merck, M.; Montaruli, T.; Morse, R.; O'Murchadha, A.; Rodrigues, J. P.; Santander, M.; Toscano, S.; van Santen, J.; Weaver, Ch; Wendt, C.; Westerhoff, S.; Whitehorn, N.] Univ Wisconsin, Dept Phys, Madison, WI 53706 USA; [Griesel, T.; Koepke, L.; Kowarik, T.; Kroll, G.; Luenemann, J.; Piegsa, A.; Rothmaier, F.; Sander, H. -G.; Schatto, K.; Wiebe, K.] Johannes Gutenberg Univ Mainz, Inst Phys, D-55099 Mainz, Germany; [Herquet, P.; Kohnen, G.] Univ Mons, B-7000 Mons, Belgium; [Bai, X.; Clem, J.; Evenson, P. A.; Gaisser, T. K.; Hussain, S.; Kuwabara, T.; Niessen, P.; Ruzybayev, B.; Seckel, D.; Stanev, T.; Stoyanov, S.; Tilav, S.; Xu, C.] Univ Delaware, Bartol Res Inst, Newark, DE 19716 USA; [Bai, X.; Clem, J.; Evenson, P. A.; Gaisser, T. K.; Hussain, S.; Kuwabara, T.; Niessen, P.; Ruzybayev, B.; Seckel, D.; Stanev, T.; Stoyanov, S.; Tilav, S.; Xu, C.] Univ Delaware, Dept Phys &amp; Astron, Newark, DE 19716 USA; [Ahlers, M.; Sarkar, S.] Univ Oxford, Dept Phys, Oxford OX1 3NP, England; [Abu-Zayyad, T.; Madsen, J.; Spiczak, G. M.; Tamburro, A.] Univ Wisconsin, Dept Phys, River Falls, WI 54022 USA; [Bohm, C.; Danninger, M.; Finley, C.; Hulth, P. O.; Hultqvist, K.; Johansson, H.; Seo, S. H.; Walck, C.] Stockholm Univ, Oskar Klein Ctr, SE-10691 Stockholm, Sweden; [Bohm, C.; Danninger, M.; Finley, C.; Hulth, P. O.; Hultqvist, K.; Johansson, H.; Seo, S. H.; Walck, C.] Stockholm Univ, Dept Phys, SE-10691 Stockholm, Sweden; [Meszaros, P.; Movit, S. M.] Penn State Univ, Dept Astron &amp; Astrophys, University Pk, PA 16802 USA; [Cowen, D. F.; DeYoung, T.; Foerster, M. M.; Fox, B. D.; Ha, C.; Koskinen, D. J.; Lafebre, S.; Larson, M. J.; Prikockis, M.; Rutledge, D.; Slipak, A.; Stephens, G.] Penn State Univ, Dept Phys, University Pk, PA 16802 USA; [Botner, O.; Engdegard, O.; Hallgren, A.; Miller, J.; de los Heros, C. Perez; Taavola, H.] Uppsala Univ, Dept Phys &amp; Astron, S-75120 Uppsala, Sweden; [Auffenberg, J.; Becker, K. -H.; Bindig, D.; Fischer-Wasels, T.; Gurtner, M.; Helbing, K.; Kampert, K. -H.; Karg, T.; Kopper, S.; Naumann, U.; Posselt, J.; Schultes, A.; Semburg, B.] Univ Wuppertal, Dept Phys, D-42119 Wuppertal, Germany; [Montaruli, T.] Univ Bari, I-70126 Bari, Italy; [Montaruli, T.] Sezione Ist Nazl Fis Nucl, Dipartimento Fis, I-70126 Bari, Italy; [Stamatikos, M.] NASA, Goddard Space Flight Ctr, Greenbelt, MD 20771 USA</t>
  </si>
  <si>
    <t>Helmholtz Association; Deutsches Elektronen-Synchrotron (DESY); RWTH Aachen University; University of Alabama System; University of Alabama Tuscaloosa; University of Alaska System; University of Alaska Anchorage;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University of California System; University of California Berkeley; United States Department of Energy (DOE); Lawrence Berkeley National Laboratory; Humboldt University of Berlin; Ruhr University Bochum; University of Wurzburg; University of Bonn; University West Indies Mona Jamaica; University of the West Indies Open Campus; Universite Libre de Bruxelles; Vrije Universiteit Brussel; Chiba University; University of Canterbury; University System of Maryland; University of Maryland College Park; University System of Ohio; Ohio State University; University System of Ohio; Ohio State University; University System of Ohio; Ohio State University; Dortmund University of Technology; University of Alberta; Ghent University; Max Planck Society; University of California System; University of California Irvine; Swiss Federal Institutes of Technology Domain; Ecole Polytechnique Federale de Lausanne; University of Kansas; University of Wisconsin System; University of Wisconsin Madison; University of Wisconsin System; University of Wisconsin Madison; Johannes Gutenberg University of Mainz; University of Mons; University of Delaware; University of Delaware; University of Oxford; University of Wisconsin System; Stockholm University; Oskar Klein Centre; Stockholm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Universita degli Studi di Bari Aldo Moro; Istituto Nazionale di Fisica Nucleare (INFN); National Aeronautics &amp; Space Administration (NASA); NASA Goddard Space Flight Center</t>
  </si>
  <si>
    <t>Berdermann, J (corresponding author), DESY, D-15735 Zeuthen, Germany.</t>
  </si>
  <si>
    <t>jens.berdermann@desy.de; rolf.nahnhauer@desy.de</t>
  </si>
  <si>
    <t>Hallgren, Allan/A-8963-2013; Buitink, Stijn/F-2113-2016; Heinen, Dirk/ABF-7280-2020; Beatty, James/D-9310-2011; Díaz Vélez, Juan Carlos/T-2788-2018; Bernardini, Elisa/AAA-4810-2020; Ha, C/GZL-9046-2022; Tjus, Julia/G-8145-2012; Goodman, Jordan A/J-4188-2018; Auffenberg, Jan/D-3954-2014; Naidu, Rajagopal/K-3038-2016; Venkateswararao, Gollakaram/B-5490-2015; Seo, Seon-Hee/M-1189-2019; Fedynitch, Anatoli/AAQ-9927-2021; Matis, Howard S/HMV-9747-2023; sanchez, juan/GSD-8167-2022; Williams, David/HKN-3732-2023; Maruyama, Reina H/A-1064-2013; Ha, Chang Hyon/AAR-8120-2021; Abdou, Yasser/JJE-5519-2023; Resconi, Elisa/I-3874-2016; Díaz Vélez, Juan Carlos/AAD-5211-2022; Botner, Olga/A-9110-2013; Hubert, Daan/I-1096-2019; Whitehorn, Nathan/HDM-8864-2022; Seo, Seon Hee/K-9250-2014; Sarkar, Subir/G-5978-2011; Wiebusch, Christopher H.V./G-6490-2012; Basu, Sumit/ABG-4301-2021; Miller, Jonathan/HOC-2272-2023; Matis, Howard/AAO-2082-2021; Rott, Carsten/ABB-1304-2021; Benabderrahmane, Mohamed Lotfi/JFB-3165-2023; Tamburro, Alessio/A-5703-2013; Taavola, Henric/B-4497-2011; Bose, Debanjan/IQT-3805-2023; DeYoung, Tyce/O-6895-2019; Petrovic, Jelena/JUV-4849-2023; Laihem, Karim/K-3835-2015; Sarkar, Subir/GPT-4902-2022; Ahlers, Markus/V-8757-2017; Koskinen, David/G-3236-2014; Aguilar Sanchez, Juan Antonio/H-4467-2015; Kowalski, Marek/G-5546-2012; Miller, Jonathan/R-8518-2017</t>
  </si>
  <si>
    <t>Buitink, Stijn/0000-0002-6177-497X; Heinen, Dirk/0000-0002-4502-7288; Beatty, James/0000-0003-0481-4952; Díaz Vélez, Juan Carlos/0000-0002-0087-0693; Bernardini, Elisa/0000-0003-3108-1141; Tjus, Julia/0000-0002-1748-7367; Auffenberg, Jan/0000-0002-1185-9094; Venkateswararao, Gollakaram/0000-0002-0327-7764; Seo, Seon-Hee/0000-0002-1496-624X; Fedynitch, Anatoli/0000-0003-2837-3477; Matis, Howard S/0000-0003-0764-4389; Maruyama, Reina H/0000-0003-2794-512X; Abdou, Yasser/0000-0001-7098-0487; Resconi, Elisa/0000-0003-0705-2770; Díaz Vélez, Juan Carlos/0000-0002-0087-0693; Hubert, Daan/0000-0002-4365-865X; Whitehorn, Nathan/0000-0002-3157-0407; Sarkar, Subir/0000-0002-3542-858X; Wiebusch, Christopher H.V./0000-0002-6418-3008; Basu, Sumit/0000-0003-0687-8124; Rott, Carsten/0000-0002-6958-6033; Benabderrahmane, Mohamed Lotfi/0000-0003-4410-5886; Taavola, Henric/0000-0002-2604-2810; DeYoung, Tyce/0000-0003-4873-3783; Petrovic, Jelena/0000-0001-8535-7807; Toscano, Simona/0000-0002-1860-2240; Andeen, Karen/0000-0001-9394-0007; Hill, Gary/0000-0001-8881-6802; Helbing, Klaus/0000-0003-2072-4172; Meszaros, Peter/0000-0002-4132-1746; Kolanoski, Hermann/0000-0003-0435-2524; Beattie, Keith/0000-0001-5026-2023; Perez de los Heros, Carlos/0000-0002-2084-5866; Klein, Spencer/0000-0003-2841-6553; Bose, Debanjan/0000-0003-1071-5854; Meagher, Kevin/0000-0003-3967-1533; Lauer, Robert/0000-0003-1933-7861; Kappes, Alexander/0000-0003-1315-3711; Santander, Juan Marcos/0000-0001-7297-8217; Seunarine, Suruj/0000-0003-3272-6896; Taboada, Ignacio/0000-0003-3509-3457; Ahlers, Markus/0000-0003-0709-5631; BenZvi, Segev/0000-0001-5537-4710; Karg, Timo/0000-0003-3251-2126; Rhode, Wolfgang/0000-0003-2636-5000; Koskinen, David/0000-0002-0514-5917; Spiczak, Glenn/0000-0002-0030-0519; Aguilar Sanchez, Juan Antonio/0000-0003-2252-9514; Brown, Anthony/0000-0003-0259-3148; van Eijndhoven, Nick/0000-0001-5558-3328; Ha, Chang Hyon/0000-0002-9598-8589; De Clercq, Catherine/0000-0001-5266-7059; Schukraft, Anne/0000-0002-9112-5479; Yoshida, Shigeru/0000-0003-2480-5105; Danninger, Matthias/0000-0002-7807-7484; Ruhe, Tim/0000-0002-4080-9563; Carson, Michael/0000-0003-0400-7819; Franckowiak, Anna/0000-0002-5605-2219; Ter-Antonyan, Samvel/0000-0002-5788-1369; Montaruli, Teresa/0000-0001-5014-2152; Kowalski, Marek/0000-0001-8594-8666; Desiati, Paolo/0000-0001-9768-1858; Daughhetee, Jacob/0000-0001-5220-7159; Bazo Alba, Jose Luis/0000-0001-9148-9101; Kampert, Karl-Heinz/0000-0002-2805-0195; Miller, Jonathan/0000-0002-7992-8033</t>
  </si>
  <si>
    <t>US National Science Foundation-Office of Polar Programs; US National Science Foundation-Physics Division; University of Wisconsin Alumni Research Foundation; Grid Laboratory Of Wisconsin (GLOW) grid infrastructure at the University of Wisconsin - Madison; Open Science Grid (OSG) grid infrastructure; US Department of Energy; National Energy Research Scientific Computing Center; Louisiana Optical Network Initiative (LONI) grid computing resources; National Science and Engineering Research Council of Canada; Swedish Research Council; Swedish Polar Research Secretariat; Swedish National Infrastructure for Computing (SNIC); Knut and Alice Wallenberg Foundation, Sweden; German Ministry for Education and Research (BMBF); Deutsche Forschungsgemeinschaft (DFG); Research Department of Plasmas; Complex Interactions (Bochum), Germany; Fund for Scientific Research (FNRS-FWO); FWO; Flanders Institute; Belgian Federal Science Policy Office (Belspo); University of Oxford, United Kingdom; Marsden Fund, NewZealand; Japan Society for Promotion of Science (JSPS); Swiss National Science Foundation (SNSF), Switzerland; EU; Capes Foundation, Ministry of Education of Brazil; Division Of Physics; Direct For Mathematical &amp; Physical Scien [0969661] Funding Source: National Science Foundation; Science and Technology Facilities Council [ST/J000507/1] Funding Source: researchfish; STFC [ST/J000507/1] Funding Source: UKRI</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</si>
  <si>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 - Madison; Open Science Grid (OSG) grid infrastructure; US Department of Energy(United States Department of Energy (DOE)); National Energy Research Scientific Computing Center; Louisiana Optical Network Initiative (LONI) grid computing resources; National Science and Engineering Research Council of Canada(Natural Sciences and Engineering Research Council of Canada (NSERC)); Swedish Research Council(Swedish Research Council); Swedish Polar Research Secretariat; Swedish National Infrastructure for Computing (SNIC); Knut and Alice Wallenberg Foundation, Sweden(Knut &amp; Alice Wallenberg Foundation); German Ministry for Education and Research (BMBF)(Federal Ministry of Education &amp; Research (BMBF)); Deutsche Forschungsgemeinschaft (DFG)(German Research Foundation (DFG)); Research Department of Plasmas; Complex Interactions (Bochum), Germany; Fund for Scientific Research (FNRS-FWO)(FWOFonds de la Recherche Scientifique - FNRS); FWO(FWO); Flanders Institute; Belgian Federal Science Policy Office (Belspo)(Belgian Federal Science Policy Office); University of Oxford, United Kingdom; Marsden Fund, NewZealand(Royal Society of New ZealandMarsden Fund (NZ)); Japan Society for Promotion of Science (JSPS)(Ministry of Education, Culture, Sports, Science and Technology, Japan (MEXT)Japan Society for the Promotion of Science); Swiss National Science Foundation (SNSF), Switzerland(Swiss National Science Foundation (SNSF)); EU(European Union (EU)); Capes Foundation, Ministry of Education of Brazil(Coordenacao de Aperfeicoamento de Pessoal de Nivel Superior (CAPES)); Division Of Physics; Direct For Mathematical &amp; Physical Scien(National Science Foundation (NSF)NSF - Directorate for Mathematical &amp; Physical Sciences (MPS)); Science and Technology Facilities Council(UK Research &amp; Innovation (UKRI)Science &amp; Technology Facilities Council (STFC)); STFC(UK Research &amp; Innovation (UKRI)Science &amp; Technology Facilities Council (STFC))</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</si>
  <si>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 - Madison, the Open Science Grid (OSG) grid infrastructure; US Department of Energy, and National Energy Research Scientific Computing Center, the Louisiana Optical Network Initiative (LONI) grid computing resources; National Science and Engineering Research Council of Canada; Swedish Research Council, Swedish Polar Research Secretariat, Swedish National Infrastructure for Computing (SNIC), and Knut and Alice Wallenberg Foundation, Sweden; German Ministry for Education and Research (BMBF), Deutsche Forschungsgemeinschaft (DFG),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United Kingdom; Marsden Fund, NewZealand; Japan Society for Promotion of Science (JSPS); the Swiss National Science Foundation (SNSF), Switzerland; A. Gross acknowledges support by the EU Marie Curie OIF Program; J.P. Rodrigues acknowledges support by the Capes Foundation, Ministry of Education of Brazil.</t>
  </si>
  <si>
    <t>0927-6505</t>
  </si>
  <si>
    <t>1873-2852</t>
  </si>
  <si>
    <t>ASTROPART PHYS</t>
  </si>
  <si>
    <t>Astropart Phys.</t>
  </si>
  <si>
    <t>10.1016/j.astropartphys.2011.09.004</t>
  </si>
  <si>
    <t>Astronomy &amp; Astrophysics; Physics, Particles &amp; Fields</t>
  </si>
  <si>
    <t>Astronomy &amp; Astrophysics; Physics</t>
  </si>
  <si>
    <t>898RZ</t>
  </si>
  <si>
    <t>Green Published, Green Submitted</t>
  </si>
  <si>
    <t>WOS:000300760800004</t>
  </si>
  <si>
    <t>Zheng, SJ; Zhang, YH; Zhuang, W; Li, JX; Du, Y</t>
  </si>
  <si>
    <t>Zheng Shao-Jun; Zhang Yu-Hong; Zhuang Wei; Li Jia-Xun; Du Yan</t>
  </si>
  <si>
    <t>Typical Surface Seasonal Circulation in the Indian Ocean Derived from Argos Floats</t>
  </si>
  <si>
    <t>ATMOSPHERIC AND OCEANIC SCIENCE LETTERS</t>
  </si>
  <si>
    <t>surface circulation; the Indian Ocean; Argos floats</t>
  </si>
  <si>
    <t>This study investigates the surface circulation in the Indian Ocean using Argos float data over the period 1979-2011. The Argos observations manifest some new phenomena. The climatological annual mean circulation shows that the surface current becomes much stronger after turning around in shore in the western Indian Ocean. In the tropical Indian Ocean, the Great Whirl (GW) to the east of Somalia develops quickly in spring (April-May) as the monsoon reverses to move northward, becoming strongest in summer (June-September) and disappearing in autumn (October-November). The west end of the Agulhas retroflection can reach 18 degrees E, and it exhibits a seasonal variation. At approximately 90 degrees E, the Agulhas Return Current combines with the eastward South Atlantic Current and finally joins the Antarctic Circumpolar Current.</t>
  </si>
  <si>
    <t>[Zheng Shao-Jun; Zhang Yu-Hong; Zhuang Wei; Du Yan] Chinese Acad Sci, South China Sea Inst Oceanol, State Key Lab Trop Oceanog, Guangzhou 510301, Guangdong, Peoples R China; [Li Jia-Xun] State Ocean Adm, Inst Oceanog 2, Hangzhou 310012, Zhejiang, Peoples R China</t>
  </si>
  <si>
    <t>Chinese Academy of Sciences; South China Sea Institute of Oceanology, CAS</t>
  </si>
  <si>
    <t>Du, Y (corresponding author), Chinese Acad Sci, South China Sea Inst Oceanol, State Key Lab Trop Oceanog, Guangzhou 510301, Guangdong, Peoples R China.</t>
  </si>
  <si>
    <t>duyan@scsio.ac.cn</t>
  </si>
  <si>
    <t>DU, YAN/HZI-1091-2023; Zheng, Shaojun/HJI-8088-2023; DU, Yan/C-4496-2013; zhang, zihan/JHU-2592-2023</t>
  </si>
  <si>
    <t>Zheng, Shaojun/0000-0002-9430-4210; DU, Yan/0000-0002-7842-0801; ZHANG, Yuhong/0000-0002-4826-5230</t>
  </si>
  <si>
    <t>National Basic Research Program of China [2010CB950302]; Knowledge Innovation Program of the Chinese Academy of Sciences [SQ201108]; National Natural Science Foundation of China [41176024, 41176023, 41149908]</t>
  </si>
  <si>
    <t>National Basic Research Program of China(National Basic Research Program of China); Knowledge Innovation Program of the Chinese Academy of Sciences(Chinese Academy of SciencesKnowledge Innovation Program of the Chinese Academy of Sciences); National Natural Science Foundation of China(National Natural Science Foundation of China (NSFC))</t>
  </si>
  <si>
    <t>This research was supported by the National Basic Research Program of China (2010CB950302), the Knowledge Innovation Program of the Chinese Academy of Sciences (SQ201108), and the National Natural Science Foundation of China (41176024, 41176023, and 41149908).</t>
  </si>
  <si>
    <t>TAYLOR &amp; FRANCIS LTD</t>
  </si>
  <si>
    <t>ABINGDON</t>
  </si>
  <si>
    <t>2-4 PARK SQUARE, MILTON PARK, ABINGDON OR14 4RN, OXON, ENGLAND</t>
  </si>
  <si>
    <t>1674-2834</t>
  </si>
  <si>
    <t>2376-6123</t>
  </si>
  <si>
    <t>ATMOS OCEAN SCI LETT</t>
  </si>
  <si>
    <t>Atmos. Ocean. Sci. Lett.</t>
  </si>
  <si>
    <t>10.1080/16742834.2012.11447015</t>
  </si>
  <si>
    <t>Emerging Sources Citation Index (ESCI)</t>
  </si>
  <si>
    <t>VC3OV</t>
  </si>
  <si>
    <t>WOS:000433696200011</t>
  </si>
  <si>
    <t>Bauguitte, SJB; Bloss, WJ; Evans, MJ; Salmon, RA; Anderson, PS; Jones, AE; Lee, JD; Saiz-Lopez, A; Roscoe, HK; Wolff, EW; Plane, JMC</t>
  </si>
  <si>
    <t>Bauguitte, S. J. -B.; Bloss, W. J.; Evans, M. J.; Salmon, R. A.; Anderson, P. S.; Jones, A. E.; Lee, J. D.; Saiz-Lopez, A.; Roscoe, H. K.; Wolff, E. W.; Plane, J. M. C.</t>
  </si>
  <si>
    <t>Summertime NOx measurements during the CHABLIS campaign: can source and sink estimates unravel observed diurnal cycles?</t>
  </si>
  <si>
    <t>ATMOSPHERIC CHEMISTRY AND PHYSICS</t>
  </si>
  <si>
    <t>ANTARCTIC BOUNDARY-LAYER; RADIATIVE-TRANSFER MODEL; OZONE DEPLETION EVENTS; SOUTH-POLE; COASTAL ANTARCTICA; PHOTOCHEMICAL PRODUCTION; ISCAT 2000; SNOW; NITRATE; SURFACE</t>
  </si>
  <si>
    <t>NOx measurements were conducted at the Halley Research Station, coastal Antarctica, during the austral summer period 1 January-10 February 2005. A clear NOx diurnal cycle was observed with minimum concentrations close to instrumental detection limit (5 pptv) measured between 04:00-05:00 GMT. NOx concentrations peaked (24 pptv) between 19:00-20:00GMT, approximately 5 h after local solar noon. An optimised box model of NOx concentrations based on production from in-snow nitrate photolysis and chemical loss derives a mean noon emission rate of 3.48 x 10(8) molec cm(-2) s(-1), assuming a 100m boundary layer mixing height, and a relatively short NOx lifetime of similar to 6.4 h. This emission rate compares to directly measured values ranging from 2.1 to 12.6 x 10(8) molec cm(-2) s(-1) made on 3 days at the end of the study period. Calculations of the maximum rate of NO2 loss via a variety of conventional HOx and halogen oxidation processes show that the lifetime of NOx is predominantly controlled by halogen processing, namely BrNO3 and INO3 gas-phase formation and their subsequent heterogeneous uptake. Furthermore the presence of halogen oxides is shown to significantly perturb NOx concentrations by decreasing the NO/NO2 ratio. We conclude that in coastal Antarctica, the potential ozone production efficiency of NOx emitted from the snowpack is mitigated by the more rapid NOx loss due to halogen nitrate hydrolysis.</t>
  </si>
  <si>
    <t>[Bauguitte, S. J. -B.; Salmon, R. A.; Anderson, P. S.; Jones, A. E.; Roscoe, H. K.; Wolff, E. W.] British Antarctic Survey, Nat Environm Res Council, Cambridge CB3 0ET, England; [Bloss, W. J.; Lee, J. D.] Univ Leeds, Sch Chem, Leeds LS2 9JT, W Yorkshire, England; [Evans, M. J.] Univ Leeds, Sch Earth &amp; Environm, Leeds LS2 9JT, W Yorkshire, England; [Saiz-Lopez, A.; Plane, J. M. C.] UEA, Sch Environm Sci, Norwich NR4 7TJ, Norfolk, England</t>
  </si>
  <si>
    <t>UK Research &amp; Innovation (UKRI); Natural Environment Research Council (NERC); NERC British Antarctic Survey; University of Leeds; University of Leeds; University of East Anglia</t>
  </si>
  <si>
    <t>Bauguitte, SJB (corresponding author), NERC, Facil Airborne Atmospher Measurements, Cranfield MK43 0AL, Beds, England.</t>
  </si>
  <si>
    <t>sbau@nerc.ac.uk</t>
  </si>
  <si>
    <t>Saiz-Lopez, Alfonso/B-3759-2015; lee, sooyoon/JEP-0415-2023; Bloss, William/N-1305-2014; Wolff, Eric W/D-7925-2014; Plane, John M C/C-7444-2015; Evans, Mathew John/A-3886-2012</t>
  </si>
  <si>
    <t>Saiz-Lopez, Alfonso/0000-0002-0060-1581; Bloss, William/0000-0002-3017-4461; Wolff, Eric W/0000-0002-5914-8531; Lee, James D/0000-0001-5397-2872; Evans, Mathew John/0000-0003-4775-032X</t>
  </si>
  <si>
    <t>UK Natural Environment Research Council Antarctic Funding Initiative [NER/G/S/2001/00010]; British Antarctic Survey; NERC [bas0100023, bas0100024, dml011002, ncas10006] Funding Source: UKRI; Natural Environment Research Council [NER/G/S/2001/00010, dml011002, bas0100024, ncas10006, bas0100023] Funding Source: researchfish</t>
  </si>
  <si>
    <t>UK Natural Environment Research Council Antarctic Funding Initiative; British Antarctic Survey; NERC(UK Research &amp; Innovation (UKRI)Natural Environment Research Council (NERC)); Natural Environment Research Council(UK Research &amp; Innovation (UKRI)Natural Environment Research Council (NERC))</t>
  </si>
  <si>
    <t>We wish to thank the Halley 2004/05 over-wintering staff, in particular Craig Nicholls and Vanessa O'Brien for being so understanding and patient in the overcrowded Clean Air Sector Laboratory. We also thank Steve Colwell for providing meteorological data. We wish to thank Samuel Morin for encouraging and constructive comments during the review process. We are also grateful to one anonymous referee who reviewed this paper over a number of exchanges, and whose comments undoubtedly improved the manuscript. This work was funded by the UK Natural Environment Research Council Antarctic Funding Initiative (grant number NER/G/S/2001/00010) and by the British Antarctic Survey core-funded projects SAGES-AIR and CACHE-CEFAC.</t>
  </si>
  <si>
    <t>1680-7316</t>
  </si>
  <si>
    <t>1680-7324</t>
  </si>
  <si>
    <t>ATMOS CHEM PHYS</t>
  </si>
  <si>
    <t>Atmos. Chem. Phys.</t>
  </si>
  <si>
    <t>10.5194/acp-12-989-2012</t>
  </si>
  <si>
    <t>Environmental Sciences; Meteorology &amp; Atmospheric Sciences</t>
  </si>
  <si>
    <t>Environmental Sciences &amp; Ecology; Meteorology &amp; Atmospheric Sciences</t>
  </si>
  <si>
    <t>892YL</t>
  </si>
  <si>
    <t>Green Accepted, gold, Green Submitted</t>
  </si>
  <si>
    <t>WOS:000300321500024</t>
  </si>
  <si>
    <t>von Clarmann, T; Funke, B; Glatthor, N; Kellmann, S; Kiefer, M; Kirner, O; Sinnhuber, BM; Stiller, GP</t>
  </si>
  <si>
    <t>von Clarmann, T.; Funke, B.; Glatthor, N.; Kellmann, S.; Kiefer, M.; Kirner, O.; Sinnhuber, B. -M.; Stiller, G. P.</t>
  </si>
  <si>
    <t>The MIPAS HOCl climatology</t>
  </si>
  <si>
    <t>SOLAR PROTON EVENTS; OCTOBER-NOVEMBER 2003; MICHELSON INTERFEROMETER; SOUTHERN-HEMISPHERE; OZONE DEPLETION; ARCTIC STRATOSPHERE; ANTARCTIC WINTER; TECHNICAL NOTE; CHEMISTRY; CLO</t>
  </si>
  <si>
    <t>Monthly zonal mean HOCl measurements by the Michelson Interferometer for Passive Atmospheric Sounding (MIPAS) are presented for the period from June 2002 to March 2004. Highest molar mixing ratios are found at pressure levels between 6 and 2 hPa, whereby largest mixing ratios occasionally exceed 200 ppt. The mixing ratio maximum is generally higher at lower altitudes in the summer hemisphere than in the winter hemisphere except for chlorine activation conditions in polar vortices, where enhanced HOCl abundances are also found in the lower stratosphere below about 10 hPa. During nighttime the maximum is found at higher altitudes than during daytime. Particularly low values (below 80 ppt) during daytime are found in subpolar regions in the winter hemisphere where HOCl photolysis is still strong but where HOCl precursors are less abundant than at other latitudes. The Antarctic polar winter HOCl distribution in 2002, the year of the split of the southern polar vortex, resembles northern polar winters rather than other southern polar winters. Increased HOCl amounts in response to the so-called Halloween solar proton event in autumn 2003 affect the representativeness of data recorded during this particular episode. Calculations with the EMAC model reproduce the measured HOCl distribution reasonably well. MIPAS measurements confirm that the reaction rate constants for HO2 + ClO -&gt; HOCl + O-2 from the most recent JPL recommendation allow much more realistic modelling of HOCl than reaction rate constants from earlier recommendations. Modeled HOCl mixing ratios, however, are still too low except in the polar winter stratosphere where the model overestimates the HOCl abundance.</t>
  </si>
  <si>
    <t>[von Clarmann, T.; Glatthor, N.; Kellmann, S.; Kiefer, M.; Sinnhuber, B. -M.; Stiller, G. P.] Karlsruhe Inst Technol, Inst Meteorol &amp; Climate Res, Karlsruhe, Germany; [Funke, B.] CSIC, Inst Astrofis Andalucia, Granada, Spain; [Kirner, O.] Karlsruhe Inst Technol, Steinbuch Ctr Comp, Karlsruhe, Germany</t>
  </si>
  <si>
    <t>Helmholtz Association; Karlsruhe Institute of Technology; Consejo Superior de Investigaciones Cientificas (CSIC); CSIC - Instituto de Astrofisica de Andalucia (IAA); Helmholtz Association; Karlsruhe Institute of Technology</t>
  </si>
  <si>
    <t>von Clarmann, T (corresponding author), Karlsruhe Inst Technol, Inst Meteorol &amp; Climate Res, Karlsruhe, Germany.</t>
  </si>
  <si>
    <t>thomas.clarmann@kit.edu</t>
  </si>
  <si>
    <t>Glatthor, Norbert/B-2141-2013; Stiller, Gabriele P./A-7340-2013; Kirner, Oliver/K-8815-2015; von Clarmann, Thomas/A-7287-2013; Kiefer, Michael/A-7254-2013; Sinnhuber, Bjorn-Martin/A-7007-2013; Funke, Bernd/C-2162-2008</t>
  </si>
  <si>
    <t>Stiller, Gabriele P./0000-0003-2883-6873; Kirner, Oliver/0000-0001-5668-6177; Sinnhuber, Bjorn-Martin/0000-0001-9608-7320; Funke, Bernd/0000-0003-0462-4702</t>
  </si>
  <si>
    <t>Scientific Supercomputing Center (SSC) Karlsruhe; CSIC [200950I081]; Deutsche Forschungsgemeinschaft; Karlsruhe Institute of Technology; [50EE0901]; [AYA200803498/ESP]</t>
  </si>
  <si>
    <t>Scientific Supercomputing Center (SSC) Karlsruhe; CSIC; Deutsche Forschungsgemeinschaft(German Research Foundation (DFG)); Karlsruhe Institute of Technology(Helmholtz Association); ;</t>
  </si>
  <si>
    <t>The retrievals of IMK/IAA were performed on the HP XC4000 of the Scientific Supercomputing Center (SSC) Karlsruhe under project grant MIPAS. IMK data analysis was supported by DLR under contract number 50EE0901. BF was supported by the Spanish project AYA200803498/ESP by the project 200950I081 of CSIC. MIPAS level 1B data were provided by ESA. We acknowledge support by Deutsche Forschungsgemeinschaft and Open Access Publishing Fund of Karlsruhe Institute of Technology.</t>
  </si>
  <si>
    <t>10.5194/acp-12-1965-2012</t>
  </si>
  <si>
    <t>900GW</t>
  </si>
  <si>
    <t>WOS:000300875900018</t>
  </si>
  <si>
    <t>Harrison, RM; Dall'Osto, M; Beddows, DCS; Thorpe, AJ; Bloss, WJ; Allan, JD; Coe, H; Dorsey, JR; Gallagher, M; Martin, C; Whitehead, J; Williams, PI; Jones, RL; Langridge, JM; Benton, AK; Ball, SM; Langford, B; Hewitt, CN; Davison, B; Martin, D; Petersson, KF; Henshaw, SJ; White, IR; Shallcross, DE; Barlow, JF; Dunbar, T; Davies, F; Nemitz, E; Phillips, GJ; Helfter, C; Di Marco, CF; Smith, S</t>
  </si>
  <si>
    <t>Harrison, R. M.; Dall'Osto, M.; Beddows, D. C. S.; Thorpe, A. J.; Bloss, W. J.; Allan, J. D.; Coe, H.; Dorsey, J. R.; Gallagher, M.; Martin, C.; Whitehead, J.; Williams, P. I.; Jones, R. L.; Langridge, J. M.; Benton, A. K.; Ball, S. M.; Langford, B.; Hewitt, C. N.; Davison, B.; Martin, D.; Petersson, K. F.; Henshaw, S. J.; White, I. R.; Shallcross, D. E.; Barlow, J. F.; Dunbar, T.; Davies, F.; Nemitz, E.; Phillips, G. J.; Helfter, C.; Di Marco, C. F.; Smith, S.</t>
  </si>
  <si>
    <t>Atmospheric chemistry and physics in the atmosphere of a developed megacity (London): an overview of the REPARTEE experiment and its conclusions</t>
  </si>
  <si>
    <t>AEROSOL MASS-SPECTROMETER; EDDY COVARIANCE MEASUREMENTS; VOLATILE ORGANIC-COMPOUNDS; AIR-POLLUTION; HIGH-RESOLUTION; PARTICULATE MATTER; FLUX MEASUREMENTS; DISPERSION EXPERIMENTS; CARBONACEOUS AEROSOL; EXCHANGE FLUXES</t>
  </si>
  <si>
    <t>The &lt; b &gt; RE gents &lt; b &gt; PAR k and &lt; b &gt; T ower &lt; b &gt; E nvironmental &lt; b &gt; E xperiment (REPARTEE) comprised two campaigns in London in October 2006 and October/November 2007. The experiment design involved measurements at a heavily trafficked roadside site, two urban background sites and an elevated site at 160-190 m above ground on the BT Tower, supplemented in the second campaign by Doppler lidar measurements of atmospheric vertical structure. A wide range of measurements of airborne particle physical metrics and chemical composition were made as well as measurements of a considerable range of gas phase species and the fluxes of both particulate and gas phase substances. Significant findings include (a) demonstration of the evaporation of traffic-generated nanoparticles during both horizontal and vertical atmospheric transport; (b) generation of a large base of information on the fluxes of nanoparticles, accumulation mode particles and specific chemical components of the aerosol and a range of gas phase species, as well as the elucidation of key processes and comparison with emissions inventories; (c) quantification of vertical gradients in selected aerosol and trace gas species which has demonstrated the important role of regional transport in influencing concentrations of sulphate, nitrate and secondary organic compounds within the atmosphere of London; (d) generation of new data on the atmospheric structure and turbulence above London, including the estimation of mixed layer depths; (e) provision of new data on trace gas dispersion in the urban atmosphere through the release of purposeful tracers; (f) the determination of spatial differences in aerosol particle size distributions and their interpretation in terms of sources and physico-chemical transformations; (g) studies of the nocturnal oxidation of nitrogen oxides and of the diurnal behaviour of nitrate aerosol in the urban atmosphere, and (h) new information on the chemical composition and source apportionment of particulate matter size fractions in the atmosphere of London derived both from bulk chemical analysis and aerosol mass spectrometry with two instrument types.</t>
  </si>
  <si>
    <t>[Harrison, R. M.; Dall'Osto, M.; Beddows, D. C. S.; Thorpe, A. J.; Bloss, W. J.] Univ Birmingham, Sch Geog Earth &amp; Environm Sci, Div Environm Hlth &amp; Risk Management, Natl Ctr Atmospher Sci, Birmingham B15 2TT, W Midlands, England; [Harrison, R. M.] King Abdulaziz Univ, Dept Environm Sci, Ctr Excellence Environm Studies, Jeddah 21589, Saudi Arabia; [Dall'Osto, M.] CSIC, Inst Environm Assessment &amp; Water Res IDAEA, E-08028 Barcelona, Spain; [Thorpe, A. J.] AECOM, Beckenham BR3 4DE, Kent, England; [Allan, J. D.; Coe, H.; Dorsey, J. R.; Gallagher, M.; Martin, C.; Whitehead, J.; Williams, P. I.] Univ Manchester, Ctr Atmospher Sci, Sch Earth Atmospher &amp; Environm Sci, Manchester M13 9PL, Lancs, England; [Allan, J. D.; Dorsey, J. R.; Williams, P. I.] Univ Manchester, Natl Ctr Atmospher Sci, Sch Earth Atmospher &amp; Environm Sci, Manchester M13 9PL, Lancs, England; [Jones, R. L.; Langridge, J. M.; Benton, A. K.] Univ Cambridge, Dept Chem, Ctr Atmospher Sci, Cambridge CB2 1EW, England; [Langridge, J. M.] Univ Colorado, Cooperat Inst Res Environm Sci, Boulder, CO 80309 USA; [Langridge, J. M.] NOAA, Earth Syst Res Lab, Div Chem Sci, Boulder, CO USA; [Benton, A. K.] British Antarctic Survey, Cambridge CB3 0ET, England; [Ball, S. M.] Univ Leicester, Dept Chem, Leicester LE1 7RH, Leics, England; [Langford, B.; Hewitt, C. N.; Davison, B.] Univ Lancaster, Lancaster Environm Ctr, Lancaster LA1 4YQ, England; [Langford, B.; Nemitz, E.; Phillips, G. J.; Helfter, C.; Di Marco, C. F.] Ctr Ecol &amp; Hydrol, Penicuik EH26 0QB, Midlothian, Scotland; [Martin, D.; Petersson, K. F.; Henshaw, S. J.; White, I. R.; Shallcross, D. E.] Univ Bristol, Sch Chem, Atmospher Chem Res Grp, Bristol BS8 1TS, Avon, England; [Barlow, J. F.; Dunbar, T.] Univ Reading, Dept Meteorol, Reading RG6 6B, Berks, England; [Davies, F.] Univ Salford, Sch Environm &amp; Life Sci, Salford M5 4WT, Greater Manches, England; [Phillips, G. J.] Max Planck Inst Chem, D-55128 Mainz, Germany; [Smith, S.] Univ London, Dept Earth Sci, Egham TW20 0EX, Surrey, England</t>
  </si>
  <si>
    <t>UK Research &amp; Innovation (UKRI); Natural Environment Research Council (NERC); NERC National Centre for Atmospheric Science; University of Birmingham; King Abdulaziz University; Consejo Superior de Investigaciones Cientificas (CSIC); CSIC - Centro de Investigacion y Desarrollo Pascual Vila (CID-CSIC); CSIC - Instituto de Diagnostico Ambiental y Estudios del Agua (IDAEA); University of Manchester; University of Manchester; UK Research &amp; Innovation (UKRI); Natural Environment Research Council (NERC); NERC National Centre for Atmospheric Science; University of Cambridge; University of Colorado System; University of Colorado Boulder; National Oceanic Atmospheric Admin (NOAA) - USA; UK Research &amp; Innovation (UKRI); Natural Environment Research Council (NERC); NERC British Antarctic Survey; University of Leicester; Lancaster University; UK Centre for Ecology &amp; Hydrology (UKCEH); University of Bristol; University of Reading; University of Salford; Max Planck Society; University of London; Royal Holloway University London</t>
  </si>
  <si>
    <t>Harrison, RM (corresponding author), Univ Birmingham, Sch Geog Earth &amp; Environm Sci, Div Environm Hlth &amp; Risk Management, Natl Ctr Atmospher Sci, Birmingham B15 2TT, W Midlands, England.</t>
  </si>
  <si>
    <t>r.m.harrison@bham.ac.uk</t>
  </si>
  <si>
    <t>Nemitz, Eiko/I-6121-2012; Gallagher, Martin/ABH-7381-2020; Beddows, David/ABA-7223-2021; Dunbar, Tyrone/AAA-8786-2020; Davies, Fay/B-1735-2010; Allan, James/B-1160-2010; Williams, Paul I/C-2663-2013; Hewitt, Charles Nicholas/B-1219-2009; Phillips, Gavin James/A-6570-2009; Martin, David/K-7406-2017; Hewitt, Charles Nicholas/ABF-9429-2020; Coe, Hugh/C-8733-2013; Barlow, Janet Fraser/HKN-8491-2023; Harrison, Roy Michael/A-2256-2008; Whitehead, James D/D-3088-2012; White, Iain/AAY-8452-2021; Bloss, William/N-1305-2014; Langford, Ben/N-3072-2013; dallosto, manuel/G-3584-2016; Helfter, Carole/A-1835-2010</t>
  </si>
  <si>
    <t>Beddows, David/0000-0001-9277-2099; Dunbar, Tyrone/0000-0001-6221-5611; Allan, James/0000-0001-6492-4876; Williams, Paul I/0000-0002-8973-4718; Hewitt, Charles Nicholas/0000-0001-7973-2666; Phillips, Gavin James/0000-0003-4443-0822; Hewitt, Charles Nicholas/0000-0001-7973-2666; Barlow, Janet Fraser/0000-0002-9022-6833; White, Iain/0000-0001-9040-0048; Bloss, William/0000-0002-3017-4461; Langford, Ben/0000-0002-6968-5197; dallosto, manuel/0000-0003-4203-894X; Dorsey, James/0000-0002-1720-9412; Gallagher, Martin/0000-0002-4968-6088; Helfter, Carole/0000-0001-5773-4652; Ball, Stephen/0000-0002-5756-4718; Coe, Hugh/0000-0002-3264-1713; Jones, Roderic/0000-0002-6761-3966</t>
  </si>
  <si>
    <t>Natural Environment Research Council through the National Centre for Atmospheric Science; CityFlux grant; BOC Foundation; Bristol ChemLabS; Eurochlor; NERC [NE/H003150/1, bas0100024, NE/G01972X/1, NE/H00324X/1, NE/I014381/1, ncas10006, NE/J009008/1] Funding Source: UKRI; Natural Environment Research Council [ncas10006, bas0100024, NE/H00324X/1, NE/G01972X/1, NE/I014381/1, NE/J009008/1, ceh010023, NE/B504865/1, NE/H003150/1] Funding Source: researchfish</t>
  </si>
  <si>
    <t>Natural Environment Research Council through the National Centre for Atmospheric Science; CityFlux grant; BOC Foundation; Bristol ChemLabS; Eurochlor; NERC(UK Research &amp; Innovation (UKRI)Natural Environment Research Council (NERC)); Natural Environment Research Council(UK Research &amp; Innovation (UKRI)Natural Environment Research Council (NERC))</t>
  </si>
  <si>
    <t>The authors are grateful to BT for allowing access to the BT Tower and to the Royal Parks for providing facilities at Regent's Park. Funding was provided by the Natural Environment Research Council through the National Centre for Atmospheric Science and the CityFlux grant, and the BOC Foundation. Bristol ChemLabS and Eurochlor supported work at the University of Bristol.</t>
  </si>
  <si>
    <t>10.5194/acp-12-3065-2012</t>
  </si>
  <si>
    <t>917LM</t>
  </si>
  <si>
    <t>Green Accepted, Green Submitted, gold</t>
  </si>
  <si>
    <t>WOS:000302178000014</t>
  </si>
  <si>
    <t>Pfaffhuber, KA; Berg, T; Hirdman, D; Stohl, A</t>
  </si>
  <si>
    <t>Pfaffhuber, K. A.; Berg, T.; Hirdman, D.; Stohl, A.</t>
  </si>
  <si>
    <t>Atmospheric mercury observations from Antarctica: seasonal variation and source and sink region calculations</t>
  </si>
  <si>
    <t>GASEOUS ELEMENTAL MERCURY; DISPERSION MODEL FLEXPART; SPRINGTIME DEPLETION; WORLDWIDE TREND; ATLANTIC-OCEAN; SEA-ICE; CHEMISTRY; EVENTS; BAY</t>
  </si>
  <si>
    <t>Long term atmospheric mercury measurements in the Southern Hemisphere are scarce and in Antarctica completely absent. Recent studies have shown that the Antarctic continent plays an important role in the global mercury cycle. Therefore, long term measurements of gaseous elemental mercury (GEM) were initiated at the Norwegian Antarctic Research Station, Troll (TRS) in order to improve our understanding of atmospheric transport, transformation and removal processes of GEM. GEM measurements started in February 2007 and are still ongoing, and this paper presents results from the first four years. The mean annual GEM concentration of 0.93 +/- 0.19 ng m(-3) is in good agreement with other recent southern-hemispheric measurements. Measurements of GEM were combined with the output of the Lagrangian particle dispersion model FLEXPART, for a statistical analysis of GEM source and sink regions. It was found that the ocean is a source of GEM to TRS year round, especially in summer and fall. On time scales of up to 20 days, there is little direct transport of GEM to TRS from Southern Hemisphere continents, but sources there are important for determining the overall GEM load in the Southern Hemisphere and for the mean GEM concentration at TRS. Further, the sea ice and marginal ice zones are GEM sinks in spring as also seen in the Arctic, but the Antarctic oceanic sink seems weaker. Contrary to the Arctic, a strong summer time GEM sink was found, when air originates from the Antarctic plateau, which shows that the summertime removal mechanism of GEM is completely different and is caused by other chemical processes than the springtime atmospheric mercury depletion events. The results were corroborated by an analysis of ozone source and sink regions.</t>
  </si>
  <si>
    <t>[Pfaffhuber, K. A.; Berg, T.; Hirdman, D.; Stohl, A.] Norwegian Inst Air Res NILU, Kjeller, Norway</t>
  </si>
  <si>
    <t>NILU</t>
  </si>
  <si>
    <t>Pfaffhuber, KA (corresponding author), Norwegian Inst Air Res NILU, Kjeller, Norway.</t>
  </si>
  <si>
    <t>kap@nilu.no</t>
  </si>
  <si>
    <t>Berg, Torunn/I-3521-2013; Pfaffhuber, Katrine Aspmo/G-9334-2017; Stohl, Andreas/A-7535-2008; Berg, Torunn/S-5887-2017</t>
  </si>
  <si>
    <t>Berg, Torunn/0000-0002-2264-6676; Stohl, Andreas/0000-0002-2524-5755;</t>
  </si>
  <si>
    <t>Norwegian Antarctic Research Expeditions (NARE) program; Norwegian Research Council</t>
  </si>
  <si>
    <t>Norwegian Antarctic Research Expeditions (NARE) program; Norwegian Research Council(Research Council of Norway)</t>
  </si>
  <si>
    <t>The authors wish to thank the referees for valuable input improving the quality of the manuscript, and C. D. Holmes for an interesting discussion regarding chemical atmospheric processes. Financial support to sustain measurements is given through the Norwegian Antarctic Research Expeditions (NARE) program administered by the Norwegian Polar Institute (NPI). We are very grateful for the technical support offered by the overwintering NPI staff at TRS, and we also want to thank our excellent technician and instrument care taker Jan H. Wasseng. Funding by the Norwegian Research Council in the framework of CLIMSLIP supported the model analyses.</t>
  </si>
  <si>
    <t>10.5194/acp-12-3241-2012</t>
  </si>
  <si>
    <t>926BQ</t>
  </si>
  <si>
    <t>Green Submitted, gold</t>
  </si>
  <si>
    <t>WOS:000302806700007</t>
  </si>
  <si>
    <t>Lindenmaier, R; Strong, K; Batchelor, RL; Chipperfield, MP; Daffer, WH; Drummond, JR; Duck, TJ; Fast, H; Feng, W; Fogal, PF; Kolonjari, F; Manney, GL; Manson, A; Meek, C; Mittermeier, RL; Nott, GJ; Perro, C; Walker, KA</t>
  </si>
  <si>
    <t>Lindenmaier, R.; Strong, K.; Batchelor, R. L.; Chipperfield, M. P.; Daffer, W. H.; Drummond, J. R.; Duck, T. J.; Fast, H.; Feng, W.; Fogal, P. F.; Kolonjari, F.; Manney, G. L.; Manson, A.; Meek, C.; Mittermeier, R. L.; Nott, G. J.; Perro, C.; Walker, K. A.</t>
  </si>
  <si>
    <t>Unusually low ozone, HCl, and HNO3 column measurements at Eureka, Canada during winter/spring 2011</t>
  </si>
  <si>
    <t>POLAR STRATOSPHERIC CLOUDS; FOURIER-TRANSFORM SPECTROMETERS; ACE-FTS; NORTHERN-HEMISPHERE; LIDAR OBSERVATIONS; UPPER TROPOSPHERE; VOLCANIC AEROSOL; LOWER MESOSPHERE; WINTER 2002/2003; ANTARCTIC OZONE</t>
  </si>
  <si>
    <t>As a consequence of dynamically variable meteorological conditions, springtime Arctic ozone levels exhibit significant interannual variability in the lower stratosphere. In winter 2011, the polar vortex was strong and cold for an unusually long time. Our research site, located at Eureka, Nunavut, Canada (80.05A degrees N, 86.42A degrees W), was mostly inside the vortex from October 2010 until late March 2011. The Bruker 125HR Fourier transform infrared spectrometer installed at the Polar Environment Atmospheric Research Laboratory at Eureka acquired measurements from 23 February to 6 April during the 2011 Canadian Arctic Atmospheric Chemistry Experiment Validation Campaign. These measurements showed unusually low ozone, HCl, and HNO3 total columns compared to the previous 14 yr. To remove dynamical effects, we normalized these total columns by the HF total column. The normalized values of the ozone, HCl, and HNO3 total columns were smaller than those from previous years, and confirmed the occurrence of chlorine activation and chemical ozone depletion. To quantify the chemical ozone loss, a three-dimensional chemical transport model, SLIMCAT, and the passive subtraction method were used. The chemical ozone depletion was calculated as the mean percentage difference between the measured ozone and the SLIMCAT passive ozone, and was found to be 35%.</t>
  </si>
  <si>
    <t>[Batchelor, R. L.] Natl Ctr Atmospher Res, Atmospher Chem Div, Boulder, CO 80310 USA; [Chipperfield, M. P.; Feng, W.] Univ Leeds, Inst Climate &amp; Atmospher Sci, Sch Earth &amp; Environm, Leeds LS2 9JT, W Yorkshire, England; [Daffer, W. H.; Manney, G. L.] CALTECH, Jet Prop Lab, Pasadena, CA 91109 USA; [Drummond, J. R.; Duck, T. J.; Nott, G. J.; Perro, C.] Dalhousie Univ, Dept Phys &amp; Atmospher Sci, Halifax, NS B3H 1Z9, Canada; [Fast, H.; Fogal, P. F.; Mittermeier, R. L.] Environm Canada, Air Qual Res Div, Toronto, ON M3H 5T4, Canada; [Feng, W.] Univ Leeds, Natl Ctr Atmospher Sci, Sch Earth &amp; Environm, Leeds LS2 9JT, W Yorkshire, England; [Manney, G. L.] New Mexico Inst Min &amp; Technol, Dept Phys, Socorro, NM 87801 USA; [Manson, A.; Meek, C.] Univ Saskatchewan, Inst Space &amp; Atmospher Studies, Saskatoon, SK S7N 5E2, Canada; [Lindenmaier, R.; Strong, K.; Fogal, P. F.; Kolonjari, F.; Walker, K. A.] Univ Toronto, Dept Phys, Toronto, ON M5S 1A7, Canada</t>
  </si>
  <si>
    <t>National Center Atmospheric Research (NCAR) - USA; University of Leeds; California Institute of Technology; National Aeronautics &amp; Space Administration (NASA); NASA Jet Propulsion Laboratory (JPL); Dalhousie University; Environment &amp; Climate Change Canada; University of Leeds; UK Research &amp; Innovation (UKRI); Natural Environment Research Council (NERC); NERC National Centre for Atmospheric Science; New Mexico Institute of Mining Technology; University of Saskatchewan; University of Toronto</t>
  </si>
  <si>
    <t>Lindenmaier, R (corresponding author), Los Alamos Natl Lab, POB 1663, Los Alamos, NM 87545 USA.</t>
  </si>
  <si>
    <t>rodica@atmosp.physics.utoronto.ca</t>
  </si>
  <si>
    <t>Manney, Gloria/JED-7207-2023; Drummond, James R/O-7467-2014; Fogal, Pierre F/D-8241-2017; FENG, WUHU/B-8327-2008; Chipperfield, Martyn/H-6359-2013; Batchelor, Rebecca/AAS-8576-2020; Daffer, William/AGV-1399-2022; Strong, Kimberly/D-2563-2012</t>
  </si>
  <si>
    <t>FENG, WUHU/0000-0002-9907-9120; Chipperfield, Martyn/0000-0002-6803-4149; Batchelor, Rebecca/0000-0002-7594-3148; Strong, Kimberly/0000-0001-9947-1053</t>
  </si>
  <si>
    <t>Atlantic Innovation Fund/Nova Scotia Research Innovation Trust; Canadian Foundation for Climate and Atmospheric Sciences; Canada Foundation for Innovation; Canadian Space Agency (CSA); Environment Canada (EC); Government of Canada; Natural Sciences and Engineering Research Council (NSERC); Ontario Innovation Trust; Polar Continental Shelf Program; Ontario Research Fund; Northern Scientific Training Program; Natural Environment Research Council [ncas10006] Funding Source: researchfish; NERC [ncas10006] Funding Source: UKRI</t>
  </si>
  <si>
    <t>Atlantic Innovation Fund/Nova Scotia Research Innovation Trust; Canadian Foundation for Climate and Atmospheric Sciences; Canada Foundation for Innovation(Canada Foundation for InnovationCGIARSpanish Government); Canadian Space Agency (CSA)(Canadian Space Agency); Environment Canada (EC); Government of Canada(CGIAR); Natural Sciences and Engineering Research Council (NSERC)(Natural Sciences and Engineering Research Council of Canada (NSERC)); Ontario Innovation Trust; Polar Continental Shelf Program; Ontario Research Fund; Northern Scientific Training Program; Natural Environment Research Council(UK Research &amp; Innovation (UKRI)Natural Environment Research Council (NERC)); NERC(UK Research &amp; Innovation (UKRI)Natural Environment Research Council (NERC))</t>
  </si>
  <si>
    <t>The authors wish to thank the staff at the Eureka weather station and CANDAC for the logistical and on-site support provided at Eureka. Thanks to CANDAC/PEARL operators Ashley Harrett, Alexei Khmel, Paul Loewen, Keith MacQuarrie, Oleg Mikhailov, and Matt Okraszewski, for their invaluable assistance in maintaining the Bruker 125HR and for taking measurements. CANDAC and PEARL are funded by the Atlantic Innovation Fund/Nova Scotia Research Innovation Trust, Canadian Foundation for Climate and Atmospheric Sciences, Canada Foundation for Innovation, Canadian Space Agency (CSA), Environment Canada (EC), Government of Canada International Polar Year funding, Natural Sciences and Engineering Research Council (NSERC), Ontario Innovation Trust, Polar Continental Shelf Program and the Ontario Research Fund. The springtime Canadian Arctic ACE Validation Campaigns are supported by the CSA, EC, NSERC, and the Northern Scientific Training Program. Thanks to EC for launching the radiosondes and making the data available.</t>
  </si>
  <si>
    <t>10.5194/acp-12-3821-2012</t>
  </si>
  <si>
    <t>942ON</t>
  </si>
  <si>
    <t>WOS:000304054800019</t>
  </si>
  <si>
    <t>Buizert, C; Martinerie, P; Petrenko, VV; Severinghaus, JP; Trudinger, CM; Witrant, E; Rosen, JL; Orsi, AJ; Rubino, M; Etheridge, DM; Steele, LP; Hogan, C; Laube, JC; Sturges, WT; Levchenko, VA; Smith, AM; Levin, I; Conway, TJ; Dlugokencky, EJ; Lang, PM; Kawamura, K; Jenk, TM; White, JWC; Sowers, T; Schwander, J; Blunier, T</t>
  </si>
  <si>
    <t>Buizert, C.; Martinerie, P.; Petrenko, V. V.; Severinghaus, J. P.; Trudinger, C. M.; Witrant, E.; Rosen, J. L.; Orsi, A. J.; Rubino, M.; Etheridge, D. M.; Steele, L. P.; Hogan, C.; Laube, J. C.; Sturges, W. T.; Levchenko, V. A.; Smith, A. M.; Levin, I.; Conway, T. J.; Dlugokencky, E. J.; Lang, P. M.; Kawamura, K.; Jenk, T. M.; White, J. W. C.; Sowers, T.; Schwander, J.; Blunier, T.</t>
  </si>
  <si>
    <t>Gas transport in firn: multiple-tracer characterisation and model intercomparison for NEEM, Northern Greenland</t>
  </si>
  <si>
    <t>ABRUPT CLIMATE-CHANGE; ATMOSPHERIC CO2; POLAR FIRN; ICE-CORE; METHYL-CHLORIDE; METHANE BUDGET; ANTARCTIC ICE; AIR MOVEMENT; TRAPPED AIR; AGE</t>
  </si>
  <si>
    <t>Air was sampled from the porous firn layer at the NEEM site in Northern Greenland. We use an ensemble of ten reference tracers of known atmospheric history to characterise the transport properties of the site. By analysing uncertainties in both data and the reference gas atmospheric histories, we can objectively assign weights to each of the gases used for the depth-diffusivity reconstruction. We define an objective root mean square criterion that is minimised in the model tuning procedure. Each tracer constrains the firn profile differently through its unique atmospheric history and free air diffusivity, making our multiple-tracer characterisation method a clear improvement over the commonly used single-tracer tuning. Six firn air transport models are tuned to the NEEM site; all models successfully reproduce the data within a 1 sigma Gaussian distribution. A comparison between two replicate boreholes drilled 64 m apart shows differences in measured mixing ratio profiles that exceed the experimental error. We find evidence that diffusivity does not vanish completely in the lock-in zone, as is commonly assumed. The ice age- gas age difference (Delta age) at the firn-ice transition is calculated to be 182(-9)(+3) yr. We further present the first intercomparison study of firn air models, where we introduce diagnostic scenarios designed to probe specific aspects of the model physics. Our results show that there are major differences in the way the models handle advective transport. Furthermore, diffusive fractionation of isotopes in the firn is poorly constrained by the models, which has consequences for attempts to reconstruct the isotopic composition of trace gases back in time using firn air and ice core records.</t>
  </si>
  <si>
    <t>[Buizert, C.; Rubino, M.; Etheridge, D. M.; Jenk, T. M.; Blunier, T.] Univ Copenhagen, Niels Bohr Inst, Ctr Ice &amp; Climate, DK-2100 Copenhagen O, Denmark; [Martinerie, P.] Univ Grenoble 1, CNRS, Lab Glaciol &amp; Geophys Environm, F-38402 St Martin Dheres, France; [Petrenko, V. V.; White, J. W. C.] Univ Colorado, Inst Arctic &amp; Alpine Res, Boulder, CO 80309 USA; [Severinghaus, J. P.; Orsi, A. J.] Univ Calif San Diego, Scripps Inst Oceanog, La Jolla, CA 92093 USA; [Trudinger, C. M.; Rubino, M.; Etheridge, D. M.; Steele, L. P.] CSIRO Marine &amp; Atmospher Res, Ctr Australian Weather &amp; Climate Res, Aspendale, Vic, Australia; [Witrant, E.] Univ Grenoble 1, CNRS, Grenoble, France; [Rosen, J. L.] Oregon State Univ, Dept Geosci, Corvallis, OR 97331 USA; [Hogan, C.; Laube, J. C.; Sturges, W. T.] Univ E Anglia, Sch Environm Sci, Norwich NR4 7TJ, Norfolk, England; [Levchenko, V. A.; Smith, A. M.] Australian Nucl Sci &amp; Technol Org, Kirrawee Dc, NSW 2232, Australia; [Levin, I.] Heidelberg Univ, Inst Umweltphys, INF 229, D-69120 Heidelberg, Germany; [Conway, T. J.; Dlugokencky, E. J.; Lang, P. M.] NOAA, Earth Syst Res Lab, Boulder, CO USA; [Kawamura, K.] Natl Inst Polar Res, Tachikawa, Tokyo 1908518, Japan; [Sowers, T.] Penn State Univ, Earth &amp; Environm Syst Inst, University Pk, PA 16802 USA; [Schwander, J.] Univ Bern, Inst Phys, CH-3012 Bern, Switzerland</t>
  </si>
  <si>
    <t>University of Copenhagen; Niels Bohr Institute; Centre National de la Recherche Scientifique (CNRS); Communaute Universite Grenoble Alpes; Universite Grenoble Alpes (UGA); University of Colorado System; University of Colorado Boulder; University of California System; University of California San Diego; Scripps Institution of Oceanography; Commonwealth Scientific &amp; Industrial Research Organisation (CSIRO); Centre National de la Recherche Scientifique (CNRS); Communaute Universite Grenoble Alpes; Universite Grenoble Alpes (UGA); Oregon State University; University of East Anglia; Australian Nuclear Science &amp; Technology Organisation; Ruprecht Karls University Heidelberg; National Oceanic Atmospheric Admin (NOAA) - USA; Research Organization of Information &amp; Systems (ROIS); National Institute of Polar Research (NIPR) - Japan; Pennsylvania Commonwealth System of Higher Education (PCSHE); Pennsylvania State University; Pennsylvania State University - University Park; University of Bern</t>
  </si>
  <si>
    <t>Buizert, C (corresponding author), Univ Copenhagen, Niels Bohr Inst, Ctr Ice &amp; Climate, Juliane Maries Vej 30, DK-2100 Copenhagen O, Denmark.</t>
  </si>
  <si>
    <t>christo@nbi.ku.dk</t>
  </si>
  <si>
    <t>Etheridge, David M/B-7334-2013; Martinerie, Patricia/N-5731-2017; , Andrew/HLX-8550-2023; White, James W.C./A-7845-2009; Rubino, Mauro/Q-5578-2016; Dlugokencky, Edward/AAN-8746-2020; Steele, Paul/B-3185-2009; Trudinger, Cathy/A-2532-2008; Laube, Johannes C/P-6772-2017; Blunier, Thomas/M-4609-2014; Jenk, Theo/D-5777-2017; Kawamura, Kenji/C-7660-2011</t>
  </si>
  <si>
    <t>Martinerie, Patricia/0000-0002-6820-2296; Dlugokencky, Edward/0000-0003-0612-6985; Trudinger, Cathy/0000-0002-4844-2153; Petrenko, Vasilii/0000-0002-0263-8759; Blunier, Thomas/0000-0002-6065-7747; Jenk, Theo/0000-0001-6820-8615; Etheridge, David/0000-0001-7970-2002; Smith, Andrew/0000-0002-9193-2617; Buizert, Christo/0000-0002-2227-1747; Kawamura, Kenji/0000-0003-1163-700X; Rubino, Mauro/0000-0002-8721-4508</t>
  </si>
  <si>
    <t>Belgium (FNRS-CFB); Belgium (FWO); Canada (GSC); China (CAS); Denmark (FIST); France (IPEV); France (CNRS/INSU); France (CEA); France (ANR); Germany (AWI); Iceland (RannIs); Japan (NIPR); Korea (KOPRI); The Netherlands (NWO/ALW); Sweden (VR); Switzerland (SNF); United Kingdom (NERC); USA (US NSF, Office of Polar); NOAA; NSF [0632222, 0806387, 0806377]; NERC [NE/F021194/1, NE/F015585/1]; PhD Studentship (Hogan); Australian Climate Change Science Program; Department of Climate Change and Energy Efficiency; Bureau of Meteorology and CSIRO; CNRS through INSIS/PEPS; INSU/LEFE; NERC [NE/I021918/1, NE/F015585/1, NE/F021194/1] Funding Source: UKRI; Natural Environment Research Council [NE/F021194/1, 1092450, NE/I021918/1, NE/F015585/1] Funding Source: researchfish; Directorate For Geosciences; Office of Polar Programs (OPP) [0806387, 0806377] Funding Source: National Science Foundation; Office of Polar Programs (OPP); Directorate For Geosciences [0632222] Funding Source: National Science Foundation; Grants-in-Aid for Scientific Research [21671001, 22221002, 22241003, 22310003] Funding Source: KAKEN</t>
  </si>
  <si>
    <t>Belgium (FNRS-CFB)(Fonds de la Recherche Scientifique - FNRS); Belgium (FWO)(FWO); Canada (GSC);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NOAA(National Oceanic Atmospheric Admin (NOAA) - USA); NSF(National Science Foundation (NSF)); NERC(UK Research &amp; Innovation (UKRI)Natural Environment Research Council (NERC)); PhD Studentship (Hogan); Australian Climate Change Science Program; Department of Climate Change and Energy Efficiency; Bureau of Meteorology and CSIRO; CNRS through INSIS/PEPS; INSU/LEFE;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</si>
  <si>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We would like to thank Stephen Montzka, Bradley Hall and Geoff Dutton from NOAA-ESRL for providing halocarbon and SF6 atmospheric data and for their help on gas calibration scales; Ray Weiss and Ray Wang for their kind help on AGAGE atmospheric data and calibration scales; Paul Krummel for providing NOAA/AGAGE(SIO) concentration ratios for halocarbon species based on flask and in-situ measurements; Bradley Hall for providing IHALACE results prior to their publication. Comments and suggestions by three anonymous referees improved the manuscript considerably. This work benefited greatly from numerous data available in public databases, in particular: AGAGE (http://cdiac.ornl.gov/ndps/alegage.html), NOAA ESRL (http://www.esrl.noaa.gov/gmd) and EDGAR (http://www.rivm.nl/edgar). We thank the people involved in the acquiring, analysis, and accessibility of these data. NEEM is directed and organised by the Center for Ice and Climate at the Niels Bohr Institute and US NSF, Office of Polar Programs. It is supported by funding agencies and institutions in Belgium (FNRS-CFB and FWO), Canada (GSC), China (CAS), Denmark (FIST), France (IPEV, CNRS/INSU, CEA and ANR), Germany (AWI), Iceland (RannIs), Japan (NIPR), Korea (KOPRI), The Netherlands (NWO/ALW), Sweden (VR), Switzerland (SNF), United Kingdom (NERC) and the USA (US NSF, Office of Polar Programs). C. Buizert would like to thank Bruce Vaughn (INSTAAR, University of Colorado) for his hospitality and support; V. V. Petrenko has been supported by the NOAA Postdoctoral Fellowship in Climate and Global Change and NSF grants 0632222 and 0806387 (White); A. J. Orsi and J. P. Severinghaus were supported by NSF 0806377; UEA acknowledges NERC for awards NE/F021194/1, NE/F015585/1 and a PhD Studentship (Hogan); the CSIRO contributions to this work were partly supported by the Australian Climate Change Science Program, funded jointly by the Department of Climate Change and Energy Efficiency, the Bureau of Meteorology and CSIRO; the French contribution to this study was further supported by CNRS through INSIS/PEPS-automatique and INSU/LEFE programs.</t>
  </si>
  <si>
    <t>10.5194/acp-12-4259-2012</t>
  </si>
  <si>
    <t>942OT</t>
  </si>
  <si>
    <t>Green Published, Green Submitted, Green Accepted, gold</t>
  </si>
  <si>
    <t>WOS:000304055600027</t>
  </si>
  <si>
    <t>García-Comas, M; Funke, B; López-Puertas, M; Bermejo-Pantaleón, D; Glatthor, N; von Clarmann, T; Stiller, G; Grabowski, U; Boone, CD; French, WJR; Leblanc, T; López-González, MJ; Schwartz, MJ</t>
  </si>
  <si>
    <t>Garcia-Comas, M.; Funke, B.; Lopez-Puertas, M.; Bermejo-Pantaleon, D.; Glatthor, N.; von Clarmann, T.; Stiller, G.; Grabowski, U.; Boone, C. D.; French, W. J. R.; Leblanc, T.; Lopez-Gonzalez, M. J.; Schwartz, M. J.</t>
  </si>
  <si>
    <t>On the quality of MIPAS kinetic temperature in the middle atmosphere</t>
  </si>
  <si>
    <t>LIMB EMISSION-SPECTRA; MESOSPHERIC TEMPERATURES; MICHELSON INTERFEROMETER; EQUILIBRIUM EMISSIONS; DAVIS STATION; RETRIEVAL; CO2; AIRGLOW; MODEL; VALIDATION</t>
  </si>
  <si>
    <t>The kinetic temperature and line of sight elevation information are retrieved from the MIPAS Middle Atmosphere (MA), Upper Atmosphere (UA) and NoctiLucent-Cloud (NLC) modes of high spectral resolution limb observations of the CO2 15 mu m emission using the dedicated IMK/IAA retrieval algorithm, which considers non-local thermodynamic equilibrium conditions. These variables are accurately derived from about 20 km (MA) and 40 km (UA and NLC) to 105 km globally and both at daytime and nighttime. Typical temperature random errors are smaller than 0.5 K below 50 km, 0.5-2 K at 50-70 km, and 2-7 K above. The systematic error is typically 1 K below 70 km, 1-3 K from 70 to 85 km and 3-11 K from 85 to 100 km. The average vertical resolution is typically 4 km below 35 km, 3 km at 35-50 km, 4-6 km at 50-90 km, and 6-10 km above. We compared our MIPAS temperature retrievals from 2005 to 2009 with co-located ground-based measurements from the lidars located at the Table Mountain Facility and Mauna Loa Observatory, the SATI spectrograph in Granada (Spain) and the Davis station spectrometer, and satellite observations from ACE-FTS, Aura-MLS and TIMED-SABER from 20 km to 100 km. We also compared MIPAS temperatures with the high latitudes climatology from falling sphere measurements. The comparisons show very good agreement, with differences smaller than 3 K below 85-90 km in mid-latitudes. Differences over the poles in this altitude range are larger but can be generally explained in terms of known biases of the other instruments. The comparisons above 90 km worsen and MIPAS retrieved temperatures are always larger than other instrument measurements.</t>
  </si>
  <si>
    <t>[Garcia-Comas, M.; Funke, B.; Lopez-Puertas, M.; Bermejo-Pantaleon, D.; Lopez-Gonzalez, M. J.] Inst Astrofis Andalucia CSIC, Granada, Spain; [Garcia-Comas, M.] Univ Granada, Dpto Fis Aplicada, Granada, Spain; [Glatthor, N.; von Clarmann, T.; Stiller, G.; Grabowski, U.] Inst Meteorol &amp; Klimaforsch, Karlsruhe Inst Technol, Karlsruhe, Germany; [Boone, C. D.] Univ Waterloo, Waterloo, ON N2L 3G1, Canada; [French, W. J. R.] Australian Antarctic Div, Kingston, Tas, Australia; [Leblanc, T.] CALTECH, Jet Prop Lab, Wrightwood, CA USA; [Schwartz, M. J.] CALTECH, Jet Prop Lab, Pasadena, CA USA</t>
  </si>
  <si>
    <t>Consejo Superior de Investigaciones Cientificas (CSIC); CSIC - Instituto de Astrofisica de Andalucia (IAA); University of Granada; Helmholtz Association; Karlsruhe Institute of Technology; University of Waterloo; Australian Antarctic Division; California Institute of Technology; National Aeronautics &amp; Space Administration (NASA); NASA Jet Propulsion Laboratory (JPL); National Aeronautics &amp; Space Administration (NASA); NASA Jet Propulsion Laboratory (JPL); California Institute of Technology</t>
  </si>
  <si>
    <t>García-Comas, M (corresponding author), Inst Astrofis Andalucia CSIC, Granada, Spain.</t>
  </si>
  <si>
    <t>maya@iaa.es</t>
  </si>
  <si>
    <t>von Clarmann, Thomas/A-7287-2013; Garcia-Comas, Maya/E-4050-2014; Glatthor, Norbert/B-2141-2013; Bermejo-Pantaleón, Diego/B-7862-2019; Stiller, Gabriele P./A-7340-2013; Schwartz, Michael J/F-5172-2016; Lopez-Gonzalez, Maria Jose/AAB-9217-2019; Lopez-Puertas, Manuel/M-8219-2013; Funke, Bernd/C-2162-2008</t>
  </si>
  <si>
    <t>Garcia-Comas, Maya/0000-0003-2323-4486; Bermejo-Pantaleón, Diego/0000-0002-3543-6803; Stiller, Gabriele P./0000-0003-2883-6873; Lopez-Gonzalez, Maria Jose/0000-0001-8104-5128; Lopez-Puertas, Manuel/0000-0003-2941-7734; French, John/0000-0001-9305-6190; Funke, Bernd/0000-0003-0462-4702; von Clarmann, Thomas/0000-0003-2219-3379</t>
  </si>
  <si>
    <t>ESA within the framework of the Changing Earth Science Network Initiative; Spanish MICINN [AYA2008-03498/ESP]; EC FEDER funds; Canadian Space Agency; Antarctic Science Advisory committee [701]</t>
  </si>
  <si>
    <t>ESA within the framework of the Changing Earth Science Network Initiative; Spanish MICINN(Spanish Government); EC FEDER funds(European Union (EU)); Canadian Space Agency(Canadian Space Agency); Antarctic Science Advisory committee</t>
  </si>
  <si>
    <t>MGC was supported by ESA within the framework of the Changing Earth Science Network Initiative. The IAA team was supported by the Spanish MICINN, under project AYA2008-03498/ESP, and EC FEDER funds. The Atmospheric Chemistry Experiment mission is funded primarily by the Canadian Space Agency. The Davis OH data used within this paper were obtained from the Australian Antarctic Data Centre (IDN Node AMD/AU), a part of the Australian Antarctic Division (Commonwealth of Australia). These data are described in the metadata record Rotational temperature studies of the hydroxyl airglow layer above Davis, Antarctica of Burns, G. and French, J. (2002, updated 2009) at the Australian Antarctic Data Centre - CAASM Metadata (http://data.aad.gov.au/aadc/metadata/). The Davis program is supported by the Antarctic Science Advisory committee under project 701.</t>
  </si>
  <si>
    <t>10.5194/acp-12-6009-2012</t>
  </si>
  <si>
    <t>973NI</t>
  </si>
  <si>
    <t>Green Submitted, Green Published, gold</t>
  </si>
  <si>
    <t>WOS:000306366500020</t>
  </si>
  <si>
    <t>Abbatt, JPD; Thomas, JL; Abrahamsson, K; Boxe, C; Granfors, A; Jones, AE; King, MD; Saiz-Lopez, A; Shepson, PB; Sodeau, J; Toohey, DW; Toubin, C; von Glasow, R; Wren, SN; Yang, X</t>
  </si>
  <si>
    <t>Abbatt, J. P. D.; Thomas, J. L.; Abrahamsson, K.; Boxe, C.; Granfors, A.; Jones, A. E.; King, M. D.; Saiz-Lopez, A.; Shepson, P. B.; Sodeau, J.; Toohey, D. W.; Toubin, C.; von Glasow, R.; Wren, S. N.; Yang, X.</t>
  </si>
  <si>
    <t>Halogen activation via interactions with environmental ice and snow in the polar lower troposphere and other regions</t>
  </si>
  <si>
    <t>OZONE DEPLETION EVENTS; SEA-SALT AEROSOL; ARCTIC BOUNDARY-LAYER; IN-SITU MEASUREMENTS; MOLECULAR-DYNAMICS SIMULATIONS; HYDROCHLORIC-ACID IONIZATION; ATMOSPHERIC METHYL-IODIDE; DRY NACL/NABR SURFACES; FROST FLOWER GROWTH; HETEROGENEOUS REACTION</t>
  </si>
  <si>
    <t>The role of ice in the formation of chemically active halogens in the environment requires a full understanding because of its role in atmospheric chemistry, including controlling the regional atmospheric oxidizing capacity in specific situations. In particular, ice and snow are important for facilitating multiphase oxidative chemistry and as media upon which marine algae live. This paper reviews the nature of environmental ice substrates that participate in halogen chemistry, describes the reactions that occur on such substrates, presents the field evidence for ice-mediated halogen activation, summarizes our best understanding of ice-halogen activation mechanisms, and describes the current state of modeling these processes at different scales. Given the rapid pace of developments in the field, this paper largely addresses advances made in the past five years, with emphasis given to the polar boundary layer. The integrative nature of this field is highlighted in the presentation of work from the molecular to the regional scale, with a focus on understanding fundamental processes. This is essential for developing realistic parameterizations and descriptions of these processes for inclusion in larger scale models that are used to determine their regional and global impacts.</t>
  </si>
  <si>
    <t>[Abbatt, J. P. D.; Wren, S. N.] Univ Toronto, Dept Chem, Toronto, ON M5S 3H6, Canada; [Thomas, J. L.] Univ Versailles St Quentin, UPMC Univ Paris 06, UMR8190, CNRS,INSU,LATMOS,IPSL, Paris, France; [Thomas, J. L.] Univ Calif Los Angeles, Dept Atmospher &amp; Ocean Sci, Los Angeles, CA 90095 USA; [Abrahamsson, K.] Univ Gothenburg, Dept Chem &amp; Mol Biol, S-41296 Gothenburg, Sweden; [Boxe, C.] CUNY Medgar Evers Coll, Dept Phys Environm &amp; Comp Sci, Brooklyn, NY 11235 USA; [Jones, A. E.] British Antarctic Survey, Nat Environm Res Council, Cambridge CB3 0ET, England; [King, M. D.] Univ London, Dept Earth Sci, Egham TW20 0EX, Surrey, England; [Saiz-Lopez, A.] CSIC, Lab Atmospher &amp; Climate Sci, Toledo, Spain; [Shepson, P. B.] Purdue Univ, Dept Chem &amp; Earth &amp; Atmospher Sci, W Lafayette, IN 47907 USA; [Sodeau, J.] Natl Univ Ireland Univ Coll Cork, Dept Chem, Cork, Ireland; [Sodeau, J.] Natl Univ Ireland Univ Coll Cork, Environm Reserach Inst, Cork, Ireland; [Toohey, D. W.] Univ Colorado, Dept Atmospher &amp; Ocean Sci, Boulder, CO 80309 USA; [Toubin, C.] Univ Sci &amp; Technol Lille, Lab Phys Lasers Atomes &amp; Mol, CNRS, CERLA,UMR8523, F-59655 Villeneuve Dascq, France; [von Glasow, R.] Univ E Anglia, Sch Environm Sci, Norwich NR4 7TJ, Norfolk, England; [Yang, X.] Univ Cambridge, Dept Chem, Ctr Atmospher Sci, Cambridge CB2 1EW, England</t>
  </si>
  <si>
    <t>University of Toronto; Sorbonne Universite; Universite Paris Cite; Centre National de la Recherche Scientifique (CNRS); CNRS - National Institute for Earth Sciences &amp; Astronomy (INSU); Universite Paris Saclay; University of California System; University of California Los Angeles; University of Gothenburg; City University of New York (CUNY) System; UK Research &amp; Innovation (UKRI); Natural Environment Research Council (NERC); NERC British Antarctic Survey; University of London; Royal Holloway University London; Consejo Superior de Investigaciones Cientificas (CSIC); Purdue University System; Purdue University; University College Cork; University College Cork; University of Colorado System; University of Colorado Boulder; Universite de Lille; Centre National de la Recherche Scientifique (CNRS); CNRS - Institute of Physics (INP); University of East Anglia; University of Cambridge</t>
  </si>
  <si>
    <t>Abbatt, JPD (corresponding author), Univ Toronto, Dept Chem, Toronto, ON M5S 3H6, Canada.</t>
  </si>
  <si>
    <t>jabbatt@chem.utoronto.ca; jennie.thomas@latmos.ipsl.fr</t>
  </si>
  <si>
    <t>von Glasow, Roland/E-2125-2011; Sodeau, John/IAM-0533-2023; Yang, Xin/AGB-3514-2022; Shepson, Paul B/E-9955-2012; King, Martin/B-1308-2009; Saiz-Lopez, Alfonso/B-3759-2015; Abrahamsson, Katarina/A-7616-2010; Toohey, Darin W/A-4267-2008</t>
  </si>
  <si>
    <t>von Glasow, Roland/0000-0002-3944-2784; Yang, Xin/0000-0002-3838-9758; King, Martin/0000-0002-0089-7693; Saiz-Lopez, Alfonso/0000-0002-0060-1581; Toohey, Darin W/0000-0003-2853-1068; TOUBIN, Celine/0000-0002-7379-8178; Abbatt, Jonathan/0000-0002-3372-334X</t>
  </si>
  <si>
    <t>IGAC; OPALE; ANR (Agence National de Recherche) [ANR-616 09-BLAN-0226]; Natural Environment Research Council [ncas10006, bas0100024] Funding Source: researchfish; Office of Polar Programs (OPP); Directorate For Geosciences [1107695] Funding Source: National Science Foundation; NERC [ncas10006, bas0100024] Funding Source: UKRI</t>
  </si>
  <si>
    <t>IGAC; OPALE; ANR (Agence National de Recherche)(Agence Nationale de la Recherche (ANR));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</si>
  <si>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This paper was prepared as a follow-up to an IGAC-sponsored workshop on Air-Ice Chemical Interactions (AICI) held at Columbia University, 2011. The authors thank IGAC for its support and the workshop co-organizers, Thorsten Bartels-Rausch and Faye McNeill. JLT would like acknowledge the support of the OPALE project funded by the ANR (Agence National de Recherche) contract ANR-616 09-BLAN-0226.</t>
  </si>
  <si>
    <t>10.5194/acp-12-6237-2012</t>
  </si>
  <si>
    <t>979HO</t>
  </si>
  <si>
    <t>Green Accepted, Green Published, Green Submitted, gold</t>
  </si>
  <si>
    <t>WOS:000306808300013</t>
  </si>
  <si>
    <t>McNeill, VF; Grannas, AM; Abbatt, JPD; Ammann, M; Ariya, P; Bartels-Rausch, T; Domine, F; Donaldson, DJ; Guzman, MI; Heger, D; Kahan, TF; Klán, P; Masclin, S; Toubin, C; Voisin, D</t>
  </si>
  <si>
    <t>McNeill, V. F.; Grannas, A. M.; Abbatt, J. P. D.; Ammann, M.; Ariya, P.; Bartels-Rausch, T.; Domine, F.; Donaldson, D. J.; Guzman, M. I.; Heger, D.; Kahan, T. F.; Klan, P.; Masclin, S.; Toubin, C.; Voisin, D.</t>
  </si>
  <si>
    <t>Organics in environmental ices: sources, chemistry, and impacts</t>
  </si>
  <si>
    <t>POLYCYCLIC AROMATIC-HYDROCARBONS; HENRY LAW CONSTANTS; AIR-WATER-INTERFACE; ANTARCTIC SEA-ICE; DICARBOXYLIC-ACIDS; BLACK CARBON; CORE RECORD; ATMOSPHERIC CHEMISTRY; MICROBIAL COMMUNITIES; CHEMICAL INTERACTIONS</t>
  </si>
  <si>
    <t>The physical, chemical, and biological processes involving organics in ice in the environment impact a number of atmospheric and biogeochemical cycles. Organic material in snow or ice may be biological in origin, deposited from aerosols or atmospheric gases, or formed chemically in situ. In this manuscript, we review the current state of knowledge regarding the sources, properties, and chemistry of organic materials in environmental ices. Several outstanding questions remain to be resolved and fundamental data gathered before an accurate model of transformations and transport of organic species in the cryosphere will be possible. For example, more information is needed regarding the quantitative impacts of chemical and biological processes, ice morphology, and snow formation on the fate of organic material in cold regions. Interdisciplinary work at the interfaces of chemistry, physics and biology is needed in order to fully characterize the nature and evolution of organics in the cryosphere and predict the effects of climate change on the Earth's carbon cycle.</t>
  </si>
  <si>
    <t>[McNeill, V. F.] Columbia Univ, Dept Chem Engn, New York, NY 10027 USA; [Grannas, A. M.] Villanova Univ, Dept Chem, Villanova, PA 19085 USA; [Abbatt, J. P. D.; Donaldson, D. J.] Univ Toronto, Dept Chem, Toronto, ON M5S 3H6, Canada; [Ammann, M.; Bartels-Rausch, T.] Paul Scherrer Inst, Lab Radio &amp; Environm Chem, CH-5232 Villigen, Switzerland; [Ariya, P.] McGill Univ, Dept Chem, Montreal, PQ H3A 2K6, Canada; [Ariya, P.] McGill Univ, Dept Atmospher &amp; Ocean Sci, Montreal, PQ H3A 2K6, Canada; [Domine, F.] Univ Laval, Takuvik Int Lab, Quebec City, PQ G1V 0A6, Canada; [Guzman, M. I.] Univ Kentucky, Dept Chem, Lexington, KY 40506 USA; [Heger, D.; Klan, P.] Masaryk Univ, Fac Sci, Dept Chem, Brno 62500, Czech Republic; [Heger, D.; Klan, P.] Masaryk Univ, Fac Sci, Res Ctr Tox Cpds Environm, Brno, Czech Republic; [Kahan, T. F.] Syracuse Univ, Dept Chem, Syracuse, NY 12344 USA; [Masclin, S.] Univ Calif Merced, Merced, CA 95343 USA; [Toubin, C.] Univ Lille, Lab PhLAM, UFR Phys, Villeneuve Dascq, France; [Voisin, D.] Univ Grenoble 1, LGGE OSUG, F-38402 St Martin Dheres, France</t>
  </si>
  <si>
    <t>Columbia University; Villanova University; University of Toronto; Swiss Federal Institutes of Technology Domain; Paul Scherrer Institute; McGill University; McGill University; Laval University; University of Kentucky; Masaryk University Brno; Masaryk University Brno; Syracuse University; University of California System; University of California Merced; Universite de Lille; Communaute Universite Grenoble Alpes; Universite Grenoble Alpes (UGA)</t>
  </si>
  <si>
    <t>McNeill, VF (corresponding author), Columbia Univ, Dept Chem Engn, New York, NY 10027 USA.</t>
  </si>
  <si>
    <t>vfm2103@columbia.edu</t>
  </si>
  <si>
    <t>Bartels-Rausch, Thorsten/A-7651-2008; Heger, Dominik/V-4369-2019; voisin, didier/ABE-6110-2020; Klán, Petr/H-1189-2012; Guzman, Marcelo I./C-5966-2008; Klán, Petr/JCE-4586-2023; McNeill, V. Faye/B-5841-2013; Ariya, Parisa A/G-2810-2015; Ammann, Markus/E-4576-2011; Heger, Dominik/H-9934-2012; Grannas, Amanda/F-4804-2010; Donaldson, James/G-7120-2012</t>
  </si>
  <si>
    <t>Bartels-Rausch, Thorsten/0000-0002-7548-2572; Heger, Dominik/0000-0002-6881-8699; voisin, didier/0000-0003-1317-7561; Klán, Petr/0000-0001-6287-2742; Guzman, Marcelo I./0000-0002-6730-7766; Klán, Petr/0000-0001-6287-2742; Ammann, Markus/0000-0001-5922-9000; Heger, Dominik/0000-0002-6881-8699; Grannas, Amanda/0000-0003-4719-348X; TOUBIN, Celine/0000-0002-7379-8178; Donaldson, James/0000-0002-5090-3318; Abbatt, Jonathan/0000-0002-3372-334X</t>
  </si>
  <si>
    <t>IGAC; Columbia University School of Engineering and Applied Sciences; NSF [ATM-0845043, ATM-0547435]; NSERC; CFCAS; Swiss National Science Foundation [121857, 125179]; French Polar Institute (IPEV); University of Kentucky; Grant Agency of the Czech Republic [203/09/P445, P503/10/0947]; European Regional Development Fund [CZ.1.05/2.1.00/01.0001]; Div Atmospheric &amp; Geospace Sciences; Directorate For Geosciences [0845043] Funding Source: National Science Foundation</t>
  </si>
  <si>
    <t>IGAC; Columbia University School of Engineering and Applied Sciences; NSF(National Science Foundation (NSF)); NSERC(Natural Sciences and Engineering Research Council of Canada (NSERC)); CFCAS; Swiss National Science Foundation(Swiss National Science Foundation (SNSF)); French Polar Institute (IPEV); University of Kentucky; Grant Agency of the Czech Republic(Grant Agency of the Czech RepublicNorwegian Agency for Development Cooperation - NORAD); European Regional Development Fund(European Union (EU)); Div Atmospheric &amp; Geospace Sciences; Directorate For Geosciences(National Science Foundation (NSF)NSF - Directorate for Geosciences (GEO))</t>
  </si>
  <si>
    <t>This manuscript arose from discussion during and following the 3rd Workshop on Air-Ice Chemical Interactions in June 2011, in New York, NY. This workshop was sponsored in part by IGAC and the Columbia University School of Engineering and Applied Sciences. V. F. M. wishes to acknowledge support from the NSF CAREER award (ATM-0845043). A. M. G. wishes to acknowledge support from the NSF CAREER award (ATM-0547435). J. P. D. A., D. J. D., and T. F. K. acknowledge NSERC and CFCAS for funding. M. A. and T. B. appreciate support by the Swiss National Science Foundation (grants 121857 and 125179). P. A. A. is grateful to NSERC, FQRNT, and CFI. Part of the work of F. D. and D. V. was supported by the French Polar Institute (IPEV). M. G.: Funding from the University of Kentucky is gratefully acknowledged. D. H.: The work was supported by the Grant Agency of the Czech Republic (203/09/P445). P. K.: The work was supported by the Grant Agency of the Czech Republic (P503/10/0947), and the project CETOCOEN (CZ.1.05/2.1.00/01.0001) granted by the European Regional Development Fund.</t>
  </si>
  <si>
    <t>10.5194/acp-12-9653-2012</t>
  </si>
  <si>
    <t>029BS</t>
  </si>
  <si>
    <t>Green Submitted, gold, Green Accepted</t>
  </si>
  <si>
    <t>WOS:000310470400014</t>
  </si>
  <si>
    <t>Hosking, JS; Russo, MR; Braesicke, P; Pyle, JA</t>
  </si>
  <si>
    <t>Hosking, J. S.; Russo, M. R.; Braesicke, P.; Pyle, J. A.</t>
  </si>
  <si>
    <t>Tropical convective transport and the Walker circulation</t>
  </si>
  <si>
    <t>MESOSCALE PRESSURE SYSTEMS; SINGLE-COLUMN MODEL; DEEP CONVECTION; BOUNDARY-LAYER; STRATOSPHERIC BROMINE; NUMERICAL PREDICTION; ATMOSPHERIC MODELS; TROPOPAUSE LAYER; BROMOFORM; REPRESENTATION</t>
  </si>
  <si>
    <t>We introduce a methodology to visualise rapid vertical and zonal tropical transport pathways. Using prescribed sea-surface temperatures in four monthly model integrations for 2005, we characterise preferred transport routes from the troposphere to the stratosphere in a high resolution climate model. Most efficient transport is modelled over the Maritime Continent (MC) in November and February, i.e., boreal winter. In these months, the ascending branch of the Walker Circulation over the MC is formed in conjunction with strong deep convection, allowing fast transport into the stratosphere. In the model the upper tropospheric zonal winds associated with the Walker Circulation are also greatest in these months in agreement with ERA-Interim reanalysis data. We conclude that the Walker circulation plays an important role in the seasonality of fast tropical transport from the lower and middle troposphere to the upper troposphere and so impacts at the same time the potential supply of surface emissions to the tropical tropopause layer (TTL) and subsequently to the stratosphere.</t>
  </si>
  <si>
    <t>[Hosking, J. S.; Russo, M. R.; Braesicke, P.; Pyle, J. A.] Univ Cambridge, Ctr Atmospher Sci, Cambridge, England; [Russo, M. R.; Braesicke, P.; Pyle, J. A.] Univ Cambridge, Natl Ctr Atmospher Sci, Cambridge, England</t>
  </si>
  <si>
    <t>University of Cambridge; University of Cambridge; UK Research &amp; Innovation (UKRI); Natural Environment Research Council (NERC); NERC National Centre for Atmospheric Science</t>
  </si>
  <si>
    <t>Hosking, JS (corresponding author), British Antarctic Survey, Cambridge CB3 0ET, England.</t>
  </si>
  <si>
    <t>scott.hosking@atm.ch.cam.ac.uk</t>
  </si>
  <si>
    <t>Braesicke, Peter/D-8330-2016; Hosking, Scott/D-3437-2013</t>
  </si>
  <si>
    <t>Braesicke, Peter/0000-0003-1423-0619; Hosking, Scott/0000-0002-3646-3504; Russo, Maria/0000-0003-1061-7007</t>
  </si>
  <si>
    <t>NERC; NERC [bas0100023] Funding Source: UKRI; Natural Environment Research Council [bas0100023, ncas10009]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</si>
  <si>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</si>
  <si>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NERC-funded National Centre for Atmospheric Science (NCAS), and J. S. H gratefully acknowledges an e-Science studentship, supported by NERC. We thank David Jackson from the MO for providing the initial conditions for the model from the data assimilation system. Furthermore, we would like to thank Paul Telford from the University of Cambridge and Charles Chemel from University of Hertfordshire for their helpful advice throughout.</t>
  </si>
  <si>
    <t>10.5194/acp-12-9791-2012</t>
  </si>
  <si>
    <t>WOS:000310470400023</t>
  </si>
  <si>
    <t>Attard, E; Yang, H; Delort, AM; Amato, P; Pöschl, U; Glaux, C; Koop, T; Morris, CE</t>
  </si>
  <si>
    <t>Attard, E.; Yang, H.; Delort, A. -M.; Amato, P.; Poeschl, U.; Glaux, C.; Koop, T.; Morris, C. E.</t>
  </si>
  <si>
    <t>Effects of atmospheric conditions on ice nucleation activity of Pseudomonas</t>
  </si>
  <si>
    <t>WATER ACTIVITY; MINERAL DUST; SYRINGAE; BACTERIA; POPULATION; NITRATION; CHEMISTRY; AEROSOL; EXPRESSION; SURROGATES</t>
  </si>
  <si>
    <t>Although ice nuclei from bacterial origin are known to be efficient at the highest temperatures known for ice catalysts, quantitative data are still needed to assess their role in cloud processes. Here we studied the effects of three typical cloud conditions (i) acidic pH (ii) NO2 and O-3 exposure and (iii) UV-A exposure on the ice nucleation activity (INA) of four Pseudomonas strains. Three of the Pseudomonas syringae strains were isolated from cloud water and the phyllosphere and Pseudomonas fluorescens strain CGina-01 was isolated from Antarctic glacier ice melt. Among the three conditions tested, acidic pH caused the most significant effects on INA likely due to denaturation of the ice nucleation protein complex. Exposure to NO2 and O-3 gases had no significant or only weak effects on the INA of two P. syringae strains whereas the INA of P. fluorescens CGina-01 was significantly affected. The INA of the third P. syringae strain showed variable responses to NO2 and O-3 exposure. These differences in the INA of different Pseudomonas suggest that the response to atmospheric conditions could be strain-specific. After UV-A exposure, a substantial loss of viability of all four strains was observed whereas their INA decreased only slightly. This corroborates the notion that under certain conditions dead bacterial cells can maintain their INA. Overall, the negative effects of the three environmental factors on INA were more significant at the warmer temperatures. Our results suggest that in clouds where temperatures are near 0 degrees C, the importance of bacterial ice nucleation in precipitation processes could be reduced by some environmental factors.</t>
  </si>
  <si>
    <t>[Attard, E.; Delort, A. -M.; Amato, P.; Morris, C. E.] CNRS, ICCF, UMR6296, F-63171 Aubiere, France; [Attard, E.; Delort, A. -M.; Amato, P.] Univ Blaise Pascal, Univ Clermont Ferrand 2, Inst Chim Clermont Ferrand, F-63000 Clermont Ferrand, France; [Yang, H.; Poeschl, U.] Max Planck Inst Chem, Multiphase Chem Dept, D-55128 Mainz, Germany; [Glaux, C.; Morris, C. E.] INRA, Pathol Vegetale UR407, F-84140 Montfavet, France; [Koop, T.] Univ Bielefeld, Fac Chem, D-33615 Bielefeld, Germany</t>
  </si>
  <si>
    <t>Centre National de la Recherche Scientifique (CNRS); CNRS - Institute of Chemistry (INC); Universite Clermont Auvergne (UCA); Universite Clermont Auvergne (UCA); Centre National de la Recherche Scientifique (CNRS); Max Planck Society; INRAE; University of Bielefeld</t>
  </si>
  <si>
    <t>Morris, CE (corresponding author), CNRS, ICCF, UMR6296, BP 80026, F-63171 Aubiere, France.</t>
  </si>
  <si>
    <t>eleonore_attard@hotmail.com; cindy.morris@avignon.inra.fr</t>
  </si>
  <si>
    <t>Amato, Pierre/E-8912-2018; Pöschl, Ulrich/A-6263-2010; ATTARD, Eleonore/HZH-5430-2023; Koop, Thomas/B-7861-2008</t>
  </si>
  <si>
    <t>Attard, Eleonore/0000-0003-1871-5031; Poschl, Ulrich/0000-0003-1412-3557; Koop, Thomas/0000-0002-7571-3684; Amato, Pierre/0000-0003-3168-0398</t>
  </si>
  <si>
    <t>Institut de Chimie de Clermont-Ferrand (France); CNRS; Blaise Pascal University (UBP); Max Planck Society (MPG); DFG-CNRS [KO 2944/1-1]; US National Science Foundation Division of Atmospheric and Geospace Sciences; Directorate For Geosciences; Div Atmospheric &amp; Geospace Sciences [1134748] Funding Source: National Science Foundation</t>
  </si>
  <si>
    <t>Institut de Chimie de Clermont-Ferrand (France); CNRS(Centre National de la Recherche Scientifique (CNRS)); Blaise Pascal University (UBP); Max Planck Society (MPG)(Max Planck Society); DFG-CNRS(German Research Foundation (DFG)Centre National de la Recherche Scientifique (CNRS)); US National Science Foundation Division of Atmospheric and Geospace Sciences(National Science Foundation (NSF)); Directorate For Geosciences; Div Atmospheric &amp; Geospace Sciences(National Science Foundation (NSF)NSF - Directorate for Geosciences (GEO))</t>
  </si>
  <si>
    <t>Postdoctoral funding for E. Attard was supplied by the Institut de Chimie de Clermont-Ferrand (France) thanks to CNRS and Blaise Pascal University (UBP) fellowships.; The experiment part with NO2/O3 exposure was funded by the Max Planck Society (MPG). We acknowledge funding from the joint DFG-CNRS project Bioclouds for T. K. (under KO 2944/1-1), E. A. and A. M. D.; We thank C. Foreman (Montana State University) for providing the ice melt sample from which strain CGina-01 was isolated. Publication costs were covered by a grant from the US National Science Foundation Division of Atmospheric and Geospace Sciences to C.E.M.</t>
  </si>
  <si>
    <t>10.5194/acp-12-10667-2012</t>
  </si>
  <si>
    <t>055JG</t>
  </si>
  <si>
    <t>WOS:000312411300003</t>
  </si>
  <si>
    <t>Atkinson, HM; Huang, RJ; Chance, R; Roscoe, HK; Hughes, C; Davison, B; Schönhardt, A; Mahajan, AS; Saiz-Lopez, A; Hoffmann, T; Liss, PS</t>
  </si>
  <si>
    <t>Atkinson, H. M.; Huang, R. -J.; Chance, R.; Roscoe, H. K.; Hughes, C.; Davison, B.; Schoenhardt, A.; Mahajan, A. S.; Saiz-Lopez, A.; Hoffmann, T.; Liss, P. S.</t>
  </si>
  <si>
    <t>Iodine emissions from the sea ice of the Weddell Sea</t>
  </si>
  <si>
    <t>BOUNDARY-LAYER HALOGENS; ANTARCTIC PACK ICE; MOLECULAR-IODINE; SOUTHERN-OCEAN; VERTICAL-DISTRIBUTION; PRIMARY PRODUCTIVITY; COASTAL ANTARCTICA; ARCTIC ATMOSPHERE; DIATOM CULTURES; ETHYL NITRATE</t>
  </si>
  <si>
    <t>Iodine compounds were measured above, below and within the sea ice of the Weddell Sea during a cruise in 2009, to make progress in elucidating the mechanism of local enhancement and volatilisation of iodine. I-2 mixing ratios of up to 12.4 pptv were measured 10 m above the sea ice, and up to 31 pptv was observed above surface snow on the nearby Brunt Ice Shelf - large amounts. Atmospheric IO of up to 7 pptv was measured from the ship, and the average sum of HOI and ICl was 1.9 pptv. These measurements confirm the Weddell Sea as an iodine hotspot. Average atmospheric concentrations of CH3I, C2H5I, CH2ICl, 2-C3H7I, CH2IBr and 1-C3H7I were each 0.2 pptv or less. On the Brunt Ice Shelf, enhanced concentrations of CH3I and C2H5I (up to 0.5 and 1 pptv respectively) were observed in firn air, with a diurnal profile that suggests the snow may be a source. In the sea ice brine, iodocarbons concentrations were over 10 times those of the sea water below. The sum of iodide + iodate was depleted in sea ice samples, suggesting some missing iodine chemistry. Flux calculations suggest I-2 dominates the iodine atom flux to the atmosphere, but models cannot reconcile the observations and suggest either a missing iodine source or other deficiencies in our understanding of iodine chemistry. The observation of new particle formation, consistent with the model predictions, strongly suggests an iodine source. This combined study of iodine compounds is the first of its kind in this unique region of sea ice rich in biology and rich in iodine chemistry.</t>
  </si>
  <si>
    <t>[Atkinson, H. M.; Roscoe, H. K.] British Antarctic Survey, Cambridge CB3 0ET, England; [Atkinson, H. M.; Hughes, C.; Liss, P. S.] Univ E Anglia, Sch Environm Sci, Norwich NR4 7TJ, Norfolk, England; [Huang, R. -J.; Hoffmann, T.] Johannes Gutenberg Univ Mainz, Inst Inorgan &amp; Analyt Chem, Mainz, Germany; [Chance, R.] Univ York, Dept Chem, York YO10 5DD, N Yorkshire, England; [Davison, B.] Univ Lancaster, Dept Environm Sci, Lancaster, England; [Schoenhardt, A.] Univ Bremen, IUP, D-28359 Bremen, Germany; [Mahajan, A. S.; Saiz-Lopez, A.] CSIC, Lab Atmospher &amp; Climate Sci, Toledo, Spain</t>
  </si>
  <si>
    <t>UK Research &amp; Innovation (UKRI); Natural Environment Research Council (NERC); NERC British Antarctic Survey; University of East Anglia; Johannes Gutenberg University of Mainz; University of York - UK; Lancaster University; University of Bremen; Consejo Superior de Investigaciones Cientificas (CSIC)</t>
  </si>
  <si>
    <t>Roscoe, HK (corresponding author), British Antarctic Survey, Cambridge CB3 0ET, England.</t>
  </si>
  <si>
    <t>hkro@bas.ac.uk</t>
  </si>
  <si>
    <t>Saiz-Lopez, Alfonso/B-3759-2015; Huang, Ru-Jin/K-5022-2018; Hoffmann, Thorsten/A-7490-2012; LISS, Peter S./A-8219-2013; Mahajan, Anoop/D-2714-2012</t>
  </si>
  <si>
    <t>Saiz-Lopez, Alfonso/0000-0002-0060-1581; Huang, Ru-Jin/0000-0002-4907-9616; Hoffmann, Thorsten/0000-0003-0939-271X; Mahajan, Anoop/0000-0002-2909-5432; Chance, Rosie/0000-0002-5906-176X</t>
  </si>
  <si>
    <t>NERC; NERC [bas0100024] Funding Source: UKRI; Natural Environment Research Council [bas0100024] Funding Source: researchfish</t>
  </si>
  <si>
    <t>We wish to thank Ted Maksym (BAS) for loan of the ice corer, Anna Jones (BAS) for use of the MAX-DOAS, Neil Brough (BAS) for major help with the preparation of the MAX-DOAS, Claire Allen (BAS) for advice on diatoms, Stephane Bauguitte (BAS) for preparing the denuder pumping system, Martin Johnson (UEA) for help with maths, Keith Nicholls and supporting scientists and crew on the RRS Ernest Shackleton, Mike Dinn (BAS) for setting up the cruise opportunity, Francois Hendrick (BIRA) for supply of air mass factors, and Michel Van Roozendael of BIRA for WinDOAS software. HKR's participation is part of the British Antarctic Survey's Polar Science for Planet Earth programme, funded by NERC. HMA acknowledges NERC for a studentship.</t>
  </si>
  <si>
    <t>10.5194/acp-12-11229-2012</t>
  </si>
  <si>
    <t>WOS:000312411300039</t>
  </si>
  <si>
    <t>Grosvenor, DP; Choularton, TW; Lachlan-Cope, T; Gallagher, MW; Crosier, J; Bower, KN; Ladkin, RS; Dorsey, JR</t>
  </si>
  <si>
    <t>Grosvenor, D. P.; Choularton, T. W.; Lachlan-Cope, T.; Gallagher, M. W.; Crosier, J.; Bower, K. N.; Ladkin, R. S.; Dorsey, J. R.</t>
  </si>
  <si>
    <t>In-situ aircraft observations of ice concentrations within clouds over the Antarctic Peninsula and Larsen Ice Shelf</t>
  </si>
  <si>
    <t>HOLE-PUNCH; NUCLEI; CLIMATE; SURFACE; PRECIPITATION; PARTICLES; COALESCENCE; INSTRUMENT; COLLAPSE; IMPACT</t>
  </si>
  <si>
    <t>In-situ aircraft observations of ice crystal concentrations in Antarctic clouds are presented for the first time. Orographic, layer and wave clouds around the Antarctic Peninsula and Larsen Ice shelf regions were penetrated by the British Antarctic Survey's Twin Otter aircraft, which was equipped with modern cloud physics probes. The clouds studied were mostly in the free troposphere and hence ice crystals blown from the surface are unlikely to have been a major source for the ice phase. The temperature range covered by the experiments was 0 to -21 degrees C. The clouds were found to contain supercooled liquid water in most regions and at heterogeneous ice formation temperatures ice crystal concentrations (60 s averages) were often less than 0.07 l(-1), although values up to 0.22 l(-1) were observed. Estimates of observed aerosol concentrations were used as input into the DeMott et al. (2010) ice nuclei (IN) parameterisation. The observed ice crystal number concentrations were generally in broad agreement with the IN predictions, although on the whole the predicted values were higher. Possible reasons for this are discussed and include the lack of IN observations in this region with which to characterise the parameterisation, and/or problems in relating ice concentration measurements to IN concentrations. Other IN parameterisations significantly overestimated the number of ice particles. Generally ice particle concentrations were much lower than found in clouds in middle latitudes for a given temperature. Higher ice crystal concentrations were sometimes observed at temperatures warmer than -9 degrees C, with values of several per litre reached. These were attributable to secondary ice particle production by the Hallett Mossop process. Even in this temperature range it was observed that there were regions with little or no ice that were dominated by supercooled liquid water. It is likely that in some cases this was due to a lack of seeding ice crystals to act as rimers to initiate secondary ice particle production. This highlights the chaotic and spatially inhomogeneous nature of this process and indicates that the accurate representation of it in global models is likely to represent a challenge. However, the contrast between Hallett Mossop zone ice concentrations and the fairly low concentrations of heterogeneously nucleated ice suggests that the Hallet Mossop process has the potential to be very important in remote, pristine regions such as around the Antarctic coast.</t>
  </si>
  <si>
    <t>[Grosvenor, D. P.; Choularton, T. W.; Gallagher, M. W.; Crosier, J.; Bower, K. N.; Dorsey, J. R.] Univ Manchester, Ctr Atmospher Sci, SEAES, Manchester, Lancs, England; [Lachlan-Cope, T.; Ladkin, R. S.] British Antarctic Survey, Cambridge CB3 0ET, England; [Crosier, J.] Univ Manchester, Natl Ctr Atmospher Res, Manchester, Lancs, England</t>
  </si>
  <si>
    <t>University of Manchester; UK Research &amp; Innovation (UKRI); Natural Environment Research Council (NERC); NERC British Antarctic Survey; University of Manchester</t>
  </si>
  <si>
    <t>Choularton, TW (corresponding author), Univ Manchester, Ctr Atmospher Sci, SEAES, Manchester, Lancs, England.</t>
  </si>
  <si>
    <t>daniel.p.grosvenor@gmail.com; choularton@manchester.ac.uk</t>
  </si>
  <si>
    <t>Gallagher, Martin/ABH-7381-2020; Crosier, Jonathan/G-8952-2011</t>
  </si>
  <si>
    <t>Bower, Keith/0000-0002-9802-3264; Choularton, Thomas/0000-0002-0409-4329; Grosvenor, Daniel/0000-0002-4919-7751; Gallagher, Martin/0000-0002-4968-6088; Dorsey, James/0000-0002-1720-9412; Crosier, Jonathan/0000-0002-3086-4729</t>
  </si>
  <si>
    <t>British Antarctic Survey; Natural Environment Research Council [NE/J006173/1, ncas10006, bas0100023] Funding Source: researchfish; NERC [bas0100023, ncas10006, NE/J006173/1] Funding Source: UKRI</t>
  </si>
  <si>
    <t>British Antarctic Survey; Natural Environment Research Council(UK Research &amp; Innovation (UKRI)Natural Environment Research Council (NERC)); NERC(UK Research &amp; Innovation (UKRI)Natural Environment Research Council (NERC))</t>
  </si>
  <si>
    <t>We would like to sincerely thank Russell Ladkin, Tom Lachlan-Cope and all other members of the British Antarctic Survery (BAS) aircraft team for all their hard work in Antarctica. Many thanks also to Mike Flynn and James Dorsey for their help with instrument calibration. We also acknowledge funding support from the British Antarctic Survey. We would also like to thank the two anonymous reviewers for taking the time to read the manuscript and for providing valuable comments and suggestions.</t>
  </si>
  <si>
    <t>10.5194/acp-12-11275-2012</t>
  </si>
  <si>
    <t>058WK</t>
  </si>
  <si>
    <t>Green Submitted, Green Accepted, gold</t>
  </si>
  <si>
    <t>WOS:000312665300003</t>
  </si>
  <si>
    <t>Witrant, E; Martinerie, P; Hogan, C; Laube, JC; Kawamura, K; Capron, E; Montzka, SA; Dlugokencky, EJ; Etheridge, D; Blunier, T; Sturges, WT</t>
  </si>
  <si>
    <t>Witrant, E.; Martinerie, P.; Hogan, C.; Laube, J. C.; Kawamura, K.; Capron, E.; Montzka, S. A.; Dlugokencky, E. J.; Etheridge, D.; Blunier, T.; Sturges, W. T.</t>
  </si>
  <si>
    <t>A new multi-gas constrained model of trace gas non-homogeneous transport in firn: evaluation and behaviour at eleven polar sites</t>
  </si>
  <si>
    <t>AIR; ICE; IMPACT; SUMMIT; SCALE; AGE</t>
  </si>
  <si>
    <t>Insoluble trace gases are trapped in polar ice at the firn-ice transition, at approximately 50 to 100 m below the surface, depending primarily on the site temperature and snow accumulation. Models of trace gas transport in polar firn are used to relate firn air and ice core records of trace gases to their atmospheric history. We propose a new model based on the following contributions. First, the firn air transport model is revised in a poromechanics framework with emphasis on the non-homogeneous properties and the treatment of gravitational settling. We then derive a nonlinear least square multi-gas optimisation scheme to calculate the effective firn diffusivity (automatic diffusivity tuning). The improvements gained by the multi-gas approach are investigated (up to ten gases for a single site are included in the optimisation process). We apply the model to four Arctic (Devon Island, NEEM, North GRIP, Summit) and seven Antarctic (DE08, Berkner Island, Siple Dome, Dronning Maud Land, South Pole, Dome C, Vostok) sites and calculate their respective depth-dependent diffusivity profiles. Among these different sites, a relationship is inferred between the snow accumulation rate and an increasing thickness of the lock-in zone defined from the isotopic composition of molecular nitrogen in firn air (denoted delta N-15). It is associated with a reduced diffusivity value and an increased ratio of advective to diffusive flux in deep firn, which is particularly important at high accumulation rate sites. This has implications for the understanding of delta N-15 of N-2 records in ice cores, in relation with past variations of the snow accumulation rate. As the snow accumulation rate is clearly a primary control on the thickness of the lock-in zone, our new approach that allows for the estimation of the lock-in zone width as a function of accumulation may lead to a better constraint on the age difference between the ice and entrapped gases.</t>
  </si>
  <si>
    <t>[Witrant, E.] UJF Grenoble 1, CNRS, Grenoble Image Parole Signal Automat GIPSA Lab, UMR5216, F-38402 St Martin Dheres, France; [Martinerie, P.] UJF Grenoble 1, CNRS, LGGE, UMR5183, F-38041 Grenoble, France; [Hogan, C.; Laube, J. C.; Sturges, W. T.] Univ E Anglia, Sch Environm Sci, Norwich NR4 7TJ, Norfolk, England; [Kawamura, K.] Natl Inst Polar Res, Tachikawa, Tokyo 1908518, Japan; [Kawamura, K.] Japan Agcy Marine Earth Sci &amp; Technol, Inst Biogeosci, Yokosuka, Kanagawa 2370061, Japan; [Capron, E.] IPSL CEA CNRS UVSQ, Lab Sci Climat &amp; Environm, F-91191 Gif Sur Yvette, France; [Capron, E.] British Antarctic Survey, NERC, Cambridge CB3 0ET, England; [Montzka, S. A.; Dlugokencky, E. J.] NOAA, Earth Syst Res Lab, Boulder, CO USA; [Etheridge, D.] Commonwealth Sci &amp; Ind Res Org, Marine &amp; Atmospher Res, Aspendale, Vic 3195, Australia; [Blunier, T.] Univ Copenhagen, Niels Bohr Inst, Ctr Ice &amp; Climate, DK-2100 Copenhagen O, Denmark</t>
  </si>
  <si>
    <t>Communaute Universite Grenoble Alpes; Institut National Polytechnique de Grenoble; Universite Grenoble Alpes (UGA); Centre National de la Recherche Scientifique (CNRS); Centre National de la Recherche Scientifique (CNRS); Communaute Universite Grenoble Alpes; Universite Grenoble Alpes (UGA); University of East Anglia; Research Organization of Information &amp; Systems (ROIS); National Institute of Polar Research (NIPR) - Japan; Japan Agency for Marine-Earth Science &amp; Technology (JAMSTEC); CEA; Centre National de la Recherche Scientifique (CNRS); Universite Paris Saclay; UK Research &amp; Innovation (UKRI); Natural Environment Research Council (NERC); NERC British Antarctic Survey; National Oceanic Atmospheric Admin (NOAA) - USA; Commonwealth Scientific &amp; Industrial Research Organisation (CSIRO); University of Copenhagen; Niels Bohr Institute</t>
  </si>
  <si>
    <t>Witrant, E (corresponding author), UJF Grenoble 1, CNRS, Grenoble Image Parole Signal Automat GIPSA Lab, UMR5216, BP 46, F-38402 St Martin Dheres, France.</t>
  </si>
  <si>
    <t>emmanuel.witrant@ujf-grenoble.fr</t>
  </si>
  <si>
    <t>Martinerie, Patricia/N-5731-2017; Laube, Johannes C/P-6772-2017; Dlugokencky, Edward/AAN-8746-2020; Etheridge, David M/B-7334-2013; montzka, stephen/V-6162-2019; Blunier, Thomas/M-4609-2014; Kawamura, Kenji/C-7660-2011</t>
  </si>
  <si>
    <t>Martinerie, Patricia/0000-0002-6820-2296; Dlugokencky, Edward/0000-0003-0612-6985; montzka, stephen/0000-0002-9396-0400; Blunier, Thomas/0000-0002-6065-7747; Kawamura, Kenji/0000-0003-1163-700X</t>
  </si>
  <si>
    <t>Belgium (FNRSCFB); Belgium (FWO); Canada (GSC); China (CAS); Denmark (FIST); France (IPEV); France (NIPR); Korea (KOPRI); Netherlands (NWO/ALW); Sweden (VR); Switzerland (SNF); United Kingdom (NERC); USA (US NSF, Office of Polar Programmes); CNRS through INSIS/PEPS-automatique and INSU/LEFE programmes; JSPS KAKENHI [21671001, 22221002]; NERC [NE/F021194/1, bas0100024, NE/I021918/1, NE/F015585/1] Funding Source: UKRI; Grants-in-Aid for Scientific Research [22244061, 22310003, 21671001, 22221002] Funding Source: KAKEN; Natural Environment Research Council [NE/F021194/1, NE/I021918/1, 1092450, bas0100024, NE/F015585/1] Funding Source: researchfish</t>
  </si>
  <si>
    <t>Belgium (FNRSCFB)(Fonds de la Recherche Scientifique - FNRS); Belgium (FWO)(FWO); Canada (GSC); China (CAS)(Chinese Academy of Sciences); Denmark (FIST)(Department of Science &amp; Technology (India)); France (IPEV); France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Programmes); CNRS through INSIS/PEPS-automatique and INSU/LEFE programmes; JSPS KAKENHI(Ministry of Education, Culture, Sports, Science and Technology, Japan (MEXT)Japan Society for the Promotion of ScienceGrants-in-Aid for Scientific Research (KAKENHI));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t>
  </si>
  <si>
    <t>We are grateful to Christo Buizert, Amaelle Landais, Laurent Oxarango and Jeffrey Severinghaus for their useful comments on the paper and to Federico Bribiesca-Argomedo for his help in running numerical simulations. This work benefited greatly from numerous data available in public databases, in particular: AGAGE (http://cdiac.ornl.gov/ndps/alegage.html), NOAA ESRL (http://www.esrl.noaa.gov) and BADC (http://badc.nerc.ac.uk). We thank the people involved in the acquiring, analysis and accessibility of these data. NEEM is directed and organised by the Center for Ice and Climate at the Niels Bohr Institute and US NSF, Office of Polar Programmes. It is supported by funding agencies and institutions in Belgium (FNRSCFB and FWO), Canada (GSC), China (CAS), Denmark (FIST), France (IPEV, CNRS/INSU, CEA and ANR), Germany (AWI), Iceland (RannIs), Japan (NIPR), Korea (KOPRI), The Netherlands (NWO/ALW), Sweden (VR), Switzerland (SNF), United Kingdom (NERC) and the USA (US NSF, Office of Polar Programmes). The French contribution to this study was further supported by CNRS through INSIS/PEPS-automatique and INSU/LEFE programmes and the Japan contribution by the support from JSPS KAKENHI (grants 21671001 and 22221002). The authors also greatly acknowledge the contribution of the editor and anonymous referees, who significantly participated in the paper improvement with their thoughtful and constructive remarks.</t>
  </si>
  <si>
    <t>10.5194/acp-12-11465-2012</t>
  </si>
  <si>
    <t>WOS:000312665300015</t>
  </si>
  <si>
    <t>Campanelli, M; Estelles, V; Smyth, T; Tomasi, C; Martìnez-Lozano, MP; Claxton, B; Muller, P; Pappalardo, G; Pietruczuk, A; Shanklin, J; Colwell, S; Wrench, C; Lupi, A; Mazzola, M; Lanconelli, C; Vitale, V; Congeduti, F; Dionisi, D; Cardillo, F; Cacciani, M; Casasanta, G; Nakajima, T</t>
  </si>
  <si>
    <t>Campanelli, M.; Estelles, V.; Smyth, T.; Tomasi, C.; Martinez-Lozano, M. P.; Claxton, B.; Muller, P.; Pappalardo, G.; Pietruczuk, A.; Shanklin, J.; Colwell, S.; Wrench, C.; Lupi, A.; Mazzola, M.; Lanconelli, C.; Vitale, V.; Congeduti, F.; Dionisi, D.; Cardillo, F.; Cacciani, M.; Casasanta, G.; Nakajima, T.</t>
  </si>
  <si>
    <t>Monitoring of Eyjafjallajokull volcanic aerosol by the new European Skynet Radiometers (ESR) network</t>
  </si>
  <si>
    <t>ATMOSPHERIC ENVIRONMENT</t>
  </si>
  <si>
    <t>Aerosol; Sun-sky radiometer; Columnar radiative properties</t>
  </si>
  <si>
    <t>OPTICAL-PROPERTIES; SUN; CALIBRATION; APRIL</t>
  </si>
  <si>
    <t>The passage of a volcanic plume produced by the eruption of Eyjafjallajokull volcano in April 2010 was measured by the sun-sky radiometers of the new European SkyRad (ESR) network. This network consists of several European sites located in the U.K., Poland, Spain and Italy, and therefore was particularly suitable for monitoring the transport of volcanic ash generated by this particular volcano. The atmospheric aerosol characteristics at each site affected by the passage of the volcanic cloud, during and after the eruption, have been reconstructed. For the U.K. ESR sites three events were identified by the sun sky radiometers: the first, from April 15 to April 162030, related to the advection of fine particles; whilst the second, from April 17 to April 19 and the third from April 23 to April 24 related to the arrival of coarse particles. During the transport from Northern Europe to Italy, columnar radiative properties clearly changed due to both deposition and mixing with local aerosol. (C) 2011 Elsevier Ltd. All rights reserved.</t>
  </si>
  <si>
    <t>[Campanelli, M.; Congeduti, F.; Dionisi, D.; Cardillo, F.] CNR, Ist Sci Atmosfera &amp; Clima, I-00133 Rome, Italy; [Estelles, V.; Martinez-Lozano, M. P.] Univ Valencia, E-46003 Valencia, Spain; [Smyth, T.] Plymouth Marine Lab, Plymouth, Devon, England; [Tomasi, C.; Lupi, A.; Mazzola, M.; Lanconelli, C.; Vitale, V.] CNR, Inst Atmospher Sci &amp; Climate, I-40126 Bologna, Italy; [Claxton, B.] Met Off Field Site Cardington Airfield, Shortstown, Beds, England; [Muller, P.] UCL, Dept Space &amp; Climate Phys, Mullard Space Sci Lab, London, England; [Pappalardo, G.] CNR, Ist Metodol Anal Ambientale, Potenza, Italy; [Pietruczuk, A.] Polish Acad Sci, Inst Geophys, Cent Geophys Observ, Warsaw 42, Poland; [Shanklin, J.; Colwell, S.] British Antarctic Survey, Cambridge CB3 0ET, England; [Wrench, C.] Chilbolton Facil Atmospher &amp; Radio Res Sci &amp; Tech, Plymouth, Devon, England; [Cacciani, M.; Casasanta, G.] Univ Roma La Sapienza, Dipartimento Fis, I-00185 Rome, Italy; [Nakajima, T.] Univ Tokyo, Atmosphere &amp; Ocean Res Inst, Ctr Earth Surface Syst Dynam, Tokyo 1138654, Japan</t>
  </si>
  <si>
    <t>Consiglio Nazionale delle Ricerche (CNR); Istituto di Scienze dell'Atmosfera e del Clima (ISAC-CNR); University of Valencia; Plymouth Marine Laboratory; Consiglio Nazionale delle Ricerche (CNR); Istituto di Scienze dell'Atmosfera e del Clima (ISAC-CNR); University of London; University College London; Consiglio Nazionale delle Ricerche (CNR); Istituto di Metodologie per l'Analisi Ambientale (IMAA-CNR); Polish Academy of Sciences; Institute of Geophysics of the Polish Academy of Sciences; UK Research &amp; Innovation (UKRI); Natural Environment Research Council (NERC); NERC British Antarctic Survey; Sapienza University Rome; University of Tokyo</t>
  </si>
  <si>
    <t>Campanelli, M (corresponding author), CNR, Ist Sci Atmosfera &amp; Clima, Via Fosso del Cavaliere 100, I-00133 Rome, Italy.</t>
  </si>
  <si>
    <t>m.campanelli@isac.cnr.it</t>
  </si>
  <si>
    <t>Dionisi, Davide/K-5461-2019; Mazzola, Mauro/K-9376-2016; Smyth, Tim/D-2008-2012; Muller, Jan-Peter/Q-8886-2019; Nakajima, Teruyuki/H-2370-2013; vitale, vito/AAW-8441-2021; Lanconelli, Christian/Q-5848-2018; Estelles, Victor/I-4673-2014</t>
  </si>
  <si>
    <t>Dionisi, Davide/0000-0003-3854-521X; Mazzola, Mauro/0000-0002-8394-2292; Smyth, Tim/0000-0003-0659-1422; Muller, Jan-Peter/0000-0002-5077-3736; Lanconelli, Christian/0000-0002-9545-1255; Estelles, Victor/0000-0001-5013-2173; Pietruczuk, Aleksander/0000-0001-7058-3879; vitale, vito/0000-0003-0978-8976; CAMPANELLI, MONICA/0000-0001-6505-8164; lupi, angelo/0000-0002-5009-9876</t>
  </si>
  <si>
    <t>Italian Ministry of University and Scientific Research (MIUR); CNR; NERC [cfaarr010001, pml010009, bas0100023] Funding Source: UKRI; STFC [ST/H00260X/1] Funding Source: UKRI; Natural Environment Research Council [pml010009, cfaarr010001, bas0100023] Funding Source: researchfish; Science and Technology Facilities Council [ST/H00260X/1] Funding Source: researchfish</t>
  </si>
  <si>
    <t>Italian Ministry of University and Scientific Research (MIUR)(Ministry of Education, Universities and Research (MIUR)); CNR(Consiglio Nazionale delle Ricerche (CNR));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</si>
  <si>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research was supported by the strategic Fondo Integrativo Speciale per la Ricerca program Sustainable Development and Climate Changes sponsored by the Italian Ministry of University and Scientific Research (MIUR) and developed in the framework of the cooperative project between the CNR and MIUR. Study of the Direct and Indirect Effects of Aerosols and Clouds on Climate (AEROCLOUDS).</t>
  </si>
  <si>
    <t>1352-2310</t>
  </si>
  <si>
    <t>1873-2844</t>
  </si>
  <si>
    <t>ATMOS ENVIRON</t>
  </si>
  <si>
    <t>Atmos. Environ.</t>
  </si>
  <si>
    <t>10.1016/j.atmosenv.2011.09.070</t>
  </si>
  <si>
    <t>902BF</t>
  </si>
  <si>
    <t>WOS:000301012900004</t>
  </si>
  <si>
    <t>Smirnov, A; Sayer, AM; Holben, BN; Hsu, NC; Sakerin, SM; Macke, A; Nelson, NB; Courcoux, Y; Smyth, TJ; Croot, P; Quinn, PK; Sciare, J; Gulev, SK; Piketh, S; Losno, R; Kinne, S; Radionov, VF</t>
  </si>
  <si>
    <t>Smirnov, A.; Sayer, A. M.; Holben, B. N.; Hsu, N. C.; Sakerin, S. M.; Macke, A.; Nelson, N. B.; Courcoux, Y.; Smyth, T. J.; Croot, P.; Quinn, P. K.; Sciare, J.; Gulev, S. K.; Piketh, S.; Losno, R.; Kinne, S.; Radionov, V. F.</t>
  </si>
  <si>
    <t>Effect of wind speed on aerosol optical depth over remote oceans, based on data from the Maritime Aerosol Network</t>
  </si>
  <si>
    <t>ATMOSPHERIC MEASUREMENT TECHNIQUES</t>
  </si>
  <si>
    <t>SEA-SALT AEROSOL; SATELLITE RETRIEVALS; MARINE AEROSOL; NORTH-ATLANTIC; IN-SITU; SURFACE; MODEL; AERONET; VARIABILITY; THICKNESS</t>
  </si>
  <si>
    <t>The Maritime Aerosol Network (MAN) has been collecting data over the oceans since November 2006. The MAN archive provides a valuable resource for aerosol studies in maritime environments. In the current paper we investigate correlations between ship-borne aerosol optical depth (AOD) and near-surface wind speed, either measured (on-board or from satellite) or modeled (NCEP). According to our analysis, wind speed influences columnar aerosol optical depth, although the slope of the linear regression between AOD and wind speed is not steep (similar to 0.004-0.005), even for strong winds over 10m s(-1). The relationships show significant scatter (correlation coefficients typically in the range 0.3-0.5); the majority of this scatter can be explained by the uncertainty on the input data. The various wind speed sources considered yield similar patterns. Results are in good agreement with the majority of previously published relationships between surface wind speed and ship-based or satellite-based AOD measurements. The basic relationships are similar for all the wind speed sources considered; however, the gradient of the relationship varies by around a factor of two depending on the wind data used.</t>
  </si>
  <si>
    <t>[Smirnov, A.] Sigma Space Corp, Lanham, MD USA; [Smirnov, A.; Sayer, A. M.; Holben, B. N.; Hsu, N. C.] NASA, Goddard Space Flight Ctr, Greenbelt, MD 20771 USA; [Sayer, A. M.] GESTAR, Columbia, MD USA; [Sakerin, S. M.] Russian Acad Sci, Inst Atmospher Opt, Tomsk, Russia; [Macke, A.] Leibniz Inst Tropospher Res, Leipzig, Germany; [Nelson, N. B.] Univ Calif Santa Barbara, Santa Barbara, CA 93106 USA; [Courcoux, Y.] Univ Reunion, St Denis, Reunion, France; [Smyth, T. J.] Plymouth Marine Lab, Plymouth, Devon, England; [Croot, P.] Leibniz Inst Marine Sci, D-24105 Kiel, Germany; [Quinn, P. K.] NOAA PMEL, Seattle, WA USA; [Sciare, J.] Lab Sci Climat &amp; Environm, Gif Sur Yvette, France; [Gulev, S. K.] PP Shirshov Oceanol Inst, Moscow, Russia; [Piketh, S.] Univ Witwatersrand, Johannesburg, South Africa; [Losno, R.] Univ Paris 07, Creteil, France; [Losno, R.] Univ Paris 12, Creteil, France; [Kinne, S.] Univ Hamburg, Inst Meteorol, D-2000 Hamburg, Germany; [Radionov, V. F.] Arctic &amp; Antarctic Res Inst, St Petersburg 199226, Russia</t>
  </si>
  <si>
    <t>National Aeronautics &amp; Space Administration (NASA); NASA Goddard Space Flight Center; Zuev Institute of Atmospheric Optics, Siberian Branch of the Russian Academy of Sciences; Russian Academy of Sciences; Leibniz Institut fur Tropospharenforschung (TROPOS); University of California System; University of California Santa Barbara; University of La Reunion; Plymouth Marine Laboratory; Helmholtz Association; GEOMAR Helmholtz Center for Ocean Research Kiel; National Oceanic Atmospheric Admin (NOAA) - USA; CEA; Centre National de la Recherche Scientifique (CNRS); Universite Paris Saclay; Russian Academy of Sciences; Shirshov Institute of Oceanology; University of Witwatersrand; Universite Paris Cite; Universite Paris-Est-Creteil-Val-de-Marne (UPEC); University of Hamburg; Arctic &amp; Antarctic Research Institute</t>
  </si>
  <si>
    <t>Smirnov, A (corresponding author), Sigma Space Corp, Lanham, MD USA.</t>
  </si>
  <si>
    <t>alexander.smirnov-1@nasa.gov</t>
  </si>
  <si>
    <t>Sakerin, Sergey/A-6508-2014; Quinn, Patricia/R-1493-2016; Radionov, Vladimir F./O-3038-2017; Hsu, N. Christina/H-3420-2013; Losno, Rémi/AAE-9536-2019; Nelson, Norman B/B-7343-2014; Croot, Peter/C-8460-2009; Piketh, Stuart/AAS-8987-2021; Sayer, Andrew Mark/H-2314-2012; sciare, jean/A-9529-2008; Croot, Peter/U-5296-2019; Gulev, Sergey/A-4994-2014; Smyth, Tim/D-2008-2012; Smirnov, Alexander/C-2121-2009</t>
  </si>
  <si>
    <t>Quinn, Patricia/0000-0003-0337-4895; Losno, Rémi/0000-0003-0246-862X; Croot, Peter/0000-0003-1396-0601; Sayer, Andrew Mark/0000-0001-9149-1789; Smyth, Tim/0000-0003-0659-1422; Piketh, Stuart/0000-0002-2804-879X; sciare, jean/0000-0002-9908-6718; Smirnov, Alexander/0000-0002-8208-1304</t>
  </si>
  <si>
    <t>NASA; AMSR-E Science Team; NASA; AMSR-E Science Team; Natural Environment Research Council [pml010007] Funding Source: researchfish; NERC [pml010007] Funding Source: UKRI</t>
  </si>
  <si>
    <t>NASA(National Aeronautics &amp; Space Administration (NASA)); AMSR-E Science Team; NASA(National Aeronautics &amp; Space Administration (NASA)); AMSR-E Science Team; Natural Environment Research Council(UK Research &amp; Innovation (UKRI)Natural Environment Research Council (NERC)); NERC(UK Research &amp; Innovation (UKRI)Natural Environment Research Council (NERC))</t>
  </si>
  <si>
    <t>The authors thank Hal Maring (NASA Headquarters) for his support of AERONET. The authors thank Kirk Knobelspiesse (Columbia University and NASA GISS) and anonymous reviewer for constructive comments. Measurements onboard R/V Marion-Dufresne were supported by the French Polar Institute (IPEV). NCEP Reanalysis data provided by the NOAA/OAR/ESRL PSD, Boulder, Colorado, USA, from their Web site at http://www.esrl.noaa.gov/psd/. AMSR-E data are produced by Remote Sensing Systems and sponsored by the NASA Earth Science MEaSUREs DISCOVER Project and the AMSR-E Science Team. Data are available at www.remss.com. Gert Konig-Langlo from Alfred Wegener Institute for Polar and Marine Research (Bremerhaven, Germany) is acknowledged for providing the meteorological data from R/V Polarstern. British Oceanographic Data Centre is acknowledged for providing AMT19 and 20 meteorological data (the data were supplied to BODC by Chris Barnard, Gareth Knights and Jon Seddon).</t>
  </si>
  <si>
    <t>1867-1381</t>
  </si>
  <si>
    <t>1867-8548</t>
  </si>
  <si>
    <t>ATMOS MEAS TECH</t>
  </si>
  <si>
    <t>Atmos. Meas. Tech.</t>
  </si>
  <si>
    <t>10.5194/amt-5-377-2012</t>
  </si>
  <si>
    <t>900HD</t>
  </si>
  <si>
    <t>WOS:000300876700008</t>
  </si>
  <si>
    <t>Cook, PA; Roscoe, HK</t>
  </si>
  <si>
    <t>Cook, Peter A.; Roscoe, Howard K.</t>
  </si>
  <si>
    <t>Changes in reactive stratospheric gases due to a change in Brewer-Dobson circulation: results from a simple model</t>
  </si>
  <si>
    <t>ATMOSPHERIC SCIENCE LETTERS</t>
  </si>
  <si>
    <t>stratosphere; Brewer-Dobson; trend</t>
  </si>
  <si>
    <t>TRENDS; NO2</t>
  </si>
  <si>
    <t>Amounts of source gases with stratospheric sinks (CFCs, N2O, CH4) are affected by changes in BrewerDobson circulation. Source gases and their degradation products are important for atmospheric chemistry and climate. With a simple model, we examine how amounts and lifetimes of source gases and products depend on speed of the circulation. Transient results differ from steady-state and stratospheric results differ from those for stratosphere plus troposphere. Increases in speed increase the stratospheric burden of source gases, but reduce products and reduce total burdens and lifetimes of source gases. Copyright (c) 2011 Royal Meteorological Society</t>
  </si>
  <si>
    <t>[Cook, Peter A.; Roscoe, Howard K.] British Antarctic Survey, NFRC, Cambridge CB3 0ET, England</t>
  </si>
  <si>
    <t>Roscoe, HK (corresponding author), British Antarctic Survey, NFRC, Madingley Rd, Cambridge CB3 0ET, England.</t>
  </si>
  <si>
    <t>h.roscoe@bas.ac.uk</t>
  </si>
  <si>
    <t>EU [036677]; NERC [bas0100023] Funding Source: UKRI; Natural Environment Research Council [bas0100023] Funding Source: researchfish</t>
  </si>
  <si>
    <t>EU(European Union (EU)); NERC(UK Research &amp; Innovation (UKRI)Natural Environment Research Council (NERC)); Natural Environment Research Council(UK Research &amp; Innovation (UKRI)Natural Environment Research Council (NERC))</t>
  </si>
  <si>
    <t>We thank the EU for funding GEOMON (contract 036677), Adrian Tuck for suggesting alternative viewpoints and Eric W. Wolff for checking consistency of units.</t>
  </si>
  <si>
    <t>MALDEN</t>
  </si>
  <si>
    <t>COMMERCE PLACE, 350 MAIN ST, MALDEN 02148, MA USA</t>
  </si>
  <si>
    <t>1530-261X</t>
  </si>
  <si>
    <t>ATMOS SCI LETT</t>
  </si>
  <si>
    <t>Atmos. Sci. Lett.</t>
  </si>
  <si>
    <t>10.1002/asl.362</t>
  </si>
  <si>
    <t>Geochemistry &amp; Geophysics; Meteorology &amp; Atmospheric Sciences</t>
  </si>
  <si>
    <t>877TV</t>
  </si>
  <si>
    <t>hybrid, Green Accepted</t>
  </si>
  <si>
    <t>WOS:000299206500008</t>
  </si>
  <si>
    <t>Sato, N; Kadokura, A; Motoba, T; Hosokawa, K; Bjornsson, G; Saemundsson, T</t>
  </si>
  <si>
    <t>Keiling, A; Donovan, E; Bagenal, F; Karlsson, T</t>
  </si>
  <si>
    <t>Sato, Natsuo; Kadokura, Akira; Motoba, Tetsuo; Hosokawa, Keisuke; Bjornsson, Gunnlaugur; Saemundsson, Thorsteinn</t>
  </si>
  <si>
    <t>Ground-Based Aurora Conjugacy and Dynamic Tracing of Geomagnetic Conjugate Points</t>
  </si>
  <si>
    <t>AURORAL PHENOMENOLOGY AND MAGNETOSPHERIC PROCESSES: EARTH AND OTHER PLANETS</t>
  </si>
  <si>
    <t>Geophysical Monograph Book Series</t>
  </si>
  <si>
    <t>Chapman Conference on the Relationship Between Auroral Phenomenology and Magnetospheric Processes</t>
  </si>
  <si>
    <t>FEB 27-MAR 04, 2011</t>
  </si>
  <si>
    <t>Fairbanks, AK</t>
  </si>
  <si>
    <t>INTERPLANETARY MAGNETIC-FIELD; PULSATING AURORAS; HEMISPHERES; SUBSTORM</t>
  </si>
  <si>
    <t>We report on highly similar auroras that were simultaneously recorded with all-sky TV cameras situated at two geomagnetieally conjugate points at Tjornes in Iceland and at Syowa in Antarctica. During this event, various types of aurora were observed including auroral breakup, curl-type aurora, north-south-directed band-type aurora, and pulsating aurora. We examined their characteristics for their similarity and dissimilarity in terms of shapes, movements, and luminosity variations at both observatories. We were also able to trace the movements and displacement of conjugate auroras in the Northern and Southern Hemispheres with a high spatial-temporal resolution. We discuss their conjugate characteristics with reference to solar wind-magnetosphere-ionosphere coupling processes.</t>
  </si>
  <si>
    <t>[Sato, Natsuo; Kadokura, Akira; Motoba, Tetsuo] Natl Inst Polar Res, 10-3 Midori Cho, Tachikawa, Tokyo 1908518, Japan; [Hosokawa, Keisuke] Univ Elect Commun, Dept Commun Engn &amp; Informat, Tokyo, Japan; [Bjornsson, Gunnlaugur; Saemundsson, Thorsteinn] Univ Iceland, Inst Sci, Reylyavik, Iceland</t>
  </si>
  <si>
    <t>Research Organization of Information &amp; Systems (ROIS); National Institute of Polar Research (NIPR) - Japan; University of Electro-Communications - Japan; University of Iceland</t>
  </si>
  <si>
    <t>Sato, N (corresponding author), Natl Inst Polar Res, 10-3 Midori Cho, Tachikawa, Tokyo 1908518, Japan.</t>
  </si>
  <si>
    <t>nsato@nipr.ac.jp</t>
  </si>
  <si>
    <t>Motoba, Tetsuo/S-4554-2017</t>
  </si>
  <si>
    <t>Bjornsson, Gunnlaugur/0000-0003-1800-6382</t>
  </si>
  <si>
    <t>JSPS [13573007, 17403009, 21403007]; NIPR publication subsidy.; Grants-in-Aid for Scientific Research [17403009, 13573007, 21403007] Funding Source: KAKEN</t>
  </si>
  <si>
    <t>JSPS(Ministry of Education, Culture, Sports, Science and Technology, Japan (MEXT)Japan Society for the Promotion of Science); NIPR publication subsidy.; Grants-in-Aid for Scientific Research(Ministry of Education, Culture, Sports, Science and Technology, Japan (MEXT)Japan Society for the Promotion of ScienceGrants-in-Aid for Scientific Research (KAKENHI))</t>
  </si>
  <si>
    <t>We would like to thank the 44th and 50th Japanese Antarctic Research Expedition (JARE) members carrying out the optical operation at Syowa Station. S. Johannesson and A. Egilsson supported the auroral observations in Iceland. THEMIS FGM data were obtained through CDA Web. Solar wind parameters were obtained from the OMNI data site at SPDF, NASA Goddard Space Flight Center. This research was supported by the Grant-in Aid for Scientific Research (B: 13573007, B: 17403009, and B: 21403007) from the Japan Society for the Promotion of Science (JSPS). The preparation of this paper was supported by an NIPR publication subsidy.</t>
  </si>
  <si>
    <t>AMER GEOPHYSICAL UNION</t>
  </si>
  <si>
    <t>2000 FLORIDA AVE NW, WASHINGTON, DC 20009 USA</t>
  </si>
  <si>
    <t>0065-8448</t>
  </si>
  <si>
    <t>978-0-87590-487-0</t>
  </si>
  <si>
    <t>GEOPHYS MONOGR SER</t>
  </si>
  <si>
    <t>+</t>
  </si>
  <si>
    <t>10.1029/2011GM001154</t>
  </si>
  <si>
    <t>Geochemistry &amp; Geophysics; Meteorology &amp; Atmospheric Sciences; Physics, Applied</t>
  </si>
  <si>
    <t>Geochemistry &amp; Geophysics; Meteorology &amp; Atmospheric Sciences; Physics</t>
  </si>
  <si>
    <t>BFJ22</t>
  </si>
  <si>
    <t>WOS:000320090100007</t>
  </si>
  <si>
    <t>Hildebrand, M; Davis, AK; Smith, SR; Traller, JC; Abbriano, R</t>
  </si>
  <si>
    <t>Hildebrand, Mark; Davis, Aubrey K.; Smith, Sarah R.; Traller, Jesse C.; Abbriano, Raffaela</t>
  </si>
  <si>
    <t>The place of diatoms in the biofuels industry</t>
  </si>
  <si>
    <t>BIOFUELS-UK</t>
  </si>
  <si>
    <t>Review</t>
  </si>
  <si>
    <t>THALASSIOSIRA-PSEUDONANA BACILLARIOPHYCEAE; BIOTECHNOLOGICALLY RELEVANT PRODUCTS; ANTARCTIC SEA-ICE; PHAEODACTYLUM-TRICORNUTUM; MARINE-PHYTOPLANKTON; CYCLOTELLA-CRYPTICA; SKELETONEMA-COSTATUM; LIPID-COMPOSITION; CELL-DEATH; ISOPRENOID BIOSYNTHESIS</t>
  </si>
  <si>
    <t>In spite of attractive attributes, diatoms are underrepresented in research and literature related to the development of microalgal biofuels. Diatoms are highly diverse and have substantial evolutionarily-based differences in cellular organization and metabolic processes relative to chlorophytes. Diatoms have tremendous ecological success, with typically higher productivity than other algal classes, which may relate to cellular factors discussed in this review. Diatoms can accumulate lipid equivalently or to a greater extent than other algal classes, and can rapidly induce triacylglycerol under Si limitation, avoiding the detrimental effects on photosynthesis, gene expression and protein content associated with N limitation. Diatoms have been grown on production scales for aquaculture for decades, produce value-added products and are amenable to omic and genetic manipulation approaches. In this article, we highlight beneficial attributes and address potential concerns of diatoms as biofuels research and production organisms, and encourage a greater emphasis on their development in the biofuels arena.</t>
  </si>
  <si>
    <t>[Hildebrand, Mark; Davis, Aubrey K.; Smith, Sarah R.; Traller, Jesse C.; Abbriano, Raffaela] Univ Calif, Scripps Inst Oceanog, Div Marine Biol Res, La Jolla, CA 92093 USA</t>
  </si>
  <si>
    <t>University of California System; University of California San Diego; Scripps Institution of Oceanography</t>
  </si>
  <si>
    <t>Hildebrand, M (corresponding author), Univ Calif, Scripps Inst Oceanog, Div Marine Biol Res, La Jolla, CA 92093 USA.</t>
  </si>
  <si>
    <t>mhildebrand@ucsd.edu</t>
  </si>
  <si>
    <t>Abbriano, Raffaela/AAB-2403-2020</t>
  </si>
  <si>
    <t>Abbriano, Raffaela/0000-0002-5754-5461; Smith, Sarah R/0000-0003-1105-3127</t>
  </si>
  <si>
    <t>AFOSR [FA9550-08-1-0178]; DOE [DE-EE0001222]; NSF [CBET-0903712]; Department of Defense through the National Defense Science and Engineering Graduate Fellowship Program; Div Of Chem, Bioeng, Env, &amp; Transp Sys; Directorate For Engineering [0903712] Funding Source: National Science Foundation</t>
  </si>
  <si>
    <t>AFOSR(United States Department of DefenseAir Force Office of Scientific Research (AFOSR)); DOE(United States Department of Energy (DOE)); NSF(National Science Foundation (NSF)); Department of Defense through the National Defense Science and Engineering Graduate Fellowship Program(United States Department of Defense); Div Of Chem, Bioeng, Env, &amp; Transp Sys; Directorate For Engineering(National Science Foundation (NSF)NSF - Directorate for Engineering (ENG))</t>
  </si>
  <si>
    <t>Diatom biofuels research in the Hildebrand laboratory is supported by AFOSR grant FA9550-08-1-0178, DOE grant DE-EE0001222 and NSF grant CBET-0903712. SRS was supported by the Department of Defense through the National Defense Science and Engineering Graduate Fellowship Program. The authors have no other relevant affiliations or financial involvement with any organization or entity with a financial interest in or financial conflict with the subject matter or materials discussed in the manuscript apart from those disclosed.</t>
  </si>
  <si>
    <t>1759-7269</t>
  </si>
  <si>
    <t>1759-7277</t>
  </si>
  <si>
    <t>Biofuels-UK</t>
  </si>
  <si>
    <t>10.4155/bfs.11.157</t>
  </si>
  <si>
    <t>Energy &amp; Fuels</t>
  </si>
  <si>
    <t>V20PZ</t>
  </si>
  <si>
    <t>WOS:000214899800017</t>
  </si>
  <si>
    <t>Tjiputra, JF; Olsen, A; Assmann, K; Pfeil, B; Heinze, C</t>
  </si>
  <si>
    <t>Tjiputra, J. F.; Olsen, A.; Assmann, K.; Pfeil, B.; Heinze, C.</t>
  </si>
  <si>
    <t>A model study of the seasonal and long-term North Atlantic surface pCO2 variability</t>
  </si>
  <si>
    <t>BIOGEOSCIENCES</t>
  </si>
  <si>
    <t>ISOPYCNIC COORDINATE MODEL; SEA CO2 FLUXES; CARBON-DIOXIDE; INTERANNUAL VARIABILITY; CLIMATE VARIABILITY; ATMOSPHERIC CO2; OCEAN; TRENDS; CYCLE; SINK</t>
  </si>
  <si>
    <t>A coupled biogeochemical-physical ocean model is used to study the seasonal and long-term variations of surface pCO(2) in the North Atlantic Ocean. The model agrees well with recent underway pCO(2) observations from the Surface Ocean CO2 Atlas (SOCAT) in various locations in the North Atlantic. Some of the distinct seasonal cycles observed in different parts of the North Atlantic are well reproduced by the model. In most regions except the subpolar domain, recent observed trends in pCO(2) and air-sea carbon fluxes are also simulated by the model. Over the longer period between 1960-2008, the primary mode of surface pCO(2) variability is dominated by the increasing trend associated with the invasion of anthropogenic CO2 into the ocean. We show that the spatial variability of this dominant increasing trend, to first order, can be explained by the surface ocean circulation and air-sea heat flux patterns. Regions with large surface mass transport and negative air-sea heat flux have the tendency to maintain lower surface pCO(2). Regions of surface convergence and mean positive air-sea heat flux such as the subtropical gyre and the western subpolar gyre have a higher long-term surface pCO(2) mean. The North Atlantic Oscillation (NAO) plays a major role in controlling the variability occurring at interannual to decadal time scales. The NAO predominantly influences surface pCO(2) in the North Atlantic by changing the physical properties of the North Atlantic water masses, particularly by perturbing the temperature and dissolved inorganic carbon in the surface ocean. We show that present underway sea surface pCO(2) observations are valuable for both calibrating the model, as well as for improving our understanding of the regionally heterogeneous variability of surface pCO(2). In addition, they can be important for detecting any long term change in the regional carbon cycle due to ongoing climate change.</t>
  </si>
  <si>
    <t>[Tjiputra, J. F.; Pfeil, B.; Heinze, C.] Univ Bergen, Inst Geophys, Bergen, Norway; [Olsen, A.] Inst Marine Res, N-5024 Bergen, Norway; [Assmann, K.] British Antarctic Survey, Cambridge CB3 0ET, England; [Pfeil, B.] World Data Ctr Marine Environm Sci, Bremen, Germany; [Olsen, A.; Heinze, C.] Uni Res, Uni Bjerknes Ctr, Bergen, Norway; [Tjiputra, J. F.; Olsen, A.; Pfeil, B.; Heinze, C.] Bjerknes Ctr Climate Res, Bergen, Norway</t>
  </si>
  <si>
    <t>University of Bergen; Institute of Marine Research - Norway; UK Research &amp; Innovation (UKRI); Natural Environment Research Council (NERC); NERC British Antarctic Survey; Bjerknes Centre for Climate Research; Bjerknes Centre for Climate Research</t>
  </si>
  <si>
    <t>Tjiputra, JF (corresponding author), Univ Bergen, Inst Geophys, Bergen, Norway.</t>
  </si>
  <si>
    <t>jerry.tjiputra@bjerknes.uib.no</t>
  </si>
  <si>
    <t>Tjiputra, Jerry/AAB-5896-2022; Olsen, Are/A-1511-2011</t>
  </si>
  <si>
    <t>Olsen, Are/0000-0003-1696-9142; Tjiputra, Jerry/0000-0002-4600-2453</t>
  </si>
  <si>
    <t>Research Council of Norway [185105/S30, 188167]; European Commission through EU [212196]; Norwegian Metacenter for Computational Science and Storage Infrastructure (NOTUR and Norstore) [nn2980k, ns2980k]; NERC [bas0100028] Funding Source: UKRI; Natural Environment Research Council [bas0100028] Funding Source: researchfish</t>
  </si>
  <si>
    <t>Research Council of Norway(Research Council of Norway); European Commission through EU; Norwegian Metacenter for Computational Science and Storage Infrastructure (NOTUR and Norstore); NERC(UK Research &amp; Innovation (UKRI)Natural Environment Research Council (NERC)); Natural Environment Research Council(UK Research &amp; Innovation (UKRI)Natural Environment Research Council (NERC))</t>
  </si>
  <si>
    <t>We thank Richard Bellerby for reviewing the early version of the manuscript. The authors also thank both anonymous referees for their feedback which improved the manuscript considerably. This study at the University of Bergen and Bjerknes Centre for Climate Research is supported by the Research Council of Norway funded projects CarboSeason (185105/S30) and A-CARB (188167) and by the European Commission through funds from the EU FP7 Coordination Action Carbon Observing System COCOS (212196). We also acknowledge the Norwegian Metacenter for Computational Science and Storage Infrastructure (NOTUR and Norstore, Biogeochemical Earth system modeling project nn2980k and ns2980k) for providing the computing and storage resources. This is publication no. A391 from the Bjerknes Centre for Climate Research.</t>
  </si>
  <si>
    <t>1726-4170</t>
  </si>
  <si>
    <t>1726-4189</t>
  </si>
  <si>
    <t>Biogeosciences</t>
  </si>
  <si>
    <t>10.5194/bg-9-907-2012</t>
  </si>
  <si>
    <t>Ecology; Geosciences, Multidisciplinary</t>
  </si>
  <si>
    <t>Environmental Sciences &amp; Ecology; Geology</t>
  </si>
  <si>
    <t>917LX</t>
  </si>
  <si>
    <t>WOS:000302179500003</t>
  </si>
  <si>
    <t>Zhou, K; Nodder, SD; Dai, M; Hall, JA</t>
  </si>
  <si>
    <t>Zhou, K.; Nodder, S. D.; Dai, M.; Hall, J. A.</t>
  </si>
  <si>
    <t>Insignificant enhancement of export flux in the highly productive subtropical front, east of New Zealand: a high resolution study of particle export fluxes based on 234Th: 238U disequilibria</t>
  </si>
  <si>
    <t>PARTICULATE ORGANIC-CARBON; PLANKTONIC COMMUNITY STRUCTURE; SMALL-VOLUME TECHNIQUE; ANTARCTIC POLAR FRONT; MICROBIAL FOOD-WEB; UPPER OCEAN EXPORT; CONVERGENCE REGION; SOUTHERN-OCEAN; CHATHAM RISE; AUSTRAL WINTER</t>
  </si>
  <si>
    <t>We evaluated the export fluxes of Particulate Organic Carbon (POC) in the Subtropical Frontal zone (STF) of the SW Pacific sector of the Southern Ocean. The site is characterized by enhanced primary productivity, which has been suggested to be stimulated through so-called natural iron fertilization processes where iron-depleted subantarctic water (SAW) mixes with mesotrophic, iron-replete subtropical water (STW). We adopted the small-volume Th-234 method to achieve the highest possible spatial sampling resolution in austral late autumn-early winter, May-June, 2008. Inventories of chlorophyll-a, particulate Th-234 and POC observed in the upper 100 m were all elevated in the mid-salinity water type (34.5 &lt; S &lt; 34.8), compared with low salinity waters (S &lt; 34.5) which were of SAW origin with high macronutrients and high (S &gt; 34.8) salinity waters which were of STW origin with low macronutrients. However, Steady-State Th-234 fluxes were similar across the salinity gradient being, 25 +/- 0.78 ((1.5 +/- 0.047) x 10(3)) in the mid-salinity, and 29 +/- 0.53 ((1.8 +/- 0.032) x 10(3)) and 22 +/- 1.1 Bq m(-2) d(-1) ((1.3 +/- 0.066) x 10(3) dpm m(-2) d(-1)) in the high and low salinity waters respectively. Bottle POC/Th ratios at the depth of 100 m were used to convert Th-234 fluxes into POC export fluxes. The derived POC flux did not appear to be enhanced in mid-salinity waters where the primary productivity was inferred to be the highest at the time of sampling, with a flux of 11 +/- 0.45 mmol C m(-2) d(-1), compared to 14 +/- 0.39 mmol C m(-2) d(-1) in high salinity waters and 8.5 +/- 0.66 mmol C m(-2) d(-1) in low salinity waters. This study thus implied that natural iron fertilization does not necessarily lead to an enhancement of POC export in STF regions.</t>
  </si>
  <si>
    <t>[Zhou, K.; Dai, M.] Xiamen Univ, State Key Lab Marine Environm Sci, Xiamen, Peoples R China; [Nodder, S. D.; Hall, J. A.] Natl Inst Water &amp; Atmospher Res Ltd NIWA, Wellington, New Zealand</t>
  </si>
  <si>
    <t>Xiamen University; National Institute of Water &amp; Atmospheric Research (NIWA) - New Zealand</t>
  </si>
  <si>
    <t>Dai, M (corresponding author), Xiamen Univ, State Key Lab Marine Environm Sci, Xiamen, Peoples R China.</t>
  </si>
  <si>
    <t>mdai@xmu.edu.cn</t>
  </si>
  <si>
    <t>Dai, Minhan/G-3343-2010; DAI, M/GPS-8291-2022</t>
  </si>
  <si>
    <t>Foundation of Science, Research and Technology (New Zealand) [C01X0501]; NIWA [TAN0806]; National Natural Science Foundation of China through grant NSFC [40821063]</t>
  </si>
  <si>
    <t>Foundation of Science, Research and Technology (New Zealand); NIWA; National Natural Science Foundation of China through grant NSFC</t>
  </si>
  <si>
    <t>This study was funded by the Foundation of Science, Research and Technology (New Zealand) via the Coasts and Oceans Outcome-Based Investment (C01X0501). KZ was supported by a NIWA Capability Fund Visiting Scientist grant for him to participate in the cruise TAN0806. The preparation of the manuscript was supported by the National Natural Science Foundation of China through grant NSFC 40821063 to MHD. We thank the Captain, officers and crew of R/V Tangaroa for their assistance in sample collection during TAN0806, as well as other voyage participants, especially Steve George for operating the CTD. Thanks were also given to Karl Safi for supporting the macronutrient data. We finally thank Pinghe Cai and Ken Buesseler for their constructive comments on early drafts of this paper.</t>
  </si>
  <si>
    <t>10.5194/bg-9-973-2012</t>
  </si>
  <si>
    <t>WOS:000302179500008</t>
  </si>
  <si>
    <t>Henley, SF; Annett, AL; Ganeshram, RS; Carson, DS; Weston, K; Crosta, X; Tait, A; Dougans, J; Fallick, AE; Clarke, A</t>
  </si>
  <si>
    <t>Henley, S. F.; Annett, A. L.; Ganeshram, R. S.; Carson, D. S.; Weston, K.; Crosta, X.; Tait, A.; Dougans, J.; Fallick, A. E.; Clarke, A.</t>
  </si>
  <si>
    <t>Factors influencing the stable carbon isotopic composition of suspended and sinking organic matter in the coastal Antarctic sea ice environment</t>
  </si>
  <si>
    <t>DISSOLVED INORGANIC CARBON; NORTHERN MARGUERITE BAY; SOUTHERN INDIAN-OCEAN; CARBOXYLASE ACTIVITIES; MARINE-PHYTOPLANKTON; SURFACE-WATER; EQUATORIAL PACIFIC; WEDDELL SEA; GROWTH-RATE; GAP LAYERS</t>
  </si>
  <si>
    <t>A high resolution time-series analysis of stable carbon isotopic signatures in particulate organic carbon (delta C-13(POC)) and associated biogeochemical parameters in sea ice and surface waters provides an insight into the factors affecting delta C-13(POC) in the coastal western Antarctic Peninsula sea ice environment. The study covers two austral summer seasons in Ryder Bay, northern Marguerite Bay between 2004 and 2006. A shift in diatom species composition during the 2005/06 summer bloom to near-complete biomass dominance of Proboscia inermis is strongly correlated with a large ~10 parts per thousand negative isotopic shift in delta C-13(POC) that cannot be explained by a concurrent change in concentration or isotopic signature of CO2. We hypothesise that the delta C-13(POC) shift may be driven by the contrasting biochemical mechanisms and utilisation of carbon-concentrating mechanisms (CCMs) in different diatom species. Specifically, very low delta C-13(POC) in P. inermis may be caused by the lack of a CCM, whilst some diatom species abundant at times of higher delta C-13(POC) may employ CCMs. These short-lived yet pronounced negative delta C-13(POC) excursions drive a 4 parts per thousand decrease in the seasonal average delta C-13(POC) signal, which is transferred to sediment traps and core-top sediments and consequently has the potential for preservation in the sedimentary record. This 4 parts per thousand difference between seasons of contrasting sea ice conditions and upper water column stratification matches the full amplitude of glacial-interglacial Southern Ocean delta C-13(POC) variability and, as such, we invoke phytoplankton species changes as a potentially important factor influencing sedimentary delta C-13(POC). We also find significantly higher delta C-13(POC) in sea ice than surface waters, consistent with autotrophic carbon fixation in a semi-closed environment and possible contributions from post-production degradation, biological utilisation of HCO3- and production of exopolymeric substances. This study demonstrates the importance of surface water diatom speciation effects and isotopically heavy sea ice-derived material for delta C-13(POC) in Antarctic coastal environments and underlying sediments, with consequences for the utility of diatom-based delta C-13(POC) in the sedimentary record.</t>
  </si>
  <si>
    <t>[Henley, S. F.; Annett, A. L.; Ganeshram, R. S.; Carson, D. S.] Univ Edinburgh, Sch GeoSci, Edinburgh EH9 3JW, Midlothian, Scotland; [Weston, K.] Univ E Anglia, Sch Environm Sci, Lab Global Marine &amp; Atmospher Chem, Norwich NR4 7TJ, Norfolk, England; [Crosta, X.] Univ Bordeaux 1, CNRS, UMR 5805, EPOC, F-33405 Talence, France; [Tait, A.; Dougans, J.; Fallick, A. E.] Scottish Univ Environm Res Ctr, Glasgow G75 0QF, Lanark, Scotland; [Clarke, A.] British Antarctic Survey, Cambridge CB3 0ET, England</t>
  </si>
  <si>
    <t>University of Edinburgh; University of East Anglia; Centre National de la Recherche Scientifique (CNRS); Universite de Bordeaux; CNRS - National Institute for Earth Sciences &amp; Astronomy (INSU); Scottish Universities Research &amp; Reactor Center; UK Research &amp; Innovation (UKRI); Natural Environment Research Council (NERC); NERC British Antarctic Survey</t>
  </si>
  <si>
    <t>Henley, SF (corresponding author), Univ Edinburgh, Sch GeoSci, W Mains Rd, Edinburgh EH9 3JW, Midlothian, Scotland.</t>
  </si>
  <si>
    <t>s.f.henley@sms.ed.ac.uk</t>
  </si>
  <si>
    <t>Ganeshram, Raja S/JPX-5314-2023</t>
  </si>
  <si>
    <t>Annett, Amber/0000-0002-3730-2438; Henley, Sian Frances/0000-0003-1221-1983; Fallick, Anthony/0000-0002-7649-6167</t>
  </si>
  <si>
    <t>NERC [NER/S/S/2004/12773]; Commonwealth Scholarships and Fellowships Programme; Universities of the Scottish Consortium; SHEFC; NERC [bas0100025] Funding Source: UKRI; Natural Environment Research Council [bas0100025] Funding Source: researchfish</t>
  </si>
  <si>
    <t>NERC(UK Research &amp; Innovation (UKRI)Natural Environment Research Council (NERC)); Commonwealth Scholarships and Fellowships Programme; Universities of the Scottish Consortium; SHEFC; NERC(UK Research &amp; Innovation (UKRI)Natural Environment Research Council (NERC)); Natural Environment Research Council(UK Research &amp; Innovation (UKRI)Natural Environment Research Council (NERC))</t>
  </si>
  <si>
    <t>The authors would like to thank two anonymous reviewers for constructive comments and helpful feedback. This work was funded by NERC (NER/S/S/2004/12773) and the Commonwealth Scholarships and Fellowships Programme. This study is part of the ESF PolarClimate HOLOCLIP Project (HOLOCLIP publication no. 7). SUERC was supported by the Universities of the Scottish Consortium and the SHEFC programme SAGES. The authors gratefully acknowledge the marine science team based at Rothera Research Station (2004-06), officers, crew and scientists of the R. R. S. James Clark Ross (2004-06), Colin Chilcott for assistance with delta13C analysis and Nicola Cayzer for assistance with SEM analysis.</t>
  </si>
  <si>
    <t>10.5194/bg-9-1137-2012</t>
  </si>
  <si>
    <t>WOS:000302179500020</t>
  </si>
  <si>
    <t>Tagliabue, A; Mtshali, T; Aumont, O; Bowie, AR; Klunder, MB; Roychoudhury, AN; Swart, S</t>
  </si>
  <si>
    <t>Tagliabue, A.; Mtshali, T.; Aumont, O.; Bowie, A. R.; Klunder, M. B.; Roychoudhury, A. N.; Swart, S.</t>
  </si>
  <si>
    <t>A global compilation of dissolved iron measurements: focus on distributions and processes in the Southern Ocean</t>
  </si>
  <si>
    <t>ROSS SEA; TEMPORAL DISTRIBUTION; AUSTRALIAN SECTOR; FE; PHYTOPLANKTON; ATLANTIC; FERTILIZATION; MESOSCALE; IMPACT; WATERS</t>
  </si>
  <si>
    <t>Due to its importance as a limiting nutrient for phytoplankton growth in large regions of the world's oceans, ocean water column observations of concentration of the trace-metal iron (Fe) have increased markedly over recent decades. Here we compile &gt;13 000 global measurements of dissolved Fe (dFe) and make this available to the community. We then conduct a synthesis study focussed on the Southern Ocean, where dFe plays a fundamental role in governing the carbon cycle, using four regions, six basins and five depth intervals as a framework. Our analysis highlights depth-dependent trends in the properties of dFe between different regions and basins. In general, surface dFe is highest in the Atlantic basin and the Antarctic region. While attributing drivers to these patterns is uncertain, inter-basin patterns in surface dFe might be linked to differing degrees of dFe inputs, while variability in biological consumption between regions covaries with the associated surface dFe differences. Opposite to the surface, dFe concentrations at depth are typically higher in the Indian basin and the Subantarctic region. The inter-region trends can be reconciled with similar ligand variability (although only from one cruise), and the inter-basin difference might be explained by differences in hydrothermal inputs suggested by modelling studies (Tagliabue et al., 2010) that await observational confirmation. We find that even in regions where many dFe measurements exist, the processes governing the seasonal evolution of dFe remain enigmatic, suggesting that, aside from broad Subantarctic - Antarctic trends, biological consumption might not be the major driver of dFe variability. This highlights the apparent importance of other processes such as exogenous inputs, physical transport/mixing or dFe recycling processes. Nevertheless, missing measurements during key seasonal transitions make it difficult to better quantify and understand surface water replenishment processes and the seasonal Fe cycle. Finally, we detail the degree of seasonal coverage by region, basin and depth. By synthesising prior measurements, we suggest a role for different processes and highlight key gaps in understanding, which we hope can help structure future research efforts in the Southern Ocean.</t>
  </si>
  <si>
    <t>[Tagliabue, A.; Mtshali, T.; Swart, S.] CSIR, So Ocean Carbon &amp; Climate Observ, ZA-7599 Stellenbosch, South Africa; [Tagliabue, A.; Swart, S.] Univ Cape Town, Dept Oceanog, ZA-7701 Cape Town, South Africa; [Mtshali, T.; Roychoudhury, A. N.] Univ Stellenbosch, Dept Earth Sci, ZA-7602 Stellenbosch, South Africa; [Aumont, O.] Ctr IRD Bretagne, Lab Phys Oceans, F-29280 Plouzane, France; [Bowie, A. R.] Univ Tasmania, Antarctic Climate &amp; Ecosyst Cooperat Res Ctr ACE, Hobart, Tas 7001, Australia; [Klunder, M. B.] NIOZ, Dutch Inst Sea Res, Den Burg, Texel, Netherlands</t>
  </si>
  <si>
    <t>Council for Scientific &amp; Industrial Research (CSIR) - South Africa; University of Cape Town; Stellenbosch University; Centre National de la Recherche Scientifique (CNRS); Ifremer; Institut de Recherche pour le Developpement (IRD); Universite de Bretagne Occidentale; Antarctic Climate &amp; Ecosystems Cooperative Research Centre (ACE CRC); University of Tasmania; Utrecht University; Royal Netherlands Institute for Sea Research (NIOZ)</t>
  </si>
  <si>
    <t>Tagliabue, A (corresponding author), CSIR, So Ocean Carbon &amp; Climate Observ, POB 320, ZA-7599 Stellenbosch, South Africa.</t>
  </si>
  <si>
    <t>atagliab@gmail.com; tmtshali@csir.co.za</t>
  </si>
  <si>
    <t>Aumont, Olivier/G-5207-2016; Swart, Sebastiaan/U-5498-2017; Bowie, Andrew/C-8677-2013</t>
  </si>
  <si>
    <t>Aumont, Olivier/0000-0003-3954-506X; Roychoudhury, Alakendra/0000-0002-5627-8891; Swart, Sebastiaan/0000-0002-2251-8826; Bowie, Andrew/0000-0002-5144-7799; Tagliabue, Alessandro/0000-0002-3572-3634</t>
  </si>
  <si>
    <t>ACCESS</t>
  </si>
  <si>
    <t>We thank all scientists who collected and contributed dFe data for this effort, as well as K. Johnson, P. Parekh and J. K. Moore for beginning the compilation of dFe datasets. A. T. especially thanks Peter Sedwick who kindly passed on measurements and a preprint ahead of their publication, as well as commenting on the seasonality of SR3, and Hein de Baar for useful comments on our approach. The authors thank Nicolas Fauchereau for providing the plot on the seasonal chlorophyll progression for the SR3 region. Finally we extend our thanks to Peter Croot and Stephane Blain for their critical reviews of our manuscript and for highlighting the importance and utility of associated metadata that we comment upon in the text. A. T., T. M. and S. S. acknowledge support from ACCESS. A copy of the dataset is available from GEOTRACES (http://www.bodc.ac.uk/geotraces/data/historical/) or by emailing either of the corresponding authors. We will endeavour to continue to compile newly available measurements and encourage scientists to contribute to this effort by contacting A. T.</t>
  </si>
  <si>
    <t>10.5194/bg-9-2333-2012</t>
  </si>
  <si>
    <t>966IB</t>
  </si>
  <si>
    <t>WOS:000305830000026</t>
  </si>
  <si>
    <t>Boye, M; Wake, BD; Garcia, PL; Bown, J; Baker, AR; Achterberg, EP</t>
  </si>
  <si>
    <t>Boye, M.; Wake, B. D.; Lopez Garcia, P.; Bown, J.; Baker, A. R.; Achterberg, E. P.</t>
  </si>
  <si>
    <t>Distributions of dissolved trace metals (Cd, Cu, Mn, Pb, Ag) in the southeastern Atlantic and the Southern Ocean</t>
  </si>
  <si>
    <t>PACIFIC-OCEAN; IRON LIMITATION; MANGANESE; WATER; CADMIUM; SILVER; PHYTOPLANKTON; ZN; CIRCULATION; ELEMENTS</t>
  </si>
  <si>
    <t>Comprehensive synoptic datasets (surface water down to 4000 m) of dissolved cadmium (Cd), copper (Cu), manganese (Mn), lead (Pb) and silver (Ag) are presented along a section between 34A degrees S and 57A degrees S in the southeastern Atlantic Ocean and the Southern Ocean to the south off South Africa. The vertical distributions of Cu and Ag display nutrient-like profiles similar to silicic acid, and of Cd similar to phosphate. The distribution of Mn shows a subsurface maximum in the oxygen minimum zone, whereas Pb concentrations are rather invariable with depth. Dry deposition of aerosols is thought to be an important source of Pb to surface waters close to South Africa, and dry deposition and snowfall may have been significant sources of Cu and Mn at the higher latitudes. Furthermore, the advection of water masses enriched in trace metals following contact with continental margins appeared to be an important source of trace elements to the surface, intermediate and deep waters in the southeastern Atlantic Ocean and the Antarctic Circumpolar Current. Hydrothermal inputs may have formed a source of trace metals to the deep waters over the Bouvet Triple Junction ridge crest, as suggested by relatively enhanced dissolved Mn concentrations. The biological utilization of Cu and Ag was proportional to that of silicic acid across the section, suggesting that diatoms formed an important control over the removal of Cu and Ag from surface waters. However, uptake by dino- and nano-flagellates may have influenced the distribution of Cu and Ag in the surface waters of the subtropical Atlantic domain. Cadmium correlated strongly with phosphate (P), yielding lower Cd / P ratios in the subtropical surface waters where phosphate concentrations were below 0.95 mu M. The greater depletion of Cd relative to P observed in the Weddell Gyre compared to the Antarctic Circumpolar Current could be due to increase Cd uptake induced by iron-limiting conditions in these high-nutrient-low-chlorophyll waters. Similarly, an increase of Mn uptake under Fe-depleted conditions may have caused the highest depletion of Mn relative to P in the surface waters of the Weddell Gyre. In addition, a cellular Mn-transport channel of Cd was possibly activated in the Weddell Gyre, which in turn may have yielded depletion of both Mn and Cd in these surface waters.</t>
  </si>
  <si>
    <t>[Boye, M.; Wake, B. D.; Bown, J.] Inst Univ Europeen Mer IUEM, Lab Sci Environm Marin, UMS3113, UMR6539, F-29280 Plouzane, France; [Wake, B. D.; Lopez Garcia, P.; Achterberg, E. P.] Univ Southampton, Sch Ocean &amp; Earth Sci, Natl Oceanog Ctr Southampton, Southampton SO14 3ZH, Hants, England; [Lopez Garcia, P.] Univ Las Palmas Gran Canaria, Las Palmas Gran Canaria 35017, Spain; [Baker, A. R.] Univ E Anglia, Sch Environm Sci, Norwich NR4 7TJ, Norfolk, England</t>
  </si>
  <si>
    <t>Centre National de la Recherche Scientifique (CNRS); Ifremer; Institut de Recherche pour le Developpement (IRD); CNRS - Institute of Ecology &amp; Environment (INEE); Universite de Bretagne Occidentale; Institut Universitaire Europeen de la Mer (IUEM); CNRS - National Institute for Earth Sciences &amp; Astronomy (INSU); NERC National Oceanography Centre; University of Southampton; Universidad de Las Palmas de Gran Canaria; University of East Anglia</t>
  </si>
  <si>
    <t>Boye, M (corresponding author), Inst Univ Europeen Mer IUEM, Lab Sci Environm Marin, UMS3113, UMR6539, Technopole Brest Iroise, F-29280 Plouzane, France.</t>
  </si>
  <si>
    <t>marie.boye@univ-brest.fr</t>
  </si>
  <si>
    <t>Lopez-Garcia, Patricia/ABD-7687-2021; Achterberg, Eric P/C-5820-2009; Baker, Alex R/D-1233-2011</t>
  </si>
  <si>
    <t>Lopez-Garcia, Patricia/0000-0002-4689-2775; Wake, Bronwyn/0000-0002-9053-1264; Baker, Alex/0000-0002-8365-8953</t>
  </si>
  <si>
    <t>French LEFE National Program of Institut des Sciences de l'Univers du Centre National de la Recherche Scientifique (INSU-CNRS); National Agency for Research Funding [ANR-07-BLAN-0146]; IFREMER; French Polar Institut (IPEV); Network of Excellence EUR-OCEANS; University of Southampton; Region Bretagne; Agence Nationale de la Recherche (ANR) [ANR-07-BLAN-0146] Funding Source: Agence Nationale de la Recherche (ANR); Natural Environment Research Council [NE/E010180/1] Funding Source: researchfish; NERC [NE/E010180/1] Funding Source: UKRI</t>
  </si>
  <si>
    <t>French LEFE National Program of Institut des Sciences de l'Univers du Centre National de la Recherche Scientifique (INSU-CNRS); National Agency for Research Funding; IFREMER; French Polar Institut (IPEV); Network of Excellence EUR-OCEANS; University of Southampton; Region Bretagne(Region Bretagne); Agence Nationale de la Recherche (ANR)(Agence Nationale de la Recherche (ANR)); Natural Environment Research Council(UK Research &amp; Innovation (UKRI)Natural Environment Research Council (NERC)); NERC(UK Research &amp; Innovation (UKRI)Natural Environment Research Council (NERC))</t>
  </si>
  <si>
    <t>We gratefully acknowledge the Captain P. Courtes, the officers and crew members of the French R/V Marion Dufresne II for their wonderful work at sea during the MD166 BONUS-GoodHope cruise. H. Leau and P. Sangiardi (IPEV, France) are also thanked for their logistical and technical support during the operations at sea. M. Boye extends special thanks to S. Speich (LPO, France) for her partnership in the coordination of the BONUS-GoodHope project and cruise; and to collaborators M. Arhan (LPO, France) and F. Dehairs (VUB, Belgium) for their help and advices in conducting the scientific strategy during the cruise. This investigation was supported by the French LEFE National Program of Institut des Sciences de l'Univers du Centre National de la Recherche Scientifique (INSU-CNRS), the National Agency for Research Funding (ANR-07-BLAN-0146), IFREMER and the French Polar Institut (IPEV). We acknowledge the GO-FLO sampling team: F. Chever, E. Bucciarelli, F. Lacan, G. Sarthou, A. Radic. Thanks to Patrick Laan and J. Andy Milton for assistance in analysis, and Angie Milne and Bill Landing for their help with setting up the ID-ICPMS technique. Special thanks to our fellows from the NIOZ team led by H. de Baar on board of the R/V Polarstern for synoptic work and extension of the section towards Antarctica along the Greenwich Meridian during the International Polar Year. The Postdoctoral Fellowship of B. W. was supported by the Network of Excellence EUR-OCEANS, the ANR-07-BLAN-0146 project and the University of Southampton. Ph. D. fellowship of J. B. was supported by the Region Bretagne. This work is a contribution to the International Polar Year and GEOTRACES programs.</t>
  </si>
  <si>
    <t>10.5194/bg-9-3231-2012</t>
  </si>
  <si>
    <t>999DT</t>
  </si>
  <si>
    <t>WOS:000308290200027</t>
  </si>
  <si>
    <t>Papaleo, MC; Fondi, M; Maida, I; Perrin, E; Lo Giudice, A; Michaud, L; Mangano, S; Bartolucci, G; Romoli, R; Fani, R</t>
  </si>
  <si>
    <t>Papaleo, Maria Cristiana; Fondi, Marco; Maida, Isabel; Perrin, Elena; Lo Giudice, Angelina; Michaud, Luigi; Mangano, Santina; Bartolucci, Gianluca; Romoli, Riccardo; Fani, Renato</t>
  </si>
  <si>
    <t>Sponge-associated microbial Antarctic communities exhibiting antimicrobial activity against Burkholderia cepacia complex bacteria</t>
  </si>
  <si>
    <t>BIOTECHNOLOGY ADVANCES</t>
  </si>
  <si>
    <t>Antibiotics; Cystic fibrosis; VOC</t>
  </si>
  <si>
    <t>PSYCHROTROPHIC BACTERIA; CYSTIC-FIBROSIS; DRUG DISCOVERY; IDENTIFICATION; PHYLOGENIES</t>
  </si>
  <si>
    <t>The aerobic heterotrophic bacterial communities isolated from three different Antarctic sponge species were analyzed for their ability to produce antimicrobial compounds active toward Cystic Fibrosis opportunistic pathogens belonging to the Burkholderia cepacia complex (Bcc). The phylogenetic analysis performed on the 16S rRNA genes affiliated the 140 bacterial strains analyzed to 15 genera. Just three of them (Psychrobacter. Pseudoalteromonas and Arthrobacter) were shared by the three sponges. The further Random Amplified Polymorphic DNA analysis allowed to demonstrate that microbial communities are highly sponge-specific and a very low degree of genus/species/strain sharing was detected. Data obtained revealed that most of these sponge-associated Antarctic bacteria and belonging to different genera were able to completely inhibit the growth of bacteria belonging to the Bcc. On the other hand, the same Antarctic strains did not have any effect on the growth of other pathogenic bacteria, strongly suggesting that the inhibition is specific for Bcc bacteria. Moreover, the antimicrobial compounds synthesized by the most active Antarctic bacteria are very likely Volatile Organic Compounds (VOCs), a finding that was confirmed by the SPME-GC-MS technique, which revealed the production of a large set of VOCs by a representative set of Antarctic bacteria. The synthesis of these VOCs appeared to be related neither to the presence of pks genes nor the presence of plasm id molecules. The whole body of data obtained in this work indicates that sponge-associated bacteria represent an untapped source for the identification of new antimicrobial compounds and are paving the way for the discovery of new drugs that can be efficiently and successfully used for the treatment of CF infections. (C) 2011 Elsevier Inc. All rights reserved.</t>
  </si>
  <si>
    <t>[Papaleo, Maria Cristiana; Fondi, Marco; Maida, Isabel; Perrin, Elena; Fani, Renato] Univ Florence, Dept Evolutionary Biol, Lab Microbial &amp; Mol Evolut, I-50125 Florence, Italy; [Lo Giudice, Angelina; Michaud, Luigi; Mangano, Santina] Univ Messina, Dept Anim Biol &amp; Marine Ecol DBAEM CIBAN, I-98166 Messina, Italy; [Bartolucci, Gianluca] Univ Florence, Dept Pharmaceut Sci, I-50019 Florence, Italy; [Romoli, Riccardo] Dipartimento Prod Vegetali Suolo &amp; Ambiente Agrof, I-50144 Florence, Italy</t>
  </si>
  <si>
    <t>University of Florence; University of Messina; University of Florence</t>
  </si>
  <si>
    <t>Fani, R (corresponding author), Univ Florence, Dept Evolutionary Biol, Lab Microbial &amp; Mol Evolut, Via Romana 17-19, I-50125 Florence, Italy.</t>
  </si>
  <si>
    <t>cristiana.papaleo@unifi.it; marco.fondi@unifi.it; isabel.maida@unifi.it; elena.perrin@unifi.it; alogiudice@unime.it; lmichaud@unime.it; smangano@unime.it; gianluca.bartolucci@unifi.it; riccardo.romoli@unifi.it; renato.fani@unifi.it</t>
  </si>
  <si>
    <t>Perrin, Elena/AAX-2762-2020; Bartolucci, Gianluca/J-4545-2019</t>
  </si>
  <si>
    <t>Perrin, Elena/0000-0001-5148-3178; Bartolucci, Gianluca/0000-0002-5631-8769; Fondi, Marco/0000-0001-9291-5467</t>
  </si>
  <si>
    <t>Italian Cystic Fibrosis Research foundation [FFC 12/2011]; Ente Cassa di Risparmio di Firenze; Fondazione Adriano Buzzati-Traverso</t>
  </si>
  <si>
    <t>Italian Cystic Fibrosis Research foundation(Ministry of Health, ItalyItalian Cystic Fibrosis Research Foundation); Ente Cassa di Risparmio di Firenze(Fondazione Cassa Risparmio Firenze); Fondazione Adriano Buzzati-Traverso</t>
  </si>
  <si>
    <t>This work was supported by Italian Cystic Fibrosis Research foundation (Grant FFC#12/2011) and by Ente Cassa di Risparmio di Firenze. Marco Fondi is supported by a post-doctoral fellowship from Fondazione Adriano Buzzati-Traverso.</t>
  </si>
  <si>
    <t>0734-9750</t>
  </si>
  <si>
    <t>1873-1899</t>
  </si>
  <si>
    <t>BIOTECHNOL ADV</t>
  </si>
  <si>
    <t>Biotechnol. Adv.</t>
  </si>
  <si>
    <t>10.1016/j.biotechadv.2011.06.011</t>
  </si>
  <si>
    <t>Biotechnology &amp; Applied Microbiology</t>
  </si>
  <si>
    <t>895EO</t>
  </si>
  <si>
    <t>WOS:000300479200021</t>
  </si>
  <si>
    <t>Southwell, C; Bengtson, J; Bester, M; Blix, AS; Bornemann, H; Boveng, P; Cameron, M; Forcada, J; Laake, J; Nordoy, E; Plötz, J; Rogers, T; Southwell, D; Steinhage, D; Stewart, BS; Trathan, P</t>
  </si>
  <si>
    <t>Southwell, C.; Bengtson, J.; Bester, M.; Blix, A. S.; Bornemann, H.; Boveng, P.; Cameron, M.; Forcada, J.; Laake, J.; Nordoy, E.; Ploetz, J.; Rogers, T.; Southwell, D.; Steinhage, D.; Stewart, B. S.; Trathan, P.</t>
  </si>
  <si>
    <t>A REVIEW OF DATA ON ABUNDANCE, TRENDS IN ABUNDANCE, HABITAT USE AND DIET OF ICE-BREEDING SEALS IN THE SOUTHERN OCEAN</t>
  </si>
  <si>
    <t>CCAMLR SCIENCE</t>
  </si>
  <si>
    <t>CRAB-EATER SEALS; FEMALE WEDDELL SEALS; 3-DIMENSIONAL DIVE PROFILES; QUEEN-MAUD-LAND; LEOPARD SEALS; HYDRURGA-LEPTONYX; DIVING BEHAVIOR; ROSS SEAL; OMMATOPHOCA-ROSSII; FORAGING BEHAVIOR</t>
  </si>
  <si>
    <t>The development of models of marine ecosystems in the Southern Ocean is becoming increasingly important as a means of understanding and managing impacts such as exploitation and climate change. Collating data from disparate sources, and understanding biases or uncertainties inherent in those data, are important first steps for improving ecosystem models. This review focuses on seals that breed in ice habitats of the Southern Ocean (i.e. crabeater seal, Lobodon carcinophaga; Ross seal, Ommatophoca rossii; leopard seal, Hydrurga leptonyx; and Weddell seal, Leptonychotes weddellii). Data on populations (abundance and trends in abundance), distribution and habitat use (movement, key habitat and environmental features) and foraging (diet) are summarised, and potential biases and uncertainties inherent in those data are identified and discussed. Spatial and temporal gaps in knowledge of the populations, habitats and diet of each species are also identified.</t>
  </si>
  <si>
    <t>[Southwell, C.; Southwell, D.] Australian Antarctic Div, Dept Environm Water Heritage &amp; Arts, Kingston, Tas 7050, Australia; [Bengtson, J.; Boveng, P.; Cameron, M.; Laake, J.] NOAA Fisheries, Natl Marine Mammal Lab, Seattle, WA 98115 USA; [Bester, M.; Steinhage, D.] Univ Pretoria, Mammal Res Inst, Dept Zool &amp; Entomol, ZA-0002 Pretoria, South Africa; [Blix, A. S.; Nordoy, E.] Univ Tromso, Dept Arct Biol, N-9037 Tromso, Norway; [Bornemann, H.; Ploetz, J.] Alfred Wegener Inst, D-27515 Bremerhaven, Germany; [Forcada, J.; Trathan, P.] British Antarctic Survey, Cambridge CB3 0ET, England; [Rogers, T.] Univ New S Wales, Sch Biol Earth &amp; Environm Sci, Sydney, NSW, Australia; [Stewart, B. S.] Hubbs SeaWorld Res Inst, San Diego, CA 92109 USA</t>
  </si>
  <si>
    <t>Australian Antarctic Division; National Oceanic Atmospheric Admin (NOAA) - USA; University of Pretoria; UiT The Arctic University of Tromso; Helmholtz Association; Alfred Wegener Institute, Helmholtz Centre for Polar &amp; Marine Research; UK Research &amp; Innovation (UKRI); Natural Environment Research Council (NERC); NERC British Antarctic Survey; University of New South Wales Sydney</t>
  </si>
  <si>
    <t>Southwell, C (corresponding author), Australian Antarctic Div, Dept Environm Water Heritage &amp; Arts, 203 Channel Highway, Kingston, Tas 7050, Australia.</t>
  </si>
  <si>
    <t>colin.southwell@aad.gov.au</t>
  </si>
  <si>
    <t>Forcada, Jaume/GYU-0677-2022; Rogers, Tracey L/C-3419-2008; Bester, Marthán N/E-5387-2010</t>
  </si>
  <si>
    <t>Rogers, Tracey/0000-0002-7141-4177</t>
  </si>
  <si>
    <t>Natural Environment Research Council [bas0100025] Funding Source: researchfish</t>
  </si>
  <si>
    <t>Natural Environment Research Council(UK Research &amp; Innovation (UKRI)Natural Environment Research Council (NERC))</t>
  </si>
  <si>
    <t>C C A M L R TI</t>
  </si>
  <si>
    <t>NORTH HOBART</t>
  </si>
  <si>
    <t>PO BOX 213, NORTH HOBART, TAS 7002, AUSTRALIA</t>
  </si>
  <si>
    <t>1023-4063</t>
  </si>
  <si>
    <t>CCAMLR SCI</t>
  </si>
  <si>
    <t>CCAMLR Sci.</t>
  </si>
  <si>
    <t>Fisheries</t>
  </si>
  <si>
    <t>142FF</t>
  </si>
  <si>
    <t>WOS:000318781400004</t>
  </si>
  <si>
    <t>Ratcliffe, N; Trathan, P</t>
  </si>
  <si>
    <t>Ratcliffe, N.; Trathan, P.</t>
  </si>
  <si>
    <t>A REVIEW OF THE DIET AND AT-SEA DISTRIBUTION OF PENGUINS BREEDING WITHIN THE CAMLR CONVENTION AREA</t>
  </si>
  <si>
    <t>EUDYPTES-CHRYSOCOME PENGUINS; FORAGING TRIP DURATION; TRACKED KING PENGUINS; SOUTH ORKNEY ISLANDS; EASTERN WEDDELL SEA; ANTARCTIC FUR SEALS; POST-MOLT DIET; ADELIE PENGUINS; PYGOSCELIS-PAPUA; EMPEROR PENGUINS</t>
  </si>
  <si>
    <t>Managing fisheries in an ecologically sensitive manner demands that catches do not depress stocks within the foraging areas used by predators to levels that reduce their reproductive success or survival. Spatially-explicit bioenergetics models that estimate the amount of prey consumed by predators are required to inform such policy. These models require information on the number of predators in a population, their nutritional demands, their diet composition and their seasonal distribution in the marine environment. This paper reviews all published information on the diet and at-sea distribution of the six penguin species that breed in the CAMLR Convention Area, the methods used to collect these data and the uncertainties inherent in them. The review will be of utility to modellers as a source of parameters, and to penguin biologists by providing comparative information for their own findings and by highlighting significant gaps in existing knowledge and methods that could be used to fill these.</t>
  </si>
  <si>
    <t>[Ratcliffe, N.; Trathan, P.] British Antarctic Survey, Cambridge CB3 0ET, England</t>
  </si>
  <si>
    <t>Ratcliffe, N (corresponding author), British Antarctic Survey, High Cross,Madingley Rd, Cambridge CB3 0ET, England.</t>
  </si>
  <si>
    <t>notc@bas.ac.uk</t>
  </si>
  <si>
    <t>WOS:000318781400005</t>
  </si>
  <si>
    <t>Atkinson, A; Nicol, S; Kawaguchi, S; Pakhomov, E; Quetin, L; Ross, R; Hill, S; Reiss, C; Siegel, V; Tarling, G</t>
  </si>
  <si>
    <t>Atkinson, A.; Nicol, S.; Kawaguchi, S.; Pakhomov, E.; Quetin, L.; Ross, R.; Hill, S.; Reiss, C.; Siegel, V.; Tarling, G.</t>
  </si>
  <si>
    <t>FITTING EUPHAUSIA SUPERBA INTO SOUTHERN OCEAN FOOD-WEB MODELS: A REVIEW OF DATA SOURCES AND THEIR LIMITATIONS</t>
  </si>
  <si>
    <t>PENGUINS EUDYPTES-CHRYSOLOPHUS; WESTERN ANTARCTIC PENINSULA; KRILL-COPEPOD INTERACTIONS; SCALE MANAGEMENT UNITS; NATURAL GROWTH-RATES; MARGINAL ICE-ZONE; SCOTIA SEA; MACARONI PENGUINS; ATLANTIC SECTOR; POPULATION-DYNAMICS</t>
  </si>
  <si>
    <t>This paper aims to provide the overview needed to include krill in food-web models and to guide modellers to key sources of data. It describes the strengths of each method of sampling krill, i.e. with nets (for historical time series, demographic information and live krill), acoustics (distribution, time series, biomass and swarm-scale information), the fishery (sustained sampling in one place and wide area and time coverage) and via predators (long time series, demographic indices). Each data source has caveats and more efforts to combine them are recommended. Observations that krill occupy the under-ice layer, the 0-10 m layer, the deeper water column and the benthos have fundamental implications, both for assessing biomass and for modelling the food web. Temporally, the intense (order of magnitude) interannual variability in krill population size within the southwest (SW) Atlantic sector is a major scale of variability, driven by sea-ice and climate effects on recruitment. This variability masks top-down predation controls that may operate over multi-decadal scales. Growth in spring, summer and autumn is now fairly well quantified, but mortality remains an enigma. We are still not yet confident which are the major predators of krill but studies increasingly suggest that they are not currently birds or mammals. Krill feed across three trophic levels and can control food populations through locally high grazing impact and nutrient regeneration. They also have fundamental regional differences in overwintering strategies, on-shelf/off-shelf distributions, relationships with sea-ice and diet. Whether this reflects 'subpopulations' with regionally specific life cycles is still unclear. However, caution is urged when scaling-up food-web models and their parameterisations, either from individual to schooling krill, or from one region to another.</t>
  </si>
  <si>
    <t>[Atkinson, A.; Hill, S.; Tarling, G.] British Antarctic Survey, Nat Environm Res Council, Cambridge CB3 0ET, England; [Nicol, S.; Kawaguchi, S.] Australian Antarctic Div, Dept Environm Water Heritage &amp; Arts, Kingston, Tas 7050, Australia; [Nicol, S.; Kawaguchi, S.] Univ Tasmania, Antarctic Climate &amp; Ecosyst CRC, Hobart, Tas 7001, Australia; [Pakhomov, E.] Univ British Columbia, Dept Earth &amp; Ocean Sci, Vancouver, BC V6T 1Z4, Canada; [Quetin, L.; Ross, R.] Univ Calif Santa Barbara, Inst Marine Sci, Santa Barbara, CA 93106 USA; [Reiss, C.] NOAA Fisheries, Antarctic Ecosyst Res Div, La Jolla, CA 92037 USA; [Siegel, V.] Inst Seefischerei, D-22767 Hamburg, Germany</t>
  </si>
  <si>
    <t>UK Research &amp; Innovation (UKRI); Natural Environment Research Council (NERC); NERC British Antarctic Survey; Australian Antarctic Division; University of Tasmania; University of British Columbia; University of California System; University of California Santa Barbara; National Oceanic Atmospheric Admin (NOAA) - USA</t>
  </si>
  <si>
    <t>Atkinson, A (corresponding author), Plymouth Marine Lab, Prospect Pl, Plymouth PL1 3DH, Devon, England.</t>
  </si>
  <si>
    <t>aat@pml.ac.uk</t>
  </si>
  <si>
    <t>Simeon, Hill L/B-2307-2008; Atkinson, Angus/HOH-3417-2023; Kawaguchi, So/N-1795-2017</t>
  </si>
  <si>
    <t>Kawaguchi, So/0000-0002-2042-5095</t>
  </si>
  <si>
    <t>Natural Environment Research Council [bas0100025] Funding Source: researchfish; NERC [bas0100025] Funding Source: UKRI</t>
  </si>
  <si>
    <t>WOS:000318781400008</t>
  </si>
  <si>
    <t>Singh, J; Gautam, S; Pant, AB</t>
  </si>
  <si>
    <t>Singh, J.; Gautam, S.; Pant, A. Bhushan</t>
  </si>
  <si>
    <t>EFFECT OF UV-B RADIATION ON UV ABSORBING COMPOUNDS AND PIGMENTS OF MOSS AND LICHEN OF SCHIRMACHER OASIS REGION, EAST ANTARCTICA</t>
  </si>
  <si>
    <t>CELLULAR AND MOLECULAR BIOLOGY</t>
  </si>
  <si>
    <t>Carotenoids; chlorophyll; phenolics; UV absorbing compounds; UV filter frame</t>
  </si>
  <si>
    <t>ULTRAVIOLET-RADIATION; COLOBANTHUS-QUITENSIS; OZONE DEPLETION; GENETIC-MARKER; FUSARIUM-WILT; LEAF; BIODEGRADATION; CARBOFURAN; CHICKPEA; EXTRACTS</t>
  </si>
  <si>
    <t>The survival of Antarctic flora under ozone depletion depends on their ability to acclimate against increasing UV-B radiation by employing photo protective mechanisms either by avoiding or repairing UV-B damage. A fifteen days experiment was designed to study moss (Bryum argenteum) and lichen (Umbilicaria aprina) under natural UV-B exposure and under UV filter frames at the Maitri region of Schirmacher oasis, East Antarctica. Changes in UV absorbing compounds, phenolics, carotenoids and chlorophyll content were studied for continuous fifteen days and significant changes were observed in the UV exposed plants of B. argenteum and U. aprina. The change in the UV absorbing compounds was more significant in B. argenteum (P&lt;0.0001) than U. aprina (P&lt;0.0002). The change in phenolic contents and total carotenoid content was significant (P&lt;0.0001) in both B. argenteum and lichen U. aprina indicating that the increase in UV absorbing compounds, phenolic contents and total carotenoid content act as a protective mechanism against the deleterious effect of UV-B radiations.</t>
  </si>
  <si>
    <t>[Singh, J.; Gautam, S.] Dr RML Avadh Univ, Dept Environm Sci, Faizabad 224001, Uttar Pradesh, India; [Pant, A. Bhushan] Indian Inst Toxicol Res, Lucknow, Uttar Pradesh, India</t>
  </si>
  <si>
    <t>Council of Scientific &amp; Industrial Research (CSIR) - India; CSIR - Indian Institute of Toxicology Research (IITR)</t>
  </si>
  <si>
    <t>Singh, J (corresponding author), Dr RML Avadh Univ, Dept Environm Sci, Faizabad 224001, Uttar Pradesh, India.</t>
  </si>
  <si>
    <t>jaswant1983@yahoo.co.in</t>
  </si>
  <si>
    <t>Pant, Aditya B/F-1267-2011</t>
  </si>
  <si>
    <t>Council for Scientific and Industrial Research (CSIR) New Delhi</t>
  </si>
  <si>
    <t>Council for Scientific and Industrial Research (CSIR) New Delhi(Council of Scientific &amp; Industrial Research (CSIR) - India)</t>
  </si>
  <si>
    <t>We would like to thank Council for Scientific and Industrial Research (CSIR) New Delhi for providing the financial aid for the research and National Physical Laboratory (NPL), New Delhi, India for the assistance provided throughout the work.</t>
  </si>
  <si>
    <t>C M B ASSOC</t>
  </si>
  <si>
    <t>POITIERS</t>
  </si>
  <si>
    <t>34 BOULEVARD SOLFERINO, 86000 POITIERS, FRANCE</t>
  </si>
  <si>
    <t>0145-5680</t>
  </si>
  <si>
    <t>1165-158X</t>
  </si>
  <si>
    <t>CELL MOL BIOL</t>
  </si>
  <si>
    <t>Cell. Mol. Biol.</t>
  </si>
  <si>
    <t>10.1170/T924</t>
  </si>
  <si>
    <t>Biochemistry &amp; Molecular Biology; Cell Biology</t>
  </si>
  <si>
    <t>258FZ</t>
  </si>
  <si>
    <t>WOS:000327446000013</t>
  </si>
  <si>
    <t>Wolff, EW</t>
  </si>
  <si>
    <t>Wolff, Eric W.</t>
  </si>
  <si>
    <t>Chemical signals of past climate and environment from polar ice cores and firn air</t>
  </si>
  <si>
    <t>CHEMICAL SOCIETY REVIEWS</t>
  </si>
  <si>
    <t>ATMOSPHERIC CIRCULATION; ISOTOPIC COMPOSITION; ANTARCTIC SNOW; NITROUS-OXIDE; GREENLAND; RECORD; TRENDS; EMISSIONS; 20TH-CENTURY; SULFATE</t>
  </si>
  <si>
    <t>Chemical and isotopic records obtained from polar ice cores have provided some of the most iconic datasets in Earth system science. Here, I discuss how the different records are formed in the ice sheets, emphasising in particular the contrast between chemistry held in the snow/ice phase, and that which is trapped in air bubbles. Air diffusing slowly through the upper firn layers of the ice sheet can also be sampled in large volumes to give more recent historical information on atmospheric composition. The chemical and geophysical issues that have to be solved to interpret ice core data in terms of atmospheric composition and emission changes are also highlighted. Ice cores and firn air have provided particularly strong evidence about recent changes (last few decades to centuries), including otherwise inaccessible data on increases in compounds that are active as greenhouse gases or as agents of stratospheric depletion. On longer timescales (up to 800 000 years in Antarctica), ice cores reveal major changes in biogeochemical cycling, which acted as feedbacks on the very major changes in climate between glacial and interglacial periods.</t>
  </si>
  <si>
    <t>British Antarctic Survey, Cambridge CB3 0ET, England</t>
  </si>
  <si>
    <t>Wolff, EW (corresponding author), British Antarctic Survey, Madingley Rd, Cambridge CB3 0ET, England.</t>
  </si>
  <si>
    <t>ewwo@bas.ac.uk</t>
  </si>
  <si>
    <t>Wolff, Eric W/D-7925-2014</t>
  </si>
  <si>
    <t>Wolff, Eric W/0000-0002-5914-8531</t>
  </si>
  <si>
    <t>Natural Environment Research Council; NERC [bas0100024] Funding Source: UKRI; Natural Environment Research Council [bas0100024]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</si>
  <si>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</si>
  <si>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I thank my colleagues in EPICA and other ice-core teams who have produced and freely discussed the data reviewed in this article. This study is part of the British Antarctic Survey Polar Science for Planet Earth Programme, funded by the Natural Environment Research Council.</t>
  </si>
  <si>
    <t>ROYAL SOC CHEMISTRY</t>
  </si>
  <si>
    <t>THOMAS GRAHAM HOUSE, SCIENCE PARK, MILTON RD, CAMBRIDGE CB4 0WF, CAMBS, ENGLAND</t>
  </si>
  <si>
    <t>0306-0012</t>
  </si>
  <si>
    <t>1460-4744</t>
  </si>
  <si>
    <t>CHEM SOC REV</t>
  </si>
  <si>
    <t>Chem. Soc. Rev.</t>
  </si>
  <si>
    <t>10.1039/c2cs35227c</t>
  </si>
  <si>
    <t>002TP</t>
  </si>
  <si>
    <t>WOS:000308559100003</t>
  </si>
  <si>
    <t>Savelyeva, ES; Zuev, VV; Zueva, NE</t>
  </si>
  <si>
    <t>Savelyeva, E. S.; Zuev, V. V.; Zueva, N. E.</t>
  </si>
  <si>
    <t>Role of Volcanic Factor in Enhancing Springtime Ozone Anomalies over Antarctica</t>
  </si>
  <si>
    <t>CHEMISTRY FOR SUSTAINABLE DEVELOPMENT</t>
  </si>
  <si>
    <t>Antarctic ozone hole; volcanoes; Mount Erebus; Volcanic Explosivity Index VEI; sulphuric acid aerosol; chloronitrate; hydrogen chloride; polar vortex; polar stratospheric cloud; condensation nuclei</t>
  </si>
  <si>
    <t>A predominant role of volcanic factor in strengthening the springtime ozone anomalies over Antarctica has been demonstrated. Correlation analysis was performed concerning the average data for September and October with respect to the areas of polar stratospheric clouds and the ozone hole over Antarctica as well as with respect to minimum temperature values in the stratosphere at an altitude of 18 km, during three 11-year period from 1979 to 2011. It is demonstrated that the accelerated growth of the ozone hole in the early 1980s coincided with the maximum gas emissions of the Antarctic volcano Mount Erebus. Within the subsequent 11-year period, increasing the area of the ozone hole was caused by an abrupt increase in the content of sulphuric acid aerosol in the stratosphere over Antarctica associated with powerful volcanic eruptions of Mount Pinatubo and Hudson Cerro in 1991.</t>
  </si>
  <si>
    <t>[Savelyeva, E. S.; Zuev, V. V.; Zueva, N. E.] Russian Acad Sci, Inst Monitoring Climat &amp; Ecol Syst, Siberian Branch, Pr Akad Skiy 10-3, Tomsk 634055, Russia</t>
  </si>
  <si>
    <t>Russian Academy of Sciences; Institute of Monitoring of Climatic &amp; Ecological Systems of the Siberian Branch of the RAS</t>
  </si>
  <si>
    <t>Savelyeva, ES (corresponding author), Russian Acad Sci, Inst Monitoring Climat &amp; Ecol Syst, Siberian Branch, Pr Akad Skiy 10-3, Tomsk 634055, Russia.</t>
  </si>
  <si>
    <t>sav@imces.ru</t>
  </si>
  <si>
    <t>Zuev, Vladimir Vladimirovich/E-5470-2014</t>
  </si>
  <si>
    <t>PUBLISHING HOUSE RUSSIAN ACAD SCIENCES, SIBERIAN BRANCH</t>
  </si>
  <si>
    <t>NOVOSIBIRSK</t>
  </si>
  <si>
    <t>MORSKOI PR 2, A-YA 187, NOVOSIBIRSK, 630090, RUSSIA</t>
  </si>
  <si>
    <t>0869-8538</t>
  </si>
  <si>
    <t>CHEM SUSTAIN DEV</t>
  </si>
  <si>
    <t>Chem. Sustain. Dev.</t>
  </si>
  <si>
    <t>VC7SF</t>
  </si>
  <si>
    <t>WOS:000434596200014</t>
  </si>
  <si>
    <t>Pezza, AB; Rashid, HA; Simmonds, I</t>
  </si>
  <si>
    <t>Pezza, Alexandre Bernardes; Rashid, Harun A.; Simmonds, Ian</t>
  </si>
  <si>
    <t>Climate links and recent extremes in antarctic sea ice, high-latitude cyclones, Southern Annular Mode and ENSO</t>
  </si>
  <si>
    <t>CLIMATE DYNAMICS</t>
  </si>
  <si>
    <t>Sea ice; Antarctica; Southern Annular Mode; El Nino; Mid-latitude storms; Cyclones</t>
  </si>
  <si>
    <t>AUSTRALIAN RAINFALL; HEMISPHERE CLIMATE; PART II; EXTRATROPICAL CIRCULATION; PROJECTED CHANGES; VARIABILITY; OCEAN; TRENDS; OSCILLATION; IMPACT</t>
  </si>
  <si>
    <t>In this article, we study the climate link between the Southern Annular Mode (SAM) and the southern sea-ice extent (SIE), and discuss the possible role of stationary waves and synoptic eddies in establishing this link. In doing so, we have used a combination of techniques involving spatial correlations of SIE, eddy streamfunction and wind anomalies, and statistics of high-latitude cyclone strength. It is suggested that stationary waves may be amplified by eddy anomalies associated with high latitude cyclones, resulting in more sea ice when the SAM is in its positive phase for most, but not all, longitudes. A similar association is observed during ENSO (La Nia years). Although this synergy in the SAM/ENSO response may partially reflect preferential areas for wave amplification around Antarctica, the short extent of the climate records does not allow for a definite causality connection to be established with SIE. Stronger polar cyclones are observed over the areas where the stationary waves are amplified. These deeper cyclones will break up and export ice equatorward more efficiently, but the near-coastal regions are cold enough to allow for a rapid re-freeze of the resulting ice break-up. We speculate that if global warming continues this same effect could help reverse the current (positive) Antarctic SIE trends once the ice gets thinner, similarly to what has been observed in the Northern Hemisphere.</t>
  </si>
  <si>
    <t>[Pezza, Alexandre Bernardes; Simmonds, Ian] Univ Melbourne, Sch Earth Sci, Parkville, Vic 3010, Australia; [Rashid, Harun A.] Ctr Australian Weather &amp; Climate Res, Melbourne, Vic 3195, Australia</t>
  </si>
  <si>
    <t>University of Melbourne; Commonwealth Scientific &amp; Industrial Research Organisation (CSIRO)</t>
  </si>
  <si>
    <t>Pezza, AB (corresponding author), Univ Melbourne, Sch Earth Sci, Parkville, Vic 3010, Australia.</t>
  </si>
  <si>
    <t>apezza@unimelb.edu.au</t>
  </si>
  <si>
    <t>Rashid, Harun A/D-9027-2012</t>
  </si>
  <si>
    <t>Rashid, Harun A/0000-0003-1896-2446; Simmonds, Ian/0000-0002-4479-3255</t>
  </si>
  <si>
    <t>Australian Research Council; Antarctic Science Advisory Committee</t>
  </si>
  <si>
    <t>Australian Research Council(Australian Research Council); Antarctic Science Advisory Committee</t>
  </si>
  <si>
    <t>The authors would like to acknowledge the Australian Research Council and the Antarctic Science Advisory Committee for funding parts of this work. We thank Drs. Matthew Wheeler, James Screen and Petteri Uotila for invaluable comments on an early version of this manuscript. We also thank the National Snow and Ice Data Center (NSIDC) and Dr. Phil Reid for making their data and analyses publicly available. Comments by two anonymous reviewers contributed to further improve this text.</t>
  </si>
  <si>
    <t>0930-7575</t>
  </si>
  <si>
    <t>1432-0894</t>
  </si>
  <si>
    <t>CLIM DYNAM</t>
  </si>
  <si>
    <t>Clim. Dyn.</t>
  </si>
  <si>
    <t>1-2</t>
  </si>
  <si>
    <t>10.1007/s00382-011-1044-y</t>
  </si>
  <si>
    <t>871QQ</t>
  </si>
  <si>
    <t>WOS:000298753200004</t>
  </si>
  <si>
    <t>Agosta, C; Favier, V; Genthon, C; Gallée, H; Krinner, G; Lenaerts, JTM; van den Broeke, MR</t>
  </si>
  <si>
    <t>Agosta, Cecile; Favier, Vincent; Genthon, Christophe; Gallee, Hubert; Krinner, Gerhard; Lenaerts, Jan T. M.; van den Broeke, Michiel R.</t>
  </si>
  <si>
    <t>A 40-year accumulation dataset for Adelie Land, Antarctica and its application for model validation</t>
  </si>
  <si>
    <t>Mass balance; Antarctica; Accumulation; Spatial variability; Temporal variability; Model validation</t>
  </si>
  <si>
    <t>SURFACE MASS-BALANCE; SNOW ACCUMULATION; KATABATIC WINDS; TERRE ADELIE; CLIMATE; PRECIPITATION; SUBLIMATION; SENSITIVITY; GREENLAND; MARGIN</t>
  </si>
  <si>
    <t>The GLACIOCLIM-SAMBA (GS) Antarctic accumulation monitoring network, which extends from the coast of Adelie Land to the Antarctic plateau, has been surveyed annually since 2004. The network includes a 156-km stake-line from the coast inland, along which accumulation shows high spatial and interannual variability with a mean value of 362 mm water equivalent a(-1). In this paper, this accumulation is compared with older accumulation reports from between 1971 and 1991. The mean and annual standard deviation and the km-scale spatial pattern of accumulation were seen to be very similar in the older and more recent data. The data did not reveal any significant accumulation trend over the last 40 years. The ECMWF analysis-based forecasts (ERA-40 and ERA-Interim), a stretched-grid global general circulation model (LMDZ4) and three regional circulation models (PMM5, MAR and RACMO2), all with high resolution over Antarctica (27-125 km), were tested against the GS reports. They qualitatively reproduced the meso-scale spatial pattern of the annual-mean accumulation except MAR. MAR significantly underestimated mean accumulation, while LMDZ4 and RACMO2 overestimated it. ERA-40 and the regional models that use ERA-40 as lateral boundary condition qualitatively reproduced the chronology of interannual variability but underestimated the magnitude of interannual variations. Two widely used climatologies for Antarctic accumulation agreed well with the mean GS data. The model-based climatology was also able to reproduce the observed spatial pattern. These data thus provide new stringent constraints on models and other large-scale evaluations of the Antarctic accumulation.</t>
  </si>
  <si>
    <t>[Agosta, Cecile; Favier, Vincent; Genthon, Christophe; Gallee, Hubert; Krinner, Gerhard] UJF Grenoble 1, Lab Glaciol &amp; Geophys Environm, CNRS, UMR 5183, F-38402 St Martin Dheres, France; [Lenaerts, Jan T. M.; van den Broeke, Michiel R.] Univ Utrecht, Inst Marine &amp; Atmospher Res Utrecht, Utrecht, Netherlands</t>
  </si>
  <si>
    <t>Centre National de la Recherche Scientifique (CNRS); Communaute Universite Grenoble Alpes; Universite Grenoble Alpes (UGA); Utrecht University</t>
  </si>
  <si>
    <t>Agosta, C (corresponding author), UJF Grenoble 1, Lab Glaciol &amp; Geophys Environm, CNRS, UMR 5183, 54 Rue Moliere,BP 96, F-38402 St Martin Dheres, France.</t>
  </si>
  <si>
    <t>agosta@lgge.obs.ujf-grenoble.fr</t>
  </si>
  <si>
    <t>Agosta, Cécile/HLQ-5577-2023; Van den Broeke, Michiel R./F-7867-2011; Krinner, Gerhard/A-6450-2011; Lenaerts, Jan/D-9423-2012; Agosta, Cécile/B-9625-2013; Krinner, Gerhard/AAB-8837-2022; Favier, Vincent/T-1936-2017</t>
  </si>
  <si>
    <t>Van den Broeke, Michiel R./0000-0003-4662-7565; Lenaerts, Jan/0000-0003-4309-4011; Agosta, Cécile/0000-0003-4091-1653; Krinner, Gerhard/0000-0002-2959-5920; Favier, Vincent/0000-0001-6024-9498</t>
  </si>
  <si>
    <t>IPEV (Institut Polaire Paul-Emile Victor); INSU (Institut National des Sciences de l'Univers); European Commission [226375]</t>
  </si>
  <si>
    <t>IPEV (Institut Polaire Paul-Emile Victor); INSU (Institut National des Sciences de l'Univers); European Commission(European Union (EU)European Commission Joint Research Centre)</t>
  </si>
  <si>
    <t>The GLACIOCLIM-SAMBA observatory is supported by IPEV (Institut Polaire Paul-Emile Victor) and INSU (Institut National des Sciences de l'Univers). IPEV also provided archives of older SMB measurements. Data mining, processing and analysis were done as part of Europe's FP4 Ice2sea and the French INSU/LEFE CHARMANT programs. We acknowledge the ice2sea project, funded by the European Commission's 7th Framework Programme through grant number 226375, ice2sea manuscript number 023. IDRIS (Institut du Developpement et des Ressources en Informatique Scientifique) provided computing time for the MAR and LMDZ4 models. We thank the Antartic Hindcast Project (http://www.polarmet.osu.edu/PolarMet/ant_hindcast.html) for sharing Polar MM5 simulation results. Many people at IPEV and at LGGE have contributed to make the GLACIOCLIM-SAMBA system deployment and annual campaigns successful. We thank the three anonymous reviewers for their constructive comments.</t>
  </si>
  <si>
    <t>10.1007/s00382-011-1103-4</t>
  </si>
  <si>
    <t>Green Submitted</t>
  </si>
  <si>
    <t>WOS:000298753200005</t>
  </si>
  <si>
    <t>Schneider, DP; Deser, C; Okumura, Y</t>
  </si>
  <si>
    <t>Schneider, David P.; Deser, Clara; Okumura, Yuko</t>
  </si>
  <si>
    <t>An assessment and interpretation of the observed warming of West Antarctica in the austral spring</t>
  </si>
  <si>
    <t>Antarctica; Climate change; Sea ice; Modes of variability; Temperature trends; Atmospheric general circulation models</t>
  </si>
  <si>
    <t>SEA-SURFACE TEMPERATURE; SOUTHERN-HEMISPHERE CLIMATE; IN-SITU; CIRCUMPOLAR WAVE; ICE CONDITIONS; MASS-BALANCE; PART II; VARIABILITY; OCEAN; TRENDS</t>
  </si>
  <si>
    <t>We synthesize variability and trends in multiple analyses of Antarctic near-surface temperature representing several independent source datasets and spatially complete reconstructions, and place these into the broader context of the behavior of other components of the climate system during the past 30-50 years. Along with an annual-mean trend during the past 50 years of about 0.1A degrees C/decade averaged over Antarctica, there is a distinct seasonality to the trends, with insignificant change (and even some cooling) in austral summer and autumn in East Antarctica, contrasting with warming in austral winter and spring. Apart from the Peninsula, the seasonal warming is largest and most significant in West Antarctica in the austral spring since the late 1970s. Concurrent trends in sea ice are independent evidence of the observed warming over West Antarctic, with the decrease in sea ice area in the Amundsen and Bellingshausen Seas congruent with at least 50% of the inland warming of West Antarctica. Trends in near surface winds and geopotential heights over the high-latitude South Pacific are consistent with a role for atmospheric forcing of the sea ice and air temperature anomalies. Most of the circulation trend projects onto the two Pacific South American (PSA) modes of atmospheric circulation variability, while the Southern Annular Mode lacks a positive trend in spring that would otherwise cause a cooling tendency. The largest circulation trend is associated with the PSA-1 mode, a wave-train extending from the tropics to the high Southern latitudes. The PSA-1 mode is significantly correlated with SSTs in the southwestern tropical and subtropical Pacific. The increased SSTs in this region, together with the observed increase in rainfall, suggest that anomalous deep convection has strengthened or increased the occurrence of the Rossby wave-train associated with PSA-1. This hypothesis is supported by results from two ensembles of SST-forced atmospheric general circulation model simulations. Finally, the implications of the seasonality, timing, and spatial patterns of Antarctic temperature trends with respect to interpreting the relative roles of stratospheric ozone depletion, SSTs and increased atmospheric concentrations of greenhouse gasses are discussed.</t>
  </si>
  <si>
    <t>[Schneider, David P.; Deser, Clara; Okumura, Yuko] Natl Ctr Atmospher Res, Earth Syst Lab, Climate &amp; Global Dynam Div, Boulder, CO 80307 USA; [Schneider, David P.] Univ Colorado, Cooperat Inst Res Environm Sci, Boulder, CO 80309 USA</t>
  </si>
  <si>
    <t>National Center Atmospheric Research (NCAR) - USA; University of Colorado System; University of Colorado Boulder</t>
  </si>
  <si>
    <t>Schneider, DP (corresponding author), Natl Ctr Atmospher Res, Earth Syst Lab, Climate &amp; Global Dynam Div, Box 3000, Boulder, CO 80307 USA.</t>
  </si>
  <si>
    <t>dschneid@ucar.edu</t>
  </si>
  <si>
    <t>Okumura, Yuko M/A-9742-2012; Schneider, David/E-2726-2010</t>
  </si>
  <si>
    <t>Okumura, Yuko/0000-0002-1874-3465; Schneider, David/0000-0001-5308-1834</t>
  </si>
  <si>
    <t>National Science Foundation, Office of Polar Programs [ANT-0838871]; National Science Foundation; Directorate For Geosciences; Office of Polar Programs (OPP) [0838871] Funding Source: National Science Foundation</t>
  </si>
  <si>
    <t>National Science Foundation, Office of Polar Programs(National Science Foundation (NSF)NSF - Directorate for Geosciences (GEO)); National Science Foundation(National Science Foundation (NSF)); Directorate For Geosciences; Office of Polar Programs (OPP)(National Science Foundation (NSF)NSF - Directorate for Geosciences (GEO))</t>
  </si>
  <si>
    <t>The authors would like to thank A. Monaghan for his assistance with his Antarctic datasets, for many useful discussions, and for reviewing a draft of this manuscript. We also thank J. Arblaster and R. Tomas for updating the model simulations used here and A. S. Phillips for processing the model output. We thank three anonymous reviewers for their helpful suggestions. D. P. Schneider and Y. Okumura were supported by a grant from the National Science Foundation, Office of Polar Programs (ANT-0838871). The National Center for Atmospheric Research is sponsored by the National Science Foundation.</t>
  </si>
  <si>
    <t>10.1007/s00382-010-0985-x</t>
  </si>
  <si>
    <t>WOS:000298753200019</t>
  </si>
  <si>
    <t>Wegner, A; Gabrielli, P; Wilhelms-Dick, D; Ruth, U; Kriews, M; De Deckker, P; Barbante, C; Cozzi, G; Delmonte, B; Fischer, H</t>
  </si>
  <si>
    <t>Wegner, A.; Gabrielli, P.; Wilhelms-Dick, D.; Ruth, U.; Kriews, M.; De Deckker, P.; Barbante, C.; Cozzi, G.; Delmonte, B.; Fischer, H.</t>
  </si>
  <si>
    <t>Change in dust variability in the Atlantic sector of Antarctica at the end of the last deglaciation</t>
  </si>
  <si>
    <t>CLIMATE OF THE PAST</t>
  </si>
  <si>
    <t>RARE-EARTH-ELEMENTS; EAST ANTARCTICA; ICE CORE; AEOLIAN DUST; ATMOSPHERIC CIRCULATION; TRACE-ELEMENTS; TALOS DOME; PROVENANCE; EPICA; SIGNATURE</t>
  </si>
  <si>
    <t>We present a Rare Earth Elements (REE) record determined on the EPICA ice core drilled at Dronning Maud Land (EDML) in the Atlantic sector of the East Antarctic Plateau. The record covers the transition from the last glacial stage (LGS) to the early Holocene (26 600-7500 yr BP) at decadal to centennial resolution. Additionally, samples from potential source areas (PSAs) for Antarctic dust were analyzed for their REE characteristics. The dust provenance is discussed by comparing the REE fingerprints in the ice core and the PSA samples. We find a shift in variability in REE composition at similar to 15 000 yr BP in the ice core samples. Before 15 000 yr BP, the dust composition is very uniform and its provenance was most certainly dominated by a South American source. After 15 000 yr BP, multiple sources such as Australia and New Zealand become relatively more important, although South America remains the major dust source. A similar change in the dust characteristics was observed in the EPICA Dome C ice core at around similar to 15 000 yr BP, accompanied by a shift in the REE composition, thus suggesting a change of atmospheric circulation in the Southern Hemisphere.</t>
  </si>
  <si>
    <t>[Wegner, A.; Wilhelms-Dick, D.; Kriews, M.; Fischer, H.] Alfred Wegener Inst Polar &amp; Marine Res, D-27568 Bremerhaven, Germany; [Gabrielli, P.; Barbante, C.; Cozzi, G.] CNR, Inst Dynam Environm Proc, I-30123 Venice, Italy; [Gabrielli, P.] Ohio State Univ, Sch Earth Sci, Columbus, OH 43210 USA; [Gabrielli, P.] Ohio State Univ, Byrd Polar Res Ctr, Columbus, OH 43210 USA; [Ruth, U.] Climate Anal &amp; Consulting, Pfullingen, Germany; [De Deckker, P.] Australian Natl Univ, Res Sch Earth Sci, Canberra, ACT 0200, Australia; [Barbante, C.; Cozzi, G.] Univ Ca Foscari Venice, Dept Environm Sci, I-30123 Venice, Italy; [Delmonte, B.] Univ Milano Bicocca, Dept Environm Sci, DISAT, I-20126 Milan, Italy; [Fischer, H.] Univ Bern, Inst Phys, CH-3012 Bern, Switzerland; [Fischer, H.] Univ Bern, Oeschger Inst Climate Change Res, Bern, Switzerland</t>
  </si>
  <si>
    <t>Helmholtz Association; Alfred Wegener Institute, Helmholtz Centre for Polar &amp; Marine Research; Consiglio Nazionale delle Ricerche (CNR); Istituto per la Dinamica dei Processi Ambientali (IDPA-CNR); University System of Ohio; Ohio State University; University System of Ohio; Ohio State University; Australian National University; Universita Ca Foscari Venezia; University of Milano-Bicocca; University of Bern; University of Bern</t>
  </si>
  <si>
    <t>Wegner, A (corresponding author), Alfred Wegener Inst Polar &amp; Marine Res, Alten Hafen 26, D-27568 Bremerhaven, Germany.</t>
  </si>
  <si>
    <t>anna.wegner@awi.de</t>
  </si>
  <si>
    <t>Cozzi, Giulio/R-4554-2019; Cozzi, Giulio/F-6473-2010; Barbante, Carlo/B-3195-2011; Delmonte, Barbara/L-2555-2015; Fischer, Hubertus/A-1211-2014</t>
  </si>
  <si>
    <t>Cozzi, Giulio/0000-0001-8796-4176; Delmonte, Barbara/0000-0002-9074-2061; Fischer, Hubertus/0000-0002-2787-4221; Barbante, Carlo/0000-0003-4177-2288</t>
  </si>
  <si>
    <t>EU; DFG</t>
  </si>
  <si>
    <t>EU(European Union (EU)); DFG(German Research Foundation (DFG))</t>
  </si>
  <si>
    <t>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UK. The main logistic support was provided by IPEV and PNRA (at Dome C) and AWI (at Dronning Maud Land). This is EPICA publication no. 280. We thank H. Stosch and an anonymous reviewer for helpful and constructive comments. We thank P. Vallelonga for assistance with the manuscript. A. Wegner thanks DFG for funding.</t>
  </si>
  <si>
    <t>1814-9324</t>
  </si>
  <si>
    <t>1814-9332</t>
  </si>
  <si>
    <t>CLIM PAST</t>
  </si>
  <si>
    <t>Clim. Past.</t>
  </si>
  <si>
    <t>10.5194/cp-8-135-2012</t>
  </si>
  <si>
    <t>Geosciences, Multidisciplinary; Meteorology &amp; Atmospheric Sciences</t>
  </si>
  <si>
    <t>Geology; Meteorology &amp; Atmospheric Sciences</t>
  </si>
  <si>
    <t>900HR</t>
  </si>
  <si>
    <t>gold, Green Submitted, Green Published</t>
  </si>
  <si>
    <t>WOS:000300878100009</t>
  </si>
  <si>
    <t>Bouttes, N; Paillard, D; Roche, DM; Waelbroeck, C; Kageyama, M; Lourantou, A; Michel, E; Bopp, L</t>
  </si>
  <si>
    <t>Bouttes, N.; Paillard, D.; Roche, D. M.; Waelbroeck, C.; Kageyama, M.; Lourantou, A.; Michel, E.; Bopp, L.</t>
  </si>
  <si>
    <t>Impact of oceanic processes on the carbon cycle during the last termination</t>
  </si>
  <si>
    <t>ANTARCTIC ICE-SHEET; ATMOSPHERIC CO2; SOUTHERN-OCEAN; SEA-ICE; INTERMEDIATE COMPLEXITY; TEMPERATURE-CHANGES; DEEP CIRCULATION; GLACIAL MAXIMUM; SYSTEM MODEL; CLIMATE</t>
  </si>
  <si>
    <t>During the last termination (from similar to 18 000 years ago to similar to 9000 years ago), the climate significantly warmed and the ice sheets melted. Simultaneously, atmospheric CO2 increased from similar to 190 ppm to similar to 260 ppm. Although this CO2 rise plays an important role in the deglacial warming, the reasons for its evolution are difficult to explain. Only box models have been used to run transient simulations of this carbon cycle transition, but by forcing the model with data constrained scenarios of the evolution of temperature, sea level, sea ice, NADW formation, Southern Ocean vertical mixing and biological carbon pump. More complex models (including GCMs) have investigated some of these mechanisms but they have only been used to try and explain LGM versus present day steady-state climates. In this study we use a coupled climate-carbon model of intermediate complexity to explore the role of three oceanic processes in transient simulations: the sinking of brines, stratification-dependent diffusion and iron fertilization. Carbonate compensation is accounted for in these simulations. We show that neither iron fertilization nor the sinking of brines alone can account for the evolution of CO2, and that only the combination of the sinking of brines and interactive diffusion can simultaneously simulate the increase in deep Southern Ocean delta C-13. The scenario that agrees best with the data takes into account all mechanisms and favours a rapid cessation of the sinking of brines around 18 000 years ago, when the Antarctic ice sheet extent was at its maximum. In this scenario, we make the hypothesis that sea ice formation was then shifted to the open ocean where the salty water is quickly mixed with fresher water, which prevents deep sinking of salty water and therefore breaks down the deep stratification and releases carbon from the abyss. Based on this scenario, it is possible to simulate both the amplitude and timing of the long-term CO2 increase during the last termination in agreement with ice core data. The atmospheric delta C-13 appears to be highly sensitive to changes in the terrestrial biosphere, underlining the need to better constrain the vegetation evolution during the termination.</t>
  </si>
  <si>
    <t>[Bouttes, N.; Paillard, D.; Roche, D. M.; Waelbroeck, C.; Kageyama, M.; Michel, E.; Bopp, L.] IPSL CEA CNRS UVSQ, Ctr Etud Saclay, Lab Sci Climat &amp; Environm, UMR8212, F-91191 Gif Sur Yvette, France; [Bouttes, N.] Univ Reading, Dept Meteorol, NCAS Climate, Reading RG6 6BB, Berks, England; [Roche, D. M.] Vrije Univ Amsterdam, Sect Climate Change &amp; Landscape Dynam, Fac Earth &amp; Life Sci, NL-1081 HV Amsterdam, Netherlands; [Lourantou, A.] Univ Paris 06, LOCEAN, Paris, France</t>
  </si>
  <si>
    <t>Universite Paris Saclay; Centre National de la Recherche Scientifique (CNRS); CNRS - National Institute for Earth Sciences &amp; Astronomy (INSU); CEA; University of Reading; UK Research &amp; Innovation (UKRI); Natural Environment Research Council (NERC); NERC National Centre for Atmospheric Science; Vrije Universiteit Amsterdam; Sorbonne Universite; Museum National d'Histoire Naturelle (MNHN)</t>
  </si>
  <si>
    <t>Bouttes, N (corresponding author), IPSL CEA CNRS UVSQ, Ctr Etud Saclay, Lab Sci Climat &amp; Environm, UMR8212, Orme Merisiers Bat 701, F-91191 Gif Sur Yvette, France.</t>
  </si>
  <si>
    <t>n.bouttes@reading.ac.uk</t>
  </si>
  <si>
    <t>bopp, laurent/ABF-5302-2020; Bouttes, Nathaelle/I-2664-2014; Paillard, Didier/G-4776-2012; Roche, Didier M./C-9875-2010; Kageyama, Masa/F-2389-2010</t>
  </si>
  <si>
    <t>bopp, laurent/0000-0003-4732-4953; Paillard, Didier/0000-0002-9995-2794; waelbroeck, claire/0000-0002-7256-5727; Roche, Didier M./0000-0001-6272-9428; Kageyama, Masa/0000-0003-0822-5880</t>
  </si>
  <si>
    <t>CNRS-INSU; Natural Environment Research Council [ncas10009] Funding Source: researchfish</t>
  </si>
  <si>
    <t>CNRS-INSU(Centre National de la Recherche Scientifique (CNRS)); Natural Environment Research Council(UK Research &amp; Innovation (UKRI)Natural Environment Research Council (NERC))</t>
  </si>
  <si>
    <t>The publication of this article is financed by CNRS-INSU.</t>
  </si>
  <si>
    <t>10.5194/cp-8-149-2012</t>
  </si>
  <si>
    <t>WOS:000300878100010</t>
  </si>
  <si>
    <t>Landais, A; Dreyfus, G; Capron, E; Pol, K; Loutre, MF; Raynaud, D; Lipenkov, VY; Arnaud, L; Masson-Delmotte, V; Paillard, D; Jouzel, J; Leuenberger, M</t>
  </si>
  <si>
    <t>Landais, A.; Dreyfus, G.; Capron, E.; Pol, K.; Loutre, M. F.; Raynaud, D.; Lipenkov, V. Y.; Arnaud, L.; Masson-Delmotte, V.; Paillard, D.; Jouzel, J.; Leuenberger, M.</t>
  </si>
  <si>
    <t>Towards orbital dating of the EPICA Dome C ice core using δO2/N2</t>
  </si>
  <si>
    <t>ABRUPT CLIMATE-CHANGE; MILLENNIAL-SCALE; ATMOSPHERIC OXYGEN; ISOTOPIC COMPOSITION; AIR CONTENT; CHRONOLOGY; GREENLAND; RECORD; FIRN; SYNCHRONIZATION</t>
  </si>
  <si>
    <t>Based on a composite of several measurement series performed on ice samples stored at -25 degrees C or -50 degrees C, we present and discuss the first delta O-2/N-2 record of trapped air from the EPICA Dome C (EDC) ice core covering the period between 300 and 800 ka (thousands of years before present). The samples stored at -25 degrees C show clear gas loss affecting the precision and mean level of the delta O-2/N-2 record. Two different gas loss corrections are proposed to account for this effect, without altering the spectral properties of the original datasets. Although processes at play remain to be fully understood, previous studies have proposed a link between surface insolation, ice grain properties at close-off, and delta O-2/N-2 in air bubbles, from which orbitally tuned chronologies of the Vostok and Dome Fuji ice core records have been derived over the last four climatic cycles. Here, we show that limitations caused by data quality and resolution, data filtering, and uncertainties in the orbital tuning target limit the precision of this tuning method for EDC. Moreover, our extended record includes two periods of low eccentricity. During these intervals (around 400 ka and 750 ka), the matching between delta O-2/N-2 and the different insolation curves is ambiguous because some local insolation maxima cannot be identified in the delta O-2/N-2 record (and vice versa). Recognizing these limitations, we restrict the use of our delta O-2/N-2 record to show that the EDC3 age scale is generally correct within its published uncertainty (6 kyr) over the 300-800 ka period.</t>
  </si>
  <si>
    <t>[Landais, A.; Dreyfus, G.; Capron, E.; Pol, K.; Masson-Delmotte, V.; Paillard, D.; Jouzel, J.] CEA CNRS UVSQ, Inst Pierre Simon Laplace, Lab Sci Climat &amp; Environm, UMR8212, F-91191 Gif Sur Yvette, France; [Dreyfus, G.] Princeton Univ, Dept Geosci, Princeton, NJ 08540 USA; [Loutre, M. F.] Catholic Univ Louvain, Earth &amp; Life Inst, Georges Lemaitre Ctr Earth &amp; Climate Res TECLIM, B-1348 Louvain, Belgium; [Raynaud, D.; Arnaud, L.] CNRS UJF, Lab Glaciol &amp; Geophys Environm, F-38402 St Martin Dheres, France; [Lipenkov, V. Y.] Arctic &amp; Antarctic Res Inst, St Petersburg 199397, Russia; [Leuenberger, M.] Univ Bern, Inst Phys, CH-3012 Bern, Switzerland; [Leuenberger, M.] Univ Bern, Oeschger Ctr Climate Change Res, CH-3012 Bern, Switzerland</t>
  </si>
  <si>
    <t>Centre National de la Recherche Scientifique (CNRS); CNRS - National Institute for Earth Sciences &amp; Astronomy (INSU); CEA; Universite Paris Saclay; Universite Paris Cite; Princeton University; Universite Catholique Louvain; Centre National de la Recherche Scientifique (CNRS); Communaute Universite Grenoble Alpes; Universite Grenoble Alpes (UGA); Arctic &amp; Antarctic Research Institute; University of Bern; University of Bern</t>
  </si>
  <si>
    <t>Landais, A (corresponding author), CEA CNRS UVSQ, Inst Pierre Simon Laplace, Lab Sci Climat &amp; Environm, UMR8212, F-91191 Gif Sur Yvette, France.</t>
  </si>
  <si>
    <t>amaelle.landais@lsce.ipsl.fr</t>
  </si>
  <si>
    <t>Masson-Delmotte, Valerie L/G-1995-2011; Raynaud, Dominique/H-9626-2016; raynaud, dominique/ABG-4718-2020; Leuenberger, Markus C/K-9655-2016; Paillard, Didier/G-4776-2012; Loutre, Marie-France/L-3594-2018; Lipenkov, Vladimir/Q-8262-2016</t>
  </si>
  <si>
    <t>Masson-Delmotte, Valerie L/0000-0001-8296-381X; Leuenberger, Markus C/0000-0003-4299-6793; Paillard, Didier/0000-0002-9995-2794; Loutre, Marie-France/0000-0001-6944-4038; LANDAIS, Amaelle/0000-0002-5620-5465; arnaud, laurent/0000-0002-4432-4205; Lipenkov, Vladimir/0000-0003-4221-5440</t>
  </si>
  <si>
    <t>European project EPICA-MIS; French ANR PICC; National Science Foundation; Commissariat a l'Energie Atomique; EU (EPICA-MIS); CNRS-INSU; Natural Environment Research Council [bas0100024] Funding Source: researchfish; NERC [bas0100024] Funding Source: UKRI</t>
  </si>
  <si>
    <t>European project EPICA-MIS; French ANR PICC(Agence Nationale de la Recherche (ANR)); National Science Foundation(National Science Foundation (NSF)); Commissariat a l'Energie Atomique(French Atomic Energy Commission); EU (EPICA-MIS)(European Union (EU)); CNRS-INSU(Centre National de la Recherche Scientifique (CNRS)); Natural Environment Research Council(UK Research &amp; Innovation (UKRI)Natural Environment Research Council (NERC)); NERC(UK Research &amp; Innovation (UKRI)Natural Environment Research Council (NERC))</t>
  </si>
  <si>
    <t>We would like to thank Benedicte Minster for the help in the measurements as well as Catherine Ritz, Olivier Cattani and Sonia Falourd for the complex logistics involved in cutting and transporting EDC samples at -50 degrees C from Dome C to our laboratory. We thank Frederic Parrenin as well as 3 reviewers for constructive comments allowing very significant improvements of this manuscript. Kenji Kawamura is acknowledged for having provided the results of the filtering method described in Kawamura et al. (2007) and applied on our set of data. We also thank Eric Lefebvre for the snow temperature measurement system. This project was funded by the European project EPICA-MIS and the French ANR PICC project. G. Dreyfus acknowledges support from the National Science Foundation Graduate Research Fellowship program and the Commissariat a l'Energie Atomique. 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UK. The main logistic was provided by IPEV and PNRA (at Dome C) and AWI (at Dronning Maud Land). This is a contribution to the European project PAST4FUTURE. This is LSCE contribution no. 4334.; The publication of this article is financed by CNRS-INSU.</t>
  </si>
  <si>
    <t>10.5194/cp-8-191-2012</t>
  </si>
  <si>
    <t>WOS:000300878100012</t>
  </si>
  <si>
    <t>Bertrand, S; Hughen, KA; Lamy, F; Stuut, JBW; Torrejón, F; Lange, CB</t>
  </si>
  <si>
    <t>Bertrand, S.; Hughen, K. A.; Lamy, F.; Stuut, J. -B. W.; Torrejon, F.; Lange, C. B.</t>
  </si>
  <si>
    <t>Precipitation as the main driver of Neoglacial fluctuations of Gualas glacier, Northern Patagonian Icefield</t>
  </si>
  <si>
    <t>SAN-RAFAEL GLACIER; CHILEAN PATAGONIA; SOUTH-AMERICA; HOLOCENE; AGE; TEMPERATURE; CHRONOLOGY; SEDIMENTS; LAKE; PALEOCLIMATE</t>
  </si>
  <si>
    <t>Glaciers are frequently used as indicators of climate change. However, the link between past glacier fluctuations and climate variability is still highly debated. Here, we investigate the mid- to late-Holocene fluctuations of Gualas Glacier, one of the northernmost outlet glaciers of the Northern Patagonian Icefield, using a multi-proxy sedimentological and geochemical analysis of a 15 m long fjord sediment core from Golfo Elefantes, Chile, and historical documents from early Spanish explorers. Our results show that the core can be sub-divided into three main lithological units that were deposited under very different hydrodynamic conditions. Between 5400 and 4180 cal yr BP and after 750 cal yr BP, sedimentation in Golfo Elefantes was characterized by the rapid deposition of fine silt, most likely transported by fluvio-glacial processes. By contrast, the sediment deposited between 4130 and 850 cal yr BP is composed of poorly sorted sand that is free of shells. This interval is particularly marked by high magnetic susceptibility values and Zr concentrations, and likely reflects a major advance of Gualas glacier towards Golfo Elefantes during the Neoglaciation. Several thin silt layers observed in the upper part of the core are interpreted as secondary fluctuations of Gualas glacier during the Little Ice Age, in agreement with historical and dendrochronological data. Our interpretation of the Golfo Elefantes glaciomarine sediment record in terms of fluctuations of Gualas glacier is in excellent agreement with the glacier chronology proposed for the Southern Patagonian Icefield, which is based on terrestrial (moraine) deposits. By comparing our results with independent proxy records of precipitation and sea surface temperature, we suggest that the fluctuations of Gualas glacier during the last 5400 yr were mainly driven by changes in precipitation in the North Patagonian Andes.</t>
  </si>
  <si>
    <t>[Bertrand, S.; Hughen, K. A.] Woods Hole Oceanog Inst, Woods Hole, MA 02543 USA; [Bertrand, S.; Lamy, F.] Alfred Wegener Inst, Bremerhaven, Germany; [Bertrand, S.] Univ Ghent, Renard Ctr Marine Geol, Ghent, Belgium; [Stuut, J. -B. W.] Univ Bremen, Ctr Marine Environm Sci, MARUM, Bremen, Germany; [Stuut, J. -B. W.] NIOZ Royal Netherlands Inst Sea Res, Texel, Netherlands; [Torrejon, F.] Univ Concepcion, EULA Ctr, Concepcion, Chile; [Torrejon, F.] Patagonian Ecosyst Res Ctr CIEP, Coyhaique, Chile; [Lange, C. B.] Univ Concepcion, Dept Oceanog, Concepcion, Chile; [Lange, C. B.] Univ Concepcion, COPAS Ctr, Concepcion, Chile</t>
  </si>
  <si>
    <t>Woods Hole Oceanographic Institution; Helmholtz Association; Alfred Wegener Institute, Helmholtz Centre for Polar &amp; Marine Research; Ghent University; University of Bremen; Utrecht University; Royal Netherlands Institute for Sea Research (NIOZ); Universidad de Concepcion; Universidad de Concepcion; Universidad de Concepcion</t>
  </si>
  <si>
    <t>Bertrand, S (corresponding author), Woods Hole Oceanog Inst, Woods Hole, MA 02543 USA.</t>
  </si>
  <si>
    <t>Lange, Carina/AHC-2015-2022; Stuut, Jan-Berend/K-2073-2013; IPO, PAGES/JXY-7546-2024; Bertrand, Sebastien/G-9744-2011; Lamy, Frank/H-3611-2014</t>
  </si>
  <si>
    <t>Lange, Carina/0000-0002-2916-4207; Stuut, Jan-Berend/0000-0002-5348-2512; Bertrand, Sebastien/0000-0003-0374-4040; Lamy, Frank/0000-0001-5952-1765</t>
  </si>
  <si>
    <t>EU; US National Science Foundation, Office of Polar [NSF/OPP 03-38137]; Chilean National Oceanographic Committee (CONA) [C7F 01-10]; PAGES</t>
  </si>
  <si>
    <t>EU(European Union (EU)); US National Science Foundation, Office of Polar(National Science Foundation (NSF)); Chilean National Oceanographic Committee (CONA); PAGES</t>
  </si>
  <si>
    <t>This research was supported by an EU FP6 Marie Curie Outgoing Fellowship to S.B. Cruise NBP0505 was funded by the US National Science Foundation, Office of Polar Programs grant number NSF/OPP 03-38137 to J. Anderson (Rice University) and J. Smith Wellner (University of Houston). The Cimar-7 Program was supported by the Chilean National Oceanographic Committee (CONA, Grant C7F 01-10 to S. Pantoja). We thank the curators of the Florida State University Antarctic Marine Geology Research Facility (Simon Nielsen and Lindsey Geary), for their assistance with shipping core JPC14 to WHOI. We are grateful to L. Giosan and I. Buynevich (WHOI) for providing access to the ITRAX XRF core scanner and to the Bartington magnetic susceptibility system, respectively, and to Tim Ferdelman, Andrea Schipper and Thomas Max (MPI, Bremen, Germany) for allowing us to use the UIC Coulometer. K. Bennett (Queen's University Belfast) provided the Laguna Stibnite data. We acknowledge R. Fernandez (Rice University) for stimulating discussions and for providing the bathymetric and seismic data. Two anonymous reviewers provided constructive comments on an earlier version of this paper. S.B. is currently a postdoctoral fellow of the Flemish Research Foundation (FWO, Belgium).; The publication of this article was sponsored by PAGES.</t>
  </si>
  <si>
    <t>10.5194/cp-8-519-2012</t>
  </si>
  <si>
    <t>942PW</t>
  </si>
  <si>
    <t>Green Published, Green Submitted, gold</t>
  </si>
  <si>
    <t>WOS:000304059700009</t>
  </si>
  <si>
    <t>Chikamoto, MO; Abe-Ouchi, A; Oka, A; Ohgaito, R; Timmermann, A</t>
  </si>
  <si>
    <t>Chikamoto, M. O.; Abe-Ouchi, A.; Oka, A.; Ohgaito, R.; Timmermann, A.</t>
  </si>
  <si>
    <t>Quantifying the ocean's role in glacial CO2 reductions</t>
  </si>
  <si>
    <t>ANTARCTIC SEA-ICE; SOUTHERN-OCEAN; ATMOSPHERIC CO2; NORTH-ATLANTIC; CARBON-CYCLE; OVERTURNING CIRCULATION; EXPORT PRODUCTION; MODEL; TEMPERATURE; CLIMATE</t>
  </si>
  <si>
    <t>A series of Last Glacial Maximum (LGM) marine carbon cycle sensitivity experiments is conducted to test the effect of different physical processes, as simulated by two atmosphere-ocean general circulation model (AOGCM) experiments, on atmospheric pCO(2). One AOGCM solution exhibits an increase in North Atlantic Deep Water (NADW) formation under glacial conditions, whereas the other mimics an increase in Antarctic Bottom Water (AABW) associated with a weaker NADW. None of these sensitivity experiments reproduces the observed magnitude of glacial/interglacial pCO(2) changes. However, to explain the reconstructed vertical gradient of dissolved inorganic carbon (DIC) of 40 mmol m(-3) a marked enhancement in AABW formation is required. Furthermore, for the enhanced AABW sensitivity experiment the simulated stable carbon isotope ratio (delta C-13) decreases by 0.4 parts per thousand at intermediate depths in the South Atlantic in accordance with sedimentary evidence. The shift of deep and bottom water formation sites from the North Atlantic to the Southern Ocean increases the total preformed nutrient inventory, so that the lowered efficiency of Southern Ocean nutrient utilization in turn increases atmospheric pCO(2). This change eventually offsets the effect of an increased abyssal carbon pool due to stronger AABW formation. The effects of interhemispheric glacial sea-ice changes on atmospheric pCO(2) oppose each other. Whereas, extended sea-ice coverage in the Southern Hemisphere reduces the air-sea gas exchange of CO2 in agreement with previous theoretical considerations, glacial advances of sea-ice in the Northern Hemisphere lead to a weakening of the oceanic carbon uptake through the physical pump. Due to enhanced gas solubility associated with lower sea surface temperature, both glacial experiments generate a reduction of atmospheric pCO(2) by about 20-23 ppmv. The sensitivity experiments presented here demonstrate the presence of compensating effects of different physical processes in the ocean on glacial CO2 and the difficulty of finding a simple explanation of the glacial CO2 problem by invoking ocean dynamical changes.</t>
  </si>
  <si>
    <t>[Chikamoto, M. O.; Abe-Ouchi, A.; Ohgaito, R.] Japan Agcy Marine Earth Sci &amp; Technol, Res Inst Global Change, Yokohama, Kanagawa, Japan; [Abe-Ouchi, A.; Oka, A.] Univ Tokyo, Atmosphere &amp; Ocean Res Inst, Kashiwa, Chiba, Japan; [Timmermann, A.] Univ Hawaii, Int Pacific Res Ctr, Honolulu, HI 96822 USA</t>
  </si>
  <si>
    <t>Japan Agency for Marine-Earth Science &amp; Technology (JAMSTEC); University of Tokyo; University of Hawaii System</t>
  </si>
  <si>
    <t>Chikamoto, MO (corresponding author), Japan Agcy Marine Earth Sci &amp; Technol, Res Inst Global Change, Yokohama, Kanagawa, Japan.</t>
  </si>
  <si>
    <t>megchika@jamstec.go.jp</t>
  </si>
  <si>
    <t>Ohgaito, Rumi/O-7968-2018; Abe-Ouchi, Ayako A/M-6359-2013; Timmermann, Axel/Y-2799-2019</t>
  </si>
  <si>
    <t>Abe-Ouchi, Ayako A/0000-0003-1745-5952; Timmermann, Axel/0000-0003-0657-2969; Ohgaito, Rumi/0000-0002-5717-1594</t>
  </si>
  <si>
    <t>NSF [1010869]; Grants-in-Aid for Scientific Research [23684040, 22101005] Funding Source: KAKEN</t>
  </si>
  <si>
    <t>NSF(National Science Foundation (NSF)); Grants-in-Aid for Scientific Research(Ministry of Education, Culture, Sports, Science and Technology, Japan (MEXT)Japan Society for the Promotion of ScienceGrants-in-Aid for Scientific Research (KAKENHI))</t>
  </si>
  <si>
    <t>We would like to thank two anonymous external reviewers for helpful comments that substantially improved the manuscript. The numerical simulations were preformed on the Earth Simulator at JAMSTEC and HITACHI SR11000 at University of Tokyo. AT was sponsored through NSF grant 1010869.</t>
  </si>
  <si>
    <t>10.5194/cp-8-545-2012</t>
  </si>
  <si>
    <t>WOS:000304059700011</t>
  </si>
  <si>
    <t>Lambert, F; Bigler, M; Steffensen, JP; Hutterli, M; Fischer, H</t>
  </si>
  <si>
    <t>Lambert, F.; Bigler, M.; Steffensen, J. P.; Hutterli, M.; Fischer, H.</t>
  </si>
  <si>
    <t>Centennial mineral dust variability in high-resolution ice core data from Dome C, Antarctica</t>
  </si>
  <si>
    <t>EAST ANTARCTICA; CLIMATE-CHANGE; ATMOSPHERIC CO2; OCEAN; AEROSOL; GREENLAND; EPICA; IRON; PROVENANCE; ATLANTIC</t>
  </si>
  <si>
    <t>Ice core data from Antarctica provide detailed insights into the characteristics of past climate, atmospheric circulation, as well as changes in the aerosol load of the atmosphere. We present high-resolution records of soluble calcium (Ca2+), non-sea-salt soluble calcium (nssCa(2+)), and particulate mineral dust aerosol from the East Antarctic Plateau at a depth resolution of 1 cm, spanning the past 800 000 years. Despite the fact that all three parameters are largely dust-derived, the ratio of nssCa(2+) to particulate dust is dependent on the particulate dust concentration itself. We used principal component analysis to extract the joint climatic signal and produce a common high-resolution record of dust flux. This new record is used to identify Antarctic warming events during the past eight glacial periods. The phasing of dust flux and CO2 changes during glacial-interglacial transitions reveals that iron fertilization of the Southern Ocean during the past nine glacial terminations was not the dominant factor in the deglacial rise of CO2 concentrations. Rapid changes in dust flux during glacial terminations and Antarctic warming events point to a rapid response of the southern westerly wind belt in the region of southern South American dust sources on changing climate conditions. The clear lead of these dust changes on temperature rise suggests that an atmospheric reorganization occurred in the Southern Hemisphere before the Southern Ocean warmed significantly.</t>
  </si>
  <si>
    <t>[Lambert, F.; Fischer, H.] Univ Bern, Inst Phys, CH-3012 Bern, Switzerland; [Lambert, F.; Fischer, H.] Univ Bern, Oeschger Ctr Climate Change Res, CH-3012 Bern, Switzerland; [Bigler, M.; Steffensen, J. P.] Univ Copenhagen, Niels Bohr Inst, DK-2100 Copenhagen O, Denmark; [Hutterli, M.] British Antarctic Survey, Cambridge CB3 0ET, England</t>
  </si>
  <si>
    <t>University of Bern; University of Bern; University of Copenhagen; Niels Bohr Institute; UK Research &amp; Innovation (UKRI); Natural Environment Research Council (NERC); NERC British Antarctic Survey</t>
  </si>
  <si>
    <t>Lambert, F (corresponding author), Korea Ocean Res &amp; Dev Inst, Ansan, South Korea.</t>
  </si>
  <si>
    <t>lambert@climate.unibe.ch; bigler@climate.unibe.ch; jps@gfy.ku.dk; hutterli@bas.ac.uk; hubertus.fischer@climate.unibe.ch</t>
  </si>
  <si>
    <t>Lambert, Fabrice/M-2003-2014; Steffensen, Jorgen Peder/JFS-7831-2023; Bigler, Matthias/HTT-3872-2023; Fischer, Hubertus/A-1211-2014</t>
  </si>
  <si>
    <t>Lambert, Fabrice/0000-0002-2192-024X; Steffensen, Jorgen Peder/0000-0002-5516-1093; Bigler, Matthias/0000-0003-0184-4013; Fischer, Hubertus/0000-0002-2787-4221</t>
  </si>
  <si>
    <t>EU; KORDI [PE98801]; Natural Environment Research Council [bas0100024] Funding Source: researchfish; NERC [bas0100024] Funding Source: UKRI</t>
  </si>
  <si>
    <t>EU(European Union (EU)); KORDI; Natural Environment Research Council(UK Research &amp; Innovation (UKRI)Natural Environment Research Council (NERC)); NERC(UK Research &amp; Innovation (UKRI)Natural Environment Research Council (NERC))</t>
  </si>
  <si>
    <t>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UK. The main logistic support was provided by IPEV and PNRA (at Dome C) and AWI (at Dronning Maud Land). We thank all the persons involved in the fieldwork to obtain the comprehensive dataset. This is EPICA publication no. 283. Fabrice Lambert is supported by KORDI (PE98801).</t>
  </si>
  <si>
    <t>10.5194/cp-8-609-2012</t>
  </si>
  <si>
    <t>gold, Green Accepted, Green Submitted, Green Published</t>
  </si>
  <si>
    <t>WOS:000304059700015</t>
  </si>
  <si>
    <t>Albani, S; Delmonte, B; Maggi, V; Baroni, C; Petit, JR; Stenni, B; Mazzola, C; Frezzotti, M</t>
  </si>
  <si>
    <t>Albani, S.; Delmonte, B.; Maggi, V.; Baroni, C.; Petit, J. -R.; Stenni, B.; Mazzola, C.; Frezzotti, M.</t>
  </si>
  <si>
    <t>Interpreting last glacial to Holocene dust changes at Talos Dome (East Antarctica): implications for atmospheric variations from regional to hemispheric scales</t>
  </si>
  <si>
    <t>TERRA-NOVA BAY; ICE CORE; VICTORIA LAND; AEOLIAN DUST; ROSS SEA; CLIMATE; RECORDS; VARIABILITY; CIRCULATION; HISTORY</t>
  </si>
  <si>
    <t>Central East Antarctic ice cores preserve stratigraphic records of mineral dust originating from remote sources in the Southern Hemisphere, and represent useful indicators of climatic variations on glacial-interglacial time scales. The peripheries of the East Antarctic Ice Sheet, where ice-free areas with the potential to emit dust exist, have been less explored from this point of view. Here, we present a new profile of dust deposition flux and grain size distributions from an ice core drilled at Talos Dome (TALDICE, Northern Victoria Land, East Antarctica), where there is a significant input of dust from proximal Antarctic ice-free areas. We analyze dust and stable water isotopes variations from the Last Glacial Maximum to the Late Holocene, and compare them to the EPICA Dome C profiles from central East Antarctica. The smaller glacial-interglacial variations at Talos Dome compared to Dome C and a distinctive decreasing trend during the Holocene characterize the TALDICE dust profile. By deciphering the composite dust signal from both remote and local sources, we show the potential of this combined proxy of source activity and atmospheric transport to give information on both regional and larger spatial scales. In particular, we show how a regional signal, which we relate to the deglaciation history of the Ross Sea embayment, can be superimposed to the broader scale glacial-interglacial variability that characterizes other Antarctic sites.</t>
  </si>
  <si>
    <t>[Albani, S.; Delmonte, B.; Maggi, V.; Mazzola, C.] Univ Milano Bicocca, Dept Environm Sci, Milan, Italy; [Albani, S.] Univ Siena, Grad Sch Polar Sci, I-53100 Siena, Italy; [Baroni, C.] Univ Pisa, Dipartimento Sci Terra, Pisa, Italy; [Petit, J. -R.] Univ Grenoble 1, CNRS, LGGE, Grenoble, France; [Stenni, B.] Univ Trieste, Dipartimento Geosci, Trieste, Italy; [Frezzotti, M.] UTA, ENEA, Rome, Italy</t>
  </si>
  <si>
    <t>University of Milano-Bicocca; University of Siena; University of Pisa; Communaute Universite Grenoble Alpes; Universite Grenoble Alpes (UGA); Centre National de la Recherche Scientifique (CNRS); University of Trieste; Italian National Agency New Technical Energy &amp; Sustainable Economics Development</t>
  </si>
  <si>
    <t>Albani, S (corresponding author), Univ Milano Bicocca, Dept Environm Sci, Milan, Italy.</t>
  </si>
  <si>
    <t>samuel.albani@unimib.it</t>
  </si>
  <si>
    <t>Delmonte, Barbara/L-2555-2015; Maggi, Valter/E-1878-2014; Albani, Samuel/G-5329-2015; FREZZOTTI, Massimo/AAK-7275-2020; Maggi, Valter/AAX-5728-2020; Baroni, Carlo/D-8184-2012; Albani, Samuel/AAC-5604-2020</t>
  </si>
  <si>
    <t>Delmonte, Barbara/0000-0002-9074-2061; Albani, Samuel/0000-0001-9736-5134; FREZZOTTI, Massimo/0000-0002-2461-2883; Maggi, Valter/0000-0001-6287-1213; Baroni, Carlo/0000-0001-5905-4650; Albani, Samuel/0000-0001-9736-5134; Stenni, Barbara/0000-0003-4950-3664</t>
  </si>
  <si>
    <t>PNRA; Dote Ricercatori: FSE, Regione Lombardia; University of Milano-Bicocca</t>
  </si>
  <si>
    <t>PNRA; Dote Ricercatori: FSE, Regione Lombardia(Regione Lombardia); University of Milano-Bicocca</t>
  </si>
  <si>
    <t>The Talos Dome Ice core Project (TALDICE), a joint European programme, is funded by national contributions from Italy, France, Germany, Switzerland and the United Kingdom. Main logistic support was provided by PNRA. This is TALDICE publication no. 18. This work is a contribution to the PRIN 2009 research project Variability and geographic provenance of eolian dust in Antarctica during the late Quaternary: a multi-parametric approach with the use of cutting-edge techniques. The HOLOCLIP Project, a joint research project of ESF PolarCLIMATE programme, is funded by national contributions from Italy, France, Germany, Spain, Netherlands, Belgium and the United Kingdom. In Italy HOLOCLIP is funded by PNRA. This is HOLOCLIP publication no. 8. We are grateful to A. Bory, S. Schupbach and to H. Fischer for their constructive comments that helped to improve the manuscript. We also thank Yvette Wharton (University of Auckland) for her valuable comments to the English text. S. Albani acknowledges funding from Dote Ricercatori: FSE, Regione Lombardia and the University of Milano-Bicocca for co-funding.</t>
  </si>
  <si>
    <t>10.5194/cp-8-741-2012</t>
  </si>
  <si>
    <t>WOS:000304059700024</t>
  </si>
  <si>
    <t>Stager, JC; Mayewski, PA; White, J; Chase, BM; Neumann, FH; Meadows, ME; King, CD; Dixon, DA</t>
  </si>
  <si>
    <t>Stager, J. C.; Mayewski, P. A.; White, J.; Chase, B. M.; Neumann, F. H.; Meadows, M. E.; King, C. D.; Dixon, D. A.</t>
  </si>
  <si>
    <t>Precipitation variability in the winter rainfall zone of South Africa during the last 1400 yr linked to the austral westerlies</t>
  </si>
  <si>
    <t>AGULHAS LEAKAGE; ICE-AGE; HOLOCENE; CLIMATE; RECORD; CHILE; FLUCTUATIONS; DYNAMICS</t>
  </si>
  <si>
    <t>The austral westerlies strongly influence precipitation and ocean circulation in the southern temperate zone, with important consequences for cultures and ecosystems. Global climate models anticipate poleward retreat of the austral westerlies with future warming, but the available paleoclimate records that might test these models have been limited to South America and New Zealand, are not fully consistent with each other and may be complicated by influences from other climatic factors. Here we present the first high-resolution diatom and sedimentological records from the winter rainfall region of South Africa, representing precipitation in the equatorward margin of the westerly wind belt during the last 1400 yr. Inferred rainfall was relatively high similar to 1400-1200 cal yr BP, decreased until similar to 950 cal yr BP, and rose notably through the Little Ice Age with pulses centred on similar to 600, 530, 470, 330, 200, 90, and 20 cal yr BP. Synchronous fluctuations in Antarctic ice core chemistry strongly suggest that these variations were linked to changes in the westerlies. Equatorward drift of the westerlies during the wet periods may have influenced Atlantic meridional overturning circulation by restricting marine flow around the tip of Africa. Apparent inconsistencies among some aspects of records from South America, New Zealand and South Africa warn against the simplistic application of single records to the Southern Hemisphere as a whole. Nonetheless, these findings in general do support model projections of increasing aridity in the austral winter rainfall zones with future warming.</t>
  </si>
  <si>
    <t>[Stager, J. C.; White, J.; King, C. D.] Paul Smiths Coll, Paul Smiths, NY 12970 USA; [Stager, J. C.; Mayewski, P. A.; Dixon, D. A.] Univ Maine, Climate Change Inst, Orono, ME 04473 USA; [Chase, B. M.] Univ Montpellier 2, Inst Sci Evolut Montpellier, Dept Paleoenvironm &amp; Paleoclimats PAL, UMR5554, Montpellier 5, France; [Chase, B. M.] Univ Bergen, Dept Archaeol Hist Culture &amp; Relig, N-5020 Bergen, Norway; [Neumann, F. H.] Univ Munster, Forschungsstelle Palaobotan, D-48143 Munster, Germany; [Neumann, F. H.] Univ Witwatersrand, Bernard Price Inst Palaeontol Res, ZA-2050 Johannesburg, South Africa; [Meadows, M. E.] Univ Cape Town, Dept Environm &amp; Geog Sci, ZA-7701 Rondebosch, South Africa</t>
  </si>
  <si>
    <t>University of Maine System; University of Maine Orono; Universite de Montpellier; University of Bergen; University of Munster; University of Witwatersrand; University of Cape Town</t>
  </si>
  <si>
    <t>Stager, JC (corresponding author), Paul Smiths Coll, Paul Smiths, NY 12970 USA.</t>
  </si>
  <si>
    <t>cstager@paulsmiths.edu</t>
  </si>
  <si>
    <t>White, James W.C./A-7845-2009; Meadows, Michael E/AAH-2461-2020; Mayewski, Paul Andrew/HRD-6969-2023; Chase, Brian/A-1202-2010</t>
  </si>
  <si>
    <t>Meadows, Michael E/0000-0001-8322-3055; Neumann, Frank H./0000-0002-3620-2742; Chase, Brian/0000-0001-6987-1291</t>
  </si>
  <si>
    <t>National Science Foundation [EAR-0822922, OPP 0837883]; Directorate For Geosciences; Division Of Earth Sciences [0822922] Funding Source: National Science Foundation; Directorate For Geosciences; Office of Polar Programs (OPP) [0837883] Funding Source: National Science Foundation; Office of Polar Programs (OPP); Directorate For Geosciences [1042883] Funding Source: National Science Foundation</t>
  </si>
  <si>
    <t>National Science Foundation(National Science Foundation (NSF)); Directorate For Geosciences; Division Of Earth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</si>
  <si>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research was funded by National Science Foundation grants EAR-0822922 and OPP 0837883, with additional support from Paul Smith's College and the University of Cape Town. Thanks to K. Johnson, J. Malan, L. Quick and L. Scott for assistance in the field and laboratory, C. Barr for information and discussions, and F. Lamy for discussions and the Chilean data. K. Knudson and an anonymous reviewer also offered helpful comments that improved the final version of the manuscript.</t>
  </si>
  <si>
    <t>10.5194/cp-8-877-2012</t>
  </si>
  <si>
    <t>966ID</t>
  </si>
  <si>
    <t>WOS:000305830200001</t>
  </si>
  <si>
    <t>Parrenin, F; Petit, JR; Masson-Delmotte, V; Wolff, E; Basile-Doelsch, I; Jouzel, J; Lipenkov, V; Rasmussen, SO; Schwander, J; Severi, M; Udisti, R; Veres, D; Vinther, BM</t>
  </si>
  <si>
    <t>Parrenin, F.; Petit, J. -R.; Masson-Delmotte, V.; Wolff, E.; Basile-Doelsch, I.; Jouzel, J.; Lipenkov, V.; Rasmussen, S. O.; Schwander, J.; Severi, M.; Udisti, R.; Veres, D.; Vinther, B. M.</t>
  </si>
  <si>
    <t>Volcanic synchronisation between the EPICA Dome C and Vostok ice cores (Antarctica) 0-145 kyr BP</t>
  </si>
  <si>
    <t>CLIMATE VARIABILITY; EUROPEAN PROJECT; RECORD; TOBA; HISTORY; ERUPTION; FLOW; CHRONOLOGY; GREENLAND; STATION</t>
  </si>
  <si>
    <t>This study aims at refining the synchronisation between the EPICA Dome C (EDC) and Vostok ice cores in the time interval 0-145 kyr BP by using the volcanic signatures. 102 common volcanic events were identified by using continuous electrical conductivity (ECM), di-electrical profiling (DEP) and sulfate measurements while trying to minimize the distortion of the glaciological chronologies. This is an update and a continuation of previous works performed over the 0-45 kyr interval that provided 56 tie points to the ice core chronologies (Udisti et al., 2004). This synchronisation will serve to establish Antarctic Ice Core Chronology 2012, the next synchronised Antarctic dating. A change of slope in the EDC-depth/Vostok-depth diagram is probably related to a change of accumulation regime as well as to a change of ice thickness upstream of the Lake Vostok, but we did not invoke any significant temporal change of surface accumulation at EDC relative to Vostok. No significant phase difference is detected between the EDC and Vostok isotopic records, but depth shifts between the Vostok 3G and 5G ice cores prevent from looking at this problem accurately. Three possible candidates for the Toba volcanic super-eruption similar to 73 kyr ago are suggested in the Vostok and EDC volcanic records. Neither the ECM, DEP nor the sulfate fingerprints for these 3 events are significantly larger than many others in the records.</t>
  </si>
  <si>
    <t>[Parrenin, F.] Lab Chrono Environm, UMR6249, Besancon, France; [Parrenin, F.; Petit, J. -R.; Veres, D.] CNRS, Lab Glaciol &amp; Geophys Environm, UMR5183, Grenoble, France; [Masson-Delmotte, V.; Jouzel, J.] Lab Sci Climat &amp; Environm, Gif Sur Yvette, France; [Wolff, E.] British Antarctic Survey, Cambridge CB3 0ET, England; [Basile-Doelsch, I.] Ctr Europeen Rech &amp; Enseignement Geosci Environm, Aix En Provence, France; [Lipenkov, V.; Vinther, B. M.] Arctic &amp; Antarctic Res Inst, St Petersburg 199226, Russia; [Rasmussen, S. O.] Univ Copenhagen, Niels Bohr Inst, Ctr Ice &amp; Climate, DK-2100 Copenhagen, Denmark; [Schwander, J.] Univ Bern, Inst Phys, Bern, Switzerland; [Severi, M.; Udisti, R.] Univ Florence, Dept Chem, Florence, Italy; [Veres, D.] Romanian Acad, Inst Speleol, Cluj Napoca, Romania</t>
  </si>
  <si>
    <t>Universite de Franche-Comte; Centre National de la Recherche Scientifique (CNRS); Communaute Universite Grenoble Alpes; Universite Grenoble Alpes (UGA); CEA; Centre National de la Recherche Scientifique (CNRS); Universite Paris Saclay; UK Research &amp; Innovation (UKRI); Natural Environment Research Council (NERC); NERC British Antarctic Survey; Aix-Marseille Universite; Arctic &amp; Antarctic Research Institute; University of Copenhagen; Niels Bohr Institute; University of Bern; University of Florence; Romanian Academy of Sciences; Emil Racovita Institute of Speleology</t>
  </si>
  <si>
    <t>Parrenin, F (corresponding author), Lab Chrono Environm, UMR6249, Besancon, France.</t>
  </si>
  <si>
    <t>parrenin@ujf-grenoble.fr</t>
  </si>
  <si>
    <t>Basile, Isabelle IBD/B-4173-2010; Parrenin, Frédéric/H-3054-2014; Rasmussen, Sune/B-5560-2008; Wolff, Eric W/D-7925-2014; Masson-Delmotte, Valerie L/G-1995-2011; Veres, Daniel S/GNH-2578-2022; Veres, Daniel/GNH-2718-2022; Udisti, Roberto/M-7966-2015; Veres, Daniel/AAX-3319-2020; Rasmussen, Sune Olander/AAA-3190-2021; Lipenkov, Vladimir/Q-8262-2016; Severi, Mirko/J-2508-2012</t>
  </si>
  <si>
    <t>Parrenin, Frédéric/0000-0002-9489-3991; Wolff, Eric W/0000-0002-5914-8531; Masson-Delmotte, Valerie L/0000-0001-8296-381X; Udisti, Roberto/0000-0003-4440-8238; Veres, Daniel/0000-0003-3932-577X; Rasmussen, Sune Olander/0000-0002-4177-3611; Vinther, Bo/0000-0002-6078-771X; Becagli, Silvia/0000-0003-3633-4849; Lipenkov, Vladimir/0000-0003-4221-5440; Severi, Mirko/0000-0003-1511-6762</t>
  </si>
  <si>
    <t>EU; Natural Environment Research Council [bas0100024] Funding Source: researchfish; NERC [bas0100024] Funding Source: UKRI</t>
  </si>
  <si>
    <t>EU(European Union (EU)); Natural Environment Research Council(UK Research &amp; Innovation (UKRI)Natural Environment Research Council (NERC)); NERC(UK Research &amp; Innovation (UKRI)Natural Environment Research Council (NERC))</t>
  </si>
  <si>
    <t>We thank M.-F. Loutre for helpful discussions and N. Dunbar and an anonymous reviewers for their careful reviews. We wish to also thank all participants to the field seasons at Vostok and at Dome C. 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United Kingdom. The main logistic support was provided by IPEV and PNRA (at Dome C), (at Dronning Maud Land) and Russian Antarctic Expeditions (RAE at Vostok). This is EPICA publication no. 279.</t>
  </si>
  <si>
    <t>10.5194/cp-8-1031-2012</t>
  </si>
  <si>
    <t>gold, Green Submitted, Green Accepted</t>
  </si>
  <si>
    <t>WOS:000305830200012</t>
  </si>
  <si>
    <t>Rhodes, RH; Bertler, NAN; Baker, JA; Steen-Larsen, HC; Sneed, SB; Morgenstern, U; Johnsen, SJ</t>
  </si>
  <si>
    <t>Rhodes, R. H.; Bertler, N. A. N.; Baker, J. A.; Steen-Larsen, H. C.; Sneed, S. B.; Morgenstern, U.; Johnsen, S. J.</t>
  </si>
  <si>
    <t>Little Ice Age climate and oceanic conditions of the Ross Sea, Antarctica from a coastal ice core record</t>
  </si>
  <si>
    <t>DOME EAST ANTARCTICA; ATMOSPHERIC CIRCULATION; HOLOCENE CLIMATE; SNOW; VARIABILITY; PRECIPITATION; MILLENNIUM; DEPOSITION; GREENLAND; DEUTERIUM</t>
  </si>
  <si>
    <t>Increasing paleoclimatic evidence suggests that the Little Ice Age (LIA) was a global climate change event. Understanding the forcings and associated climate system feedbacks of the LIA is made difficult by the scarcity of Southern Hemisphere paleoclimate records. We use a new glaciochemical record of a coastal ice core from Mt. Erebus Saddle, Antarctica, to reconstruct atmospheric and oceanic conditions in the Ross Sea sector of Antarctica over the past five centuries. The LIA is identified in stable isotope (delta D) and lithophile element records, which respectively demonstrate that the region experienced 1.6 +/- 1.4 degrees C cooler average temperatures prior to 1850 AD than during the last 150 yr and strong (&gt; 57 ms(-1)) prevailing katabatic winds between 1500 and 1800 AD. Al and Ti concentration increases of an order of magnitude (&gt; 120 ppb Al) are linked to enhanced aeolian transport of complex silicate minerals and represent the strongest katabatic wind events of the LIA. These events are associated with three 12-30 yr intervals of cooler temperatures at ca. 1690 AD, 1770 AD and 1840 AD. Furthermore, ice core concentrations of the biogenic sulphur species MS- suggest that biological productivity in the Ross Sea polynya was similar to 80% higher prior to 1875 AD than at any subsequent time. We propose that cooler Antarctic temperatures promoted stronger katabatic winds across the Ross Ice Shelf, resulting in an enlarged Ross Sea polynya during the LIA.</t>
  </si>
  <si>
    <t>[Rhodes, R. H.; Bertler, N. A. N.] Victoria Univ Wellington, Antarctic Res Ctr, Wellington 6140, New Zealand; [Rhodes, R. H.; Bertler, N. A. N.; Morgenstern, U.] Natl Ice Core Res Lab, GNS Sci, Lower Hutt 5040, New Zealand; [Baker, J. A.] Victoria Univ Wellington, Sch Geog Environm &amp; Earth Sci, Wellington 6140, New Zealand; [Steen-Larsen, H. C.; Johnsen, S. J.] Niels Bohr Inst, Ctr Ice &amp; Climate, DK-2100 Copenhagen, Denmark; [Sneed, S. B.] Univ Maine, Climate Change Inst, Orono, ME 04469 USA</t>
  </si>
  <si>
    <t>Victoria University Wellington; GNS Science - New Zealand; Victoria University Wellington; University of Copenhagen; Niels Bohr Institute; University of Maine System; University of Maine Orono</t>
  </si>
  <si>
    <t>Rhodes, RH (corresponding author), Oregon State Univ, Coll Earth Ocean &amp; Atmospher Sci, Corvallis, OR 97331 USA.</t>
  </si>
  <si>
    <t>rachael.rhodes@geo.oregonstate.edu</t>
  </si>
  <si>
    <t>Bertler, Nancy A N/F-3967-2011; Baker, Joel A/A-3477-2008; Steen-Larsen, Hans Christian/F-9927-2013</t>
  </si>
  <si>
    <t>Bertler, Nancy/0000-0001-6028-4891; Rhodes, Rachael/0000-0001-7511-1969; Baker, Joel/0000-0001-6371-5060; Steen-Larsen, Hans Christian/0000-0002-7202-5907</t>
  </si>
  <si>
    <t>Marsden Fund [VUW0509]; New Zealand Ministry for Science and Innovation [VICX0704, CO5X0202]</t>
  </si>
  <si>
    <t>Marsden Fund(Royal Society of New ZealandMarsden Fund (NZ)); New Zealand Ministry for Science and Innovation</t>
  </si>
  <si>
    <t>We sincerely thank Antarctica New Zealand, the US Polar Program, and Scott Base and McMurdo Station staff for logistical support. We thank the Alfred Wegener Institute for lending us the AWI ice core drill. Recovery of this ice core was made possible by Alex Pyne, Webster Drilling, Glenn and Tony Kingan, Ken Borek Ltd. and Helicopters New Zealand. Ground penetrating radar surveys were conducted by Matt Watson, ScanTec Ltd. Thanks to the staff of the Stable Isotope Laboratory, GNS Science, for their dedication to this work. Figure 7 was produced using a Matlab function available in the MATLAB Library for Robust Analysis from the Katholieke Universiteit Leuven and the University of Antwerp (http://wis.kuleuven.be/stat/robust/Libra.html). This project is funded through the Marsden Fund (VUW0509) and the New Zealand Ministry for Science and Innovation via contracts awarded to Victoria University of Wellington and GNS Science (VICX0704 and CO5X0202).</t>
  </si>
  <si>
    <t>10.5194/cp-8-1223-2012</t>
  </si>
  <si>
    <t>998MT</t>
  </si>
  <si>
    <t>Green Accepted, gold</t>
  </si>
  <si>
    <t>WOS:000308244600008</t>
  </si>
  <si>
    <t>Andreev, AA; Morozova, E; Fedorov, G; Schirrmeister, L; Bobrov, AA; Kienast, F; Schwamborn, G</t>
  </si>
  <si>
    <t>Andreev, A. A.; Morozova, E.; Fedorov, G.; Schirrmeister, L.; Bobrov, A. A.; Kienast, F.; Schwamborn, G.</t>
  </si>
  <si>
    <t>Vegetation history of central Chukotka deduced from permafrost paleoenvironmental records of the El'gygytgyn Impact Crater</t>
  </si>
  <si>
    <t>LAKE ELGYGYTGYN; CLIMATE-CHANGE; GLACIAL REFUGIUM; GREENLAND; BERINGIA; ICE; AGE</t>
  </si>
  <si>
    <t>Frozen sediments from three cores bored in the permafrost surrounding the El'gygytgyn Impact Crater Lake have been studied for pollen, non-pollen palynomorphs, plant macrofossils and rhizopods. The palynological study of these cores contributes to a higher resolution of time intervals presented in a poor temporal resolution in the lacustrine sediments; namely the Allerod and succeeding periods. Moreover, the permafrost records better reflect local environmental changes, allowing a more reliable reconstruction of the local paleoenvironments. The new data confirm that shrub tundra with dwarf birch, shrub alder and willow dominated the lake surroundings during the Allerod warming. Younger Dryas pollen assemblages reflect abrupt changes to grass-sedge-herb dominated environments reflecting significantly drier and cooler climate. Low shrub tundra with dwarf birch and willow dominate the lake vicinity at the onset of the Holocene. The find of larch seeds indicate its local presence around 11 000 cal yr BP and, thus a northward shift of tree-line by about 100 km during the early Holocene thermal optimum. Forest tundra with larch and shrub alder stands grew in the area during the early Holocene. After ca. 3500 cal yr BP similar-to-modern plant communities became common in the lake vicinity.</t>
  </si>
  <si>
    <t>[Andreev, A. A.] Univ Cologne, Inst Geol &amp; Mineral, D-50674 Cologne, Germany; [Morozova, E.; Fedorov, G.] Arctic &amp; Antarctic Res Inst, St Petersburg 199397, Russia; [Schirrmeister, L.; Schwamborn, G.] Alfred Wegener Inst Polar &amp; Marine Res, Dept Periglacial Res, D-14473 Potsdam, Germany; [Bobrov, A. A.] Moscow MV Lomonosov State Univ, Fac Soil Sci, Moscow 119899, Russia; [Kienast, F.] Senckenberg, Res Inst, D-99423 Weimar, Germany; [Kienast, F.] Nat Hist Museum, Res Stn Quaternary Paleontol, D-99423 Weimar, Germany</t>
  </si>
  <si>
    <t>University of Cologne; Arctic &amp; Antarctic Research Institute; Helmholtz Association; Alfred Wegener Institute, Helmholtz Centre for Polar &amp; Marine Research; Lomonosov Moscow State University; Senckenberg Gesellschaft fur Naturforschung (SGN)</t>
  </si>
  <si>
    <t>Andreev, AA (corresponding author), Univ Cologne, Inst Geol &amp; Mineral, Zulpicher Str 49A, D-50674 Cologne, Germany.</t>
  </si>
  <si>
    <t>aandreev@uni-koeln.de</t>
  </si>
  <si>
    <t>Schwamborn, Georg Johannes/ABC-9636-2020; Fedorov, Grigory/N-5788-2019; Schirrmeister, Lutz/AGW-0545-2022; Schirrmeister, Lutz/O-5584-2015; Fedorov, Grigory/N-3444-2013; Andreev, Andrei A/J-2701-2015</t>
  </si>
  <si>
    <t>Schwamborn, Georg Johannes/0000-0001-9635-0539; Fedorov, Grigory/0000-0003-2269-4501; Schirrmeister, Lutz/0000-0001-9455-0596; Schirrmeister, Lutz/0000-0001-9455-0596; Fedorov, Grigory/0000-0003-2269-4501; Andreev, Andrei A/0000-0002-8745-9636</t>
  </si>
  <si>
    <t>International Continental Scientific Drilling Program (ICDP); US National Science Foundation (NSF); German Federal Ministry of Education and Research (BMBF); Alfred Wegener Institute (AWI); Helmholtz Centre Potsdam (GFZ); Russian Academy of Sciences Far East Branch (RAS FEB); Russian Foundation for Basic Research (RFBR); Austrian Federal Ministry of Science and Research (BMWF); BMBF [03G0642]</t>
  </si>
  <si>
    <t>International Continental Scientific Drilling Program (ICDP); US National Science Foundation (NSF)(National Science Foundation (NSF)); German Federal Ministry of Education and Research (BMBF)(Federal Ministry of Education &amp; Research (BMBF)); Alfred Wegener Institute (AWI); Helmholtz Centre Potsdam (GFZ); Russian Academy of Sciences Far East Branch (RAS FEB); Russian Foundation for Basic Research (RFBR)(Russian Foundation for Basic Research (RFBR)); Austrian Federal Ministry of Science and Research (BMWF); BMBF(Federal Ministry of Education &amp; Research (BMBF))</t>
  </si>
  <si>
    <t>Drilling operations for the ICDP 5011-3 core was funded by the International Continental Scientific Drilling Program (ICDP), the US National Science Foundation (NSF), the German Federal Ministry of Education and Research (BMBF), Alfred Wegener Institute (AWI) and Helmholtz Centre Potsdam (GFZ), the Russian Academy of Sciences Far East Branch (RAS FEB), the Russian Foundation for Basic Research (RFBR), and the Austrian Federal Ministry of Science and Research (BMWF). Funding of core analyses was provided by BMBF (grant no. 03G0642). We are grateful to M. Edwards, Bernd Wagner and an anonymous reviewer for their constructive comments and suggestions. Special thanks also go to Alison McAnena for reviewing the English.</t>
  </si>
  <si>
    <t>10.5194/cp-8-1287-2012</t>
  </si>
  <si>
    <t>WOS:000308244600011</t>
  </si>
  <si>
    <t>Tzedakis, PC; Wolff, EW; Skinner, LC; Brovkin, V; Hodell, DA; McManus, JF; Raynaud, D</t>
  </si>
  <si>
    <t>Tzedakis, P. C.; Wolff, E. W.; Skinner, L. C.; Brovkin, V.; Hodell, D. A.; McManus, J. F.; Raynaud, D.</t>
  </si>
  <si>
    <t>Can we predict the duration of an interglacial?</t>
  </si>
  <si>
    <t>GLACIAL INCEPTION; SEA-LEVEL; CLIMATE MODEL; ICE CORES; MARINE; CYCLES; TEMPERATURE; SENSITIVITY; CH4; CO2</t>
  </si>
  <si>
    <t>Differences in the duration of interglacials have long been apparent in palaeoclimate records of the Late and Middle Pleistocene. However, a systematic evaluation of such differences has been hampered by the lack of a metric that can be applied consistently through time and by difficulties in separating the local from the global component in various proxies. This, in turn, means that a theoretical framework with predictive power for interglacial duration has remained elusive. Here we propose that the interval between the terminal oscillation of the bipolar seesaw and three thousand years (kyr) before its first major reactivation provides an estimate that approximates the length of the sea-level high-stand, a measure of interglacial duration. We apply this concept to interglacials of the last 800 kyr by using a recently-constructed record of interhemispheric variability. The onset of interglacials occurs within 2 kyr of the boreal summer insolation maximum/precession minimum and is consistent with the canonical view of Milankovitch forcing pacing the broad timing of interglacials. Glacial inception always takes place when obliquity is decreasing and never after the obliquity minimum. The phasing of precession and obliquity appears to influence the persistence of interglacial conditions over one or two insolation peaks, leading to shorter (similar to 13 kyr) and longer (similar to 28 kyr) interglacials. Glacial inception occurs approximately 10 kyr after peak interglacial conditions in temperature and CO2, representing a characteristic timescale of interglacial decline. Second-order differences in duration may be a function of stochasticity in the climate system, or small variations in background climate state and the magnitude of feedbacks and mechanisms contributing to glacial inception, and as such, difficult to predict. On the other hand, the broad duration of an interglacial may be determined by the phasing of astronomical parameters and the history of insolation, rather than the instantaneous forcing strength at inception.</t>
  </si>
  <si>
    <t>[Tzedakis, P. C.] UCL, Dept Geog, Environm Change Res Ctr, London WC1E 6BT, England; [Wolff, E. W.] British Antarctic Survey, Cambridge CB3 0ET, England; [Skinner, L. C.; Hodell, D. A.] Univ Cambridge, Dept Earth Sci, Cambridge CB2 3EQ, England; [Brovkin, V.] Max Planck Inst Meteorol, D-20146 Hamburg, Germany; [McManus, J. F.] Columbia Univ, Lamont Doherty Earth Observ, Palisades, NY 10964 USA; [Raynaud, D.] Univ Grenoble 1, CNRS, Lab Glaciol &amp; Geophys Environm, F-38402 St Martin Dheres, France</t>
  </si>
  <si>
    <t>University of London; University College London; UK Research &amp; Innovation (UKRI); Natural Environment Research Council (NERC); NERC British Antarctic Survey; University of Cambridge; Max Planck Society; Columbia University; Centre National de la Recherche Scientifique (CNRS); Communaute Universite Grenoble Alpes; Universite Grenoble Alpes (UGA)</t>
  </si>
  <si>
    <t>Tzedakis, PC (corresponding author), UCL, Dept Geog, Environm Change Res Ctr, Mortimer St, London WC1E 6BT, England.</t>
  </si>
  <si>
    <t>p.c.tzedakis@ucl.ac.uk</t>
  </si>
  <si>
    <t>raynaud, dominique/ABG-4718-2020; Brovkin, Victor/I-7450-2012; IPO, PAGES/JXY-7546-2024; Wolff, Eric W/D-7925-2014; Tzedakis, Polychronis C/J-1894-2012; Raynaud, Dominique/H-9626-2016; Brovkin, Victor/C-2803-2016</t>
  </si>
  <si>
    <t>Wolff, Eric W/0000-0002-5914-8531; Brovkin, Victor/0000-0001-6420-3198; Hodell, David/0000-0001-8537-1588; Tzedakis, Polychronis/0000-0001-6072-1166; mcmanus, jerry/0000-0002-7365-1600</t>
  </si>
  <si>
    <t>UK Natural Environment Research Council; Natural Environment Research Council [NE/I009639/1, NE/H014292/1, bas0100024, NE/H009930/1] Funding Source: researchfish; Division Of Earth Sciences; Directorate For Geosciences [1023724] Funding Source: National Science Foundation; NERC [NE/H014292/1, NE/H009930/1, NE/I009639/1, bas0100024] Funding Source: UKRI</t>
  </si>
  <si>
    <t>UK Natural Environment Research Council(UK Research &amp; Innovation (UKRI)Natural Environment Research Council (NERC)); Natural Environment Research Council(UK Research &amp; Innovation (UKRI)Natural Environment Research Council (NERC)); Division Of Earth Sciences; Directorate For Geosciences(National Science Foundation (NSF)NSF - Directorate for Geosciences (GEO)); NERC(UK Research &amp; Innovation (UKRI)Natural Environment Research Council (NERC))</t>
  </si>
  <si>
    <t>We are grateful to members of the Past Interglacials (PIGS) working group of the Past Global Changes (PAGES) project for discussions, especially Kenji Kawamura, Mark Maslin, Frederic Parrenin and Bill Thompson. We thank two reviewers for their insightful comments and, in particular, Michel Crucifix for distilling the main points of the paper so succinctly. This is a contribution to the PAGES PIGS project. PCT acknowledges support from the UK Natural Environment Research Council.</t>
  </si>
  <si>
    <t>10.5194/cp-8-1473-2012</t>
  </si>
  <si>
    <t>029BU</t>
  </si>
  <si>
    <t>WOS:000310470600007</t>
  </si>
  <si>
    <t>Wheatley, JJ; Blackwell, PG; Abram, NJ; McConnell, JR; Thomas, ER; Wolff, EW</t>
  </si>
  <si>
    <t>Wheatley, J. J.; Blackwell, P. G.; Abram, N. J.; McConnell, J. R.; Thomas, E. R.; Wolff, E. W.</t>
  </si>
  <si>
    <t>Automated ice-core layer-counting with strong univariate signals</t>
  </si>
  <si>
    <t>We present an automated process for determining the annual layer chronology of an ice-core with a strong annual signal, utilising the hydrogen peroxide record from an Antarctic Peninsula ice-core as a test signal on which to count annual cycles and explain the methods. The signal is de-trended and normalised before being split into sections with a deterministic cycle count and those that need more attention. Possible reconstructions for the uncertain sections are determined which could be used as a visual aid for manual counting, and a simple method for assigning probability measures to each reconstruction is discussed. The robustness of this process is explored by applying it to versions of two different chemistry signals from the same stretch of the NGRIP (North Greenland Ice Core Project) ice-core, which shows more variation in annual layer thickness, with and without thinning to mimic poorer quality data. An adapted version of these methods is applied to the more challenging non-sea-salt sulphur signal from the same Antarctic Peninsula core from which the hydrogen peroxide signal was taken. These methods could readily be adapted for use on much longer datasets, thereby reducing manual effort and providing a robust automated layer-counting methodology.</t>
  </si>
  <si>
    <t>[Wheatley, J. J.; Blackwell, P. G.] Univ Sheffield, Sch Math &amp; Stat, Sheffield S10 2TN, S Yorkshire, England; [Abram, N. J.] Australian Natl Univ, Res Sch Earth Sci, Canberra, ACT 0200, Australia; [McConnell, J. R.] Desert Res Inst, Reno, NV 89512 USA; [Thomas, E. R.; Wolff, E. W.] British Antarctic Survey, Cambridge CB3 0ET, England</t>
  </si>
  <si>
    <t>University of Sheffield; Australian National University; Nevada System of Higher Education (NSHE); Desert Research Institute NSHE; UK Research &amp; Innovation (UKRI); Natural Environment Research Council (NERC); NERC British Antarctic Survey</t>
  </si>
  <si>
    <t>Wheatley, JJ (corresponding author), Univ Sheffield, Sch Math &amp; Stat, Sheffield S10 2TN, S Yorkshire, England.</t>
  </si>
  <si>
    <t>j.wheatley@shef.ac.uk</t>
  </si>
  <si>
    <t>Wolff, Eric W/D-7925-2014; Blackwell, Paul/F-2885-2017; Thomas, Elizabeth Ruth/ADF-3660-2022; Abram, Nerilie/AAT-5171-2021</t>
  </si>
  <si>
    <t>Wolff, Eric W/0000-0002-5914-8531; Thomas, Elizabeth Ruth/0000-0002-3010-6493; Abram, Nerilie/0000-0003-1246-2344</t>
  </si>
  <si>
    <t>Natural Environment Research Council [NE/I52797X/1]; NERC [bas0100024] Funding Source: UKRI; Office of Polar Programs (OPP); Directorate For Geosciences [0839093] Funding Source: National Science Foundation; Natural Environment Research Council [bas0100024] Funding Source: researchfish</t>
  </si>
  <si>
    <t>Natural Environment Research Council(UK Research &amp; Innovation (UKRI)Natural Environment Research Council (NERC)); 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</si>
  <si>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This work was supported by the Natural Environment Research Council (grant reference: NE/I52797X/1). We thank the Division for Climate and Environmental Physics, Physics Institute, University of Bern, for providing high-resolution CFA data from the NGRIP ice-core to test our method. We are grateful for valuable comments on an earlier version from H. Fischer, M. Mudelsee and S. Rasmussen.</t>
  </si>
  <si>
    <t>10.5194/cp-8-1869-2012</t>
  </si>
  <si>
    <t>058XP</t>
  </si>
  <si>
    <t>WOS:000312668700006</t>
  </si>
  <si>
    <t>Herrmann, M; Najjar, RG; Neeley, AR; Vila-Costa, M; Dacey, JWH; DiTullio, GR; Kieber, DJ; Kiene, RP; Matrai, PA; Simó, R; Vernet, M</t>
  </si>
  <si>
    <t>Herrmann, Maria; Najjar, Raymond G.; Neeley, Aimee R.; Vila-Costa, Maria; Dacey, John W. H.; DiTullio, Giacomo R.; Kieber, David J.; Kiene, Ronald P.; Matrai, Patricia A.; Simo, Rafel; Vernet, Maria</t>
  </si>
  <si>
    <t>Diagnostic modeling of dimethylsulfide production in coastal water west of the Antarctic Peninsula</t>
  </si>
  <si>
    <t>CONTINENTAL SHELF RESEARCH</t>
  </si>
  <si>
    <t>Dimethylsulfide; DMS; Dimethylsulfoniopropionate; DMSP; Antarctic Peninsula; Palmer Station</t>
  </si>
  <si>
    <t>DIMETHYLATED SULFUR-COMPOUNDS; SOUTHERN-OCEAN; DIMETHYLSULFONIOPROPIONATE DMSP; ATMOSPHERIC SULFUR; SARGASSO SEA; ROSS SEA; SULFIDE; DYNAMICS; SUMMER; PHYTOPLANKTON</t>
  </si>
  <si>
    <t>The rate of gross biological dimethylsulfide (DMS) production at two coastal sites west of the Antarctic Peninsula, off Anvers Island, near Palmer Station, was estimated using a diagnostic approach that combined field measurements from 1 January 2006 through 1 March 2006 and a one-dimensional physical model of ocean mixing. The average DMS production rate in the upper water column (0-60 m) was estimated to be 3.1 +/- 0.6 nM d(-1) at station B (closer to shore) and 2.7 +/- 0.6 nM d(-1) at station E (further from shore). The estimated DMS replacement time was on the order of 1 d at both stations. DMS production was greater in the mixed layer than it was below the mixed layer. The average DMS production normalized to chlorophyll was 0.5 +/- 0.1 (nM d(-1))/(mg m(-3)) at station B and 0.7 +/- 0.2 (nM d(-1))/(mg m(-3)) at station E. When the diagnosed production rates were normalized to the observed concentrations of total dimethylsulfoniopropionate (DMSPt, the biogenic precursor of DMS), we found a remarkable similarity between our estimates at stations B and E (0.06 +/- 0.02 and 0.04 +/- 0.01 (nM DMS d(-1))/(nM DMSP), respectively) and the results obtained in a previous study from a contrasting biogeochemical environment in the North Atlantic subtropical gyre (0.047 +/- 0.006 and 0.087 +/- 0.014 (nM DMS d(-1))/(nM DMSP) in a cyclonic and anticyclonic eddy, respectively). We propose that gross biological DMS production normalized to DMSPt might be relatively independent of the biogeochemical environment, and place our average estimate at 0.06 +/- 0.01 (nM DMS d(-1))/(nM DMSPt). The significance of this finding is that it can provide a means to use DMSPt measurements to extrapolate gross biological DMS production, which is extremely difficult to measure experimentally under realistic in situ conditions. (C) 2011 Elsevier Ltd. All rights reserved.</t>
  </si>
  <si>
    <t>[Herrmann, Maria; Najjar, Raymond G.] Penn State Univ, Dept Meteorol, University Pk, PA 16802 USA; [Neeley, Aimee R.] NASA, Goddard Space Flight Ctr, Ocean Ecol Branch, Washington, DC USA; [Vila-Costa, Maria] Ctr Estudis Avancats Blanes CSIC, Grp Limnol, Dept Continental Ecol, Blanes, Catalunya, Spain; [Dacey, John W. H.] Woods Hole Oceanog Inst, Dept Biol, Woods Hole, MA 02543 USA; [DiTullio, Giacomo R.] Univ Charleston, Grice Marine Lab, Charleston, SC 29412 USA; [Kieber, David J.] SUNY Syracuse, Dept Chem, Coll Environm Sci &amp; Forestry, Syracuse, NY USA; [Kiene, Ronald P.] Univ S Alabama, Dauphin Isl Sea Lab, Dauphin Isl, AL 36528 USA; [Matrai, Patricia A.] Bigelow Lab Ocean Sci, W Boothbay Harbor, ME 04575 USA; [Simo, Rafel] CSIC, Inst Ciencies Mar, E-08003 Barcelona, Spain; [Vernet, Maria] Univ Calif San Diego, Integrat Oceanog Div, Scripps Inst Oceanog, La Jolla, CA 92093 USA</t>
  </si>
  <si>
    <t>Pennsylvania Commonwealth System of Higher Education (PCSHE); Pennsylvania State University; Pennsylvania State University - University Park; National Aeronautics &amp; Space Administration (NASA); NASA Goddard Space Flight Center; Consejo Superior de Investigaciones Cientificas (CSIC); CSIC - Centre d'Estudis Avancats de Blanes (CEAB); Woods Hole Oceanographic Institution; College of Charleston; State University of New York (SUNY) System; State University of New York (SUNY) College of Environmental Science &amp; Forestry; Dauphin Island Sea Lab; University of South Alabama; Bigelow Laboratory for Ocean Sciences; Consejo Superior de Investigaciones Cientificas (CSIC); CSIC - Centro Mediterraneo de Investigaciones Marinas y Ambientales (CMIMA); CSIC - Instituto de Ciencias del Mar (ICM); University of California System; University of California San Diego; Scripps Institution of Oceanography</t>
  </si>
  <si>
    <t>Herrmann, M (corresponding author), Penn State Univ, Dept Meteorol, 503 Walker Bldg, University Pk, PA 16802 USA.</t>
  </si>
  <si>
    <t>mxh367@psu.edu; najjar@meteo.psu.edu; phytogirl79@comcast.net; mariavila@ceab.csic.es; jdacey@whoi.edu; ditullioj@cofc.edu; djkieber@esf.edu; rkiene@disl.org; pmatrai@bigelow.org; rsimo@icm.csic.es; mvernet@ucsd.edu</t>
  </si>
  <si>
    <t>; Vila-Costa, Maria/L-4833-2014</t>
  </si>
  <si>
    <t>Simo, Rafel/0000-0003-3276-7663; Vila-Costa, Maria/0000-0003-1730-8418</t>
  </si>
  <si>
    <t>National Science Foundation (NSF) Office of Polar Programs (OPP) [OPP-0083078]; NSF [OPP-0537827, OPP-0338147, OPP-0230028]; Directorate For Geosciences; Office of Polar Programs (OPP) [0944686] Funding Source: National Science Foundation; Directorate For Geosciences; Office of Polar Programs (OPP) [0944659] Funding Source: National Science Foundation; Division Of Ocean Sciences; Directorate For Geosciences [0928968] Funding Source: National Science Foundation</t>
  </si>
  <si>
    <t>National Science Foundation (NSF) Office of Polar Programs (OPP)(National Science Foundation (NSF)); 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t>
  </si>
  <si>
    <t>We are grateful to the GOTM-developer team: Hans Burchard, Karsten Bolding, Lars Umlauf, and Hannes Rennau. We also deeply appreciate the logistical collaboration and support of the Palmer Station LTER and the resident teams at the time of the field campaign, with special thanks to K. McElroy and G.R. Westby. This research was supported by the National Science Foundation (NSF) Office of Polar Programs (OPP) under Grant OPP-0083078 to P.A. Matrai. Data from the Palmer LTER data archive were supported by NSF Grant OPP-0217282. Meteorological data were supported by NSF Grants OPP-0537827, OPP-0338147, and OPP-0230028. Surface solar radiation data were provided by the NSF UV Monitoring Network, operated by Biospherical Instruments Inc. under a contract from the NSF OPP via Raytheon Polar Services Company.</t>
  </si>
  <si>
    <t>0278-4343</t>
  </si>
  <si>
    <t>1873-6955</t>
  </si>
  <si>
    <t>CONT SHELF RES</t>
  </si>
  <si>
    <t>Cont. Shelf Res.</t>
  </si>
  <si>
    <t>10.1016/j.csr.2011.10.017</t>
  </si>
  <si>
    <t>888DF</t>
  </si>
  <si>
    <t>WOS:000299983300008</t>
  </si>
  <si>
    <t>Halpin, JA; Daczko, NR; Milan, LA; Clarke, GL</t>
  </si>
  <si>
    <t>Halpin, J. A.; Daczko, N. R.; Milan, L. A.; Clarke, G. L.</t>
  </si>
  <si>
    <t>Decoding near-concordant U-Pb zircon ages spanning several hundred million years: recrystallisation, metamictisation or diffusion?</t>
  </si>
  <si>
    <t>CONTRIBUTIONS TO MINERALOGY AND PETROLOGY</t>
  </si>
  <si>
    <t>Rayner Orogen; Mawson Charnockite; East Antarctica; Hf-isotopes; Trace elements; Pb-loss; Laser Ablation-Inductively Coupled Plasma Mass Spectrometer</t>
  </si>
  <si>
    <t>HIGH-GRADE METAMORPHISM; EAST ANTARCTIC SHIELD; RAYNER COMPLEX; LU-HF; TRACE-ELEMENT; WESTERN-AUSTRALIA; NATURAL ZIRCON; OYGARDEN GROUP; ARCHEAN CRUST; KEMP LAND</t>
  </si>
  <si>
    <t>In situ isotopic (U-Pb, Lu-Hf) and trace element analyses of zircon populations in six samples of the intrusive Mawson Charnockite, east Antarctica, emphasise complex zircon behaviour during very high-grade metamorphism. The combination of geochemical data sets is used to distinguish xenocrysts and identify a population of primary igneous zircon in situations where U-Pb data spread close to concordia over a few hundred Myr. The population is filtered to exclude grains with: (1) U-Pb ages &gt;d2% discordant, (2) anomalous trace element-content (Th, U, Y, REE) and (3) outlying Hf-isotopic values. Rare metamorphic-type grains were also excluded. Upon filtering the population, minimum emplacement ages for each sample were determined using the oldest grain(s). This approach improves upon age determinations in complex data sets that use weighted mean or isochron methods. Our results suggest that the Mawson Charnockite was emplaced episodically at c. 1145-1140 Ma, c. 1080-1050 Ma and c. 985-960 Ma. Core-outer core-rim and core-rim textures were identified but are not correlated with U-Pb ages. We establish that recrystallisation (mainly of zircon rims) must have occurred shortly following igneous crystallisation and that metamictisation/cracking is a Paleozoic to Recent event. Therefore, intra-zircon diffusion in a high-T, high-strain environment during Meso-Neoproterozoic orogenesis is inferred to have caused the extensive U-Pb isotopic disturbance. Charnockitic magmatism prior to c. 1,000 Ma has not previously been recorded in the Mawson region and indicates that orogenesis may have commenced c. 150 Myr earlier than previously thought. Correlations with similar aged rocks in adjacent regions have implications for supercontinent reconstructions.</t>
  </si>
  <si>
    <t>[Halpin, J. A.] Univ Tasmania, ARC Ctr Excellence Ore Deposits, Hobart, Tas 7001, Australia; [Halpin, J. A.; Daczko, N. R.; Milan, L. A.] Macquarie Univ, Dept Earth &amp; Planetary Sci, GEMOC ARC Natl Key Ctr, Sydney, NSW 2109, Australia; [Clarke, G. L.] Univ Sydney, Sch Geosci, Sydney, NSW 2006, Australia</t>
  </si>
  <si>
    <t>University of Tasmania; Macquarie University; University of Sydney</t>
  </si>
  <si>
    <t>Halpin, JA (corresponding author), Univ Tasmania, ARC Ctr Excellence Ore Deposits, Private Bag 126, Hobart, Tas 7001, Australia.</t>
  </si>
  <si>
    <t>jahalpin@utas.edu.au</t>
  </si>
  <si>
    <t>Halpin, Jacqueline A/A-3776-2014; Clarke, Geoffrey/O-9307-2019; GAU, geochemist/H-1985-2016; Milan, Luke/IXW-9916-2023; Clarke, Geoffrey L/I-9514-2012</t>
  </si>
  <si>
    <t>Halpin, Jacqueline A/0000-0002-4992-8681; Clarke, Geoffrey/0000-0001-6909-6643; Milan, Luke/0000-0003-3996-0992; Daczko, Nathan/0000-0002-3737-3818</t>
  </si>
  <si>
    <t>Antarctic Science Advisory Committee (ASAC) [1150]; DEST; ARC LIEF; NCRIS; Macquarie University [9200900498]</t>
  </si>
  <si>
    <t>Antarctic Science Advisory Committee (ASAC); DEST(Australian GovernmentDepartment of Industry, Innovation and Science); ARC LIEF(Australian Research Council); NCRIS(Australian GovernmentDepartment of Industry, Innovation and Science); Macquarie University</t>
  </si>
  <si>
    <t>Fieldwork for this study was completed with funding from the Antarctic Science Advisory Committee (ASAC Project No. 1150). Samples were collected during the 2004/2005 (by LAM and JAH) and 1990/1991 (by Richard White) Australian National Antarctic Research Expeditions. The authors thank the Australian Antarctic Division and personnel of Mawson Base for their logistic support, and M. Fitzpatrick for expert guidance in the field. M. Morffew of the Australian Antarctic Data Centre provided the map of the Mawson Coast. We are grateful to J. Payne, N. Pearson, E. Belousova and S. Piazolo (GEMOC, Macquarie University) and K. Goemann (CSL, University of Tasmania) for help with analytical work and interpretation of munted zircon. The authors would like to thank two anonymous reviewers for their careful and constructive reviews, which greatly improved the paper. This is contribution 758 from the Australian Research Council National Key Centre for the Geochemical Evolution and Metallogeny of Continents (http://www.gemoc.mq.edu.au). The analytical data were obtained using instrumentation funded by DEST Systemic Infrastructure Grants, ARC LIEF, NCRIS, industry partners and Macquarie University. Macquarie University Research Development Grant (MQRDG, grant ref. 9200900498) funding provided financial support to conduct the research.</t>
  </si>
  <si>
    <t>0010-7999</t>
  </si>
  <si>
    <t>1432-0967</t>
  </si>
  <si>
    <t>CONTRIB MINERAL PETR</t>
  </si>
  <si>
    <t>Contrib. Mineral. Petrol.</t>
  </si>
  <si>
    <t>10.1007/s00410-011-0659-7</t>
  </si>
  <si>
    <t>Geochemistry &amp; Geophysics; Mineralogy</t>
  </si>
  <si>
    <t>881UD</t>
  </si>
  <si>
    <t>WOS:000299514200005</t>
  </si>
  <si>
    <t>Favier, L; Gagliardini, O; Durand, G; Zwinger, T</t>
  </si>
  <si>
    <t>Favier, L.; Gagliardini, O.; Durand, G.; Zwinger, T.</t>
  </si>
  <si>
    <t>A three-dimensional full Stokes model of the grounding line dynamics: effect of a pinning point beneath the ice shelf</t>
  </si>
  <si>
    <t>CRYOSPHERE</t>
  </si>
  <si>
    <t>SEA-LEVEL RISE; FINITE-ELEMENT; SHEET; FLOW; ZONE</t>
  </si>
  <si>
    <t>The West Antarctic ice sheet is confined by a large area of ice shelves, fed by inland ice through fast flowing ice streams. The dynamics of the grounding line, which is the line-boundary between grounded ice and the downstream ice shelf, has a major influence on the dynamics of the whole ice sheet. However, most ice sheet models use simplifications of the flow equations, as they do not include all the stress components, and are known to fail in their representation of the grounding line dynamics. Here, we present a 3-D full Stokes model of a marine ice sheet, in which the flow problem is coupled with the evolution of the upper and lower free surfaces, and the position of the grounding line is determined by solving a contact problem between the shelf/sheet lower surface and the bedrock. Simulations are performed using the open-source finite-element code Elmer/Ice within a parallel environment. The model's ability to cope with a curved grounding line and the effect of a pinning point beneath the ice shelf are investigated through prognostic simulations. Starting from a steady state, the sea level is slightly decreased to create a contact point between a seamount and the ice shelf. The model predicts a dramatic decrease of the shelf velocities, leading to an advance of the grounding line until both grounded zones merge together, during which an ice rumple forms above the contact area at the pinning point. Finally, we show that once the contact is created, increasing the sea level to its initial value does not release the pinning point and has no effect on the ice dynamics, indicating a stabilising effect of pinning points.</t>
  </si>
  <si>
    <t>[Favier, L.; Gagliardini, O.; Durand, G.] UJF Grenoble, CNRS, Lab Glaciol &amp; Geophys Environm, St Martin Dheres, France; [Gagliardini, O.] Inst Univ France, Paris, France; [Zwinger, T.] CSC IT Ctr Sci Ltd, Espoo, Finland</t>
  </si>
  <si>
    <t>Centre National de la Recherche Scientifique (CNRS); Communaute Universite Grenoble Alpes; Universite Grenoble Alpes (UGA); Institut Universitaire de France; Finnish IT center for science</t>
  </si>
  <si>
    <t>Favier, L (corresponding author), UJF Grenoble, CNRS, Lab Glaciol &amp; Geophys Environm, St Martin Dheres, France.</t>
  </si>
  <si>
    <t>lionel.favier@lgge.obs.ujf-grenoble.fr</t>
  </si>
  <si>
    <t>Gagliardini, Olivier/GQQ-1222-2022; Zwinger, Thomas/H-5163-2018</t>
  </si>
  <si>
    <t>Gagliardini, Olivier/0000-0001-9162-3518; Durand, Gael/0000-0001-8979-2355; favier, lionel/0000-0002-5392-3031; Zwinger, Thomas/0000-0003-3360-4401</t>
  </si>
  <si>
    <t>European Union [226375]; CNRS-INSU</t>
  </si>
  <si>
    <t>European Union(European Union (EU)); CNRS-INSU(Centre National de la Recherche Scientifique (CNRS))</t>
  </si>
  <si>
    <t>This work was supported by funding from the ice2sea programme from the European Union 7th Framework Programme, grant number 226375. Ice2sea contribution number ice2seaO43. Computations presented in the paper were performed at the CSC - IT Center for Science (Finland) and at the Centre Informatique National de l'Enseignement Superieur (CINES, France). The authors would like to thank the efficient assistance given by the Elmer developers.; The publication of this article is financed by CNRS-INSU.</t>
  </si>
  <si>
    <t>1994-0416</t>
  </si>
  <si>
    <t>1994-0424</t>
  </si>
  <si>
    <t>Cryosphere</t>
  </si>
  <si>
    <t>10.5194/tc-6-101-2012</t>
  </si>
  <si>
    <t>891OO</t>
  </si>
  <si>
    <t>WOS:000300226700007</t>
  </si>
  <si>
    <t>Luckman, A; Jansen, D; Kulessa, B; King, EC; Sammonds, P; Benn, DI</t>
  </si>
  <si>
    <t>Luckman, A.; Jansen, D.; Kulessa, B.; King, E. C.; Sammonds, P.; Benn, D. I.</t>
  </si>
  <si>
    <t>Basal crevasses in Larsen C Ice Shelf and implications for their global abundance</t>
  </si>
  <si>
    <t>FRACTURE-MECHANICS APPROACH; BOTTOM CREVASSES; ANTARCTIC PENINSULA; GLACIER; RADAR; PENETRATION; PROPAGATION; STABILITY; COLLAPSE; MODEL</t>
  </si>
  <si>
    <t>Basal crevasses extend upwards from the base of ice bodies and can penetrate more than halfway through the ice column under conditions found commonly on ice shelves. As a result, they may locally modify the exchange of mass and energy between ice shelf and ocean, and by altering the shelf's mechanical properties could play a fundamental role in ice shelf stability. Although early studies revealed that such features may be abundant on Antarctic ice shelves, their geometrical properties and spatial distribution has gained little attention. We investigate basal crevasses in Larsen C Ice Shelf using field radar survey, remote sensing and numerical modelling. We demonstrate that a group of features visible in MODIS imagery are the surface expressions of basal crevasses in the form of surface troughs, and find that basal crevasses can be generated as a result of stresses well downstream of the grounding line. We show that linear elastic fracture mechanics modelling is a good predictor of basal crevasse penetration height where stresses are predominantly tensile, and that measured surface trough depth does not always reflect this height, probably because of snow accumulation in the trough, marine ice accretion in the crevasse, or stress bridging from the surrounding ice. We conclude that all features visible in MODIS imagery of ice shelves and previously labelled simply as crevasses, where they are not full thickness rifts, must be basal crevasse troughs, highlighting a fundamental structural property of many ice shelves that may have been previously overlooked.</t>
  </si>
  <si>
    <t>[Luckman, A.; Jansen, D.; Kulessa, B.] Swansea Univ, Coll Sci, Swansea, W Glam, Wales; [King, E. C.] British Antarctic Survey, Cambridge CB3 0ET, England; [Sammonds, P.] UCL, Dept Earth Sci, London WC1E 6BT, England; [Benn, D. I.] Univ Ctr Svalbard, N-9171 Longyearbyen, Norway; [Benn, D. I.] Univ St Andrews, Dept Geog, St Andrews KY16 9AJ, Fife, Scotland</t>
  </si>
  <si>
    <t>Swansea University; UK Research &amp; Innovation (UKRI); Natural Environment Research Council (NERC); NERC British Antarctic Survey; University of London; University College London; University Centre Svalbard (UNIS); University of St Andrews</t>
  </si>
  <si>
    <t>Luckman, A (corresponding author), Swansea Univ, Coll Sci, Swansea, W Glam, Wales.</t>
  </si>
  <si>
    <t>a.luckman@swansea.ac.uk</t>
  </si>
  <si>
    <t>Jansen, Daniela/AAG-2773-2019; Facility, NERC Geophysical Equipment/G-5260-2010; Luckman, Adrian/GVS-1716-2022</t>
  </si>
  <si>
    <t>Jansen, Daniela/0000-0002-4412-5820; Luckman, Adrian/0000-0002-9618-5905; Kulessa, Bernd/0000-0002-4830-4949</t>
  </si>
  <si>
    <t>UK Natural Environment Research Council through the Antarctic Funding Initiative (AFI) [NE/E012914/1]; Natural Environment Research Council [bas0100027, NE/E012914/1, NE/I016678/1, NE/E013414/1] Funding Source: researchfish; NERC [NE/E013414/1, NE/I016678/1, NE/E012914/1, bas0100027] Funding Source: UKRI</t>
  </si>
  <si>
    <t>UK Natural Environment Research Council through the Antarctic Funding Initiative (AFI); Natural Environment Research Council(UK Research &amp; Innovation (UKRI)Natural Environment Research Council (NERC)); NERC(UK Research &amp; Innovation (UKRI)Natural Environment Research Council (NERC))</t>
  </si>
  <si>
    <t>This project was funded by the UK Natural Environment Research Council through the Antarctic Funding Initiative (AFI) (NE/E012914/1). GPR and GPS equipment was kindly loaned by the NERC Geophysical Equipment Facility (GEF-905). We would particularly like to thank Neil Glasser for sharing DISP data with us, and Catrin Thomas for assistance during the field campaign.</t>
  </si>
  <si>
    <t>10.5194/tc-6-113-2012</t>
  </si>
  <si>
    <t>WOS:000300226700008</t>
  </si>
  <si>
    <t>Gruber, S</t>
  </si>
  <si>
    <t>Gruber, S.</t>
  </si>
  <si>
    <t>Derivation and analysis of a high-resolution estimate of global permafrost zonation</t>
  </si>
  <si>
    <t>SURFACE-TEMPERATURE; MOUNTAIN PERMAFROST; SNOW COVER; CLIMATE; DEGRADATION; ALASKA; RECOMMENDATIONS; INFRASTRUCTURE; HETEROGENEITY; ENVIRONMENT</t>
  </si>
  <si>
    <t>Permafrost underlies much of Earth's surface and interacts with climate, eco-systems and human systems. It is a complex phenomenon controlled by climate and (sub-) surface properties and reacts to change with variable delay. Heterogeneity and sparse data challenge the modeling of its spatial distribution. Currently, there is no data set to adequately inform global studies of permafrost. The available data set for the Northern Hemisphere is frequently used for model evaluation, but its quality and consistency are difficult to assess. Here, a global model of permafrost extent and dataset of permafrost zonation are presented and discussed, extending earlier studies by including the Southern Hemisphere, by consistent data and methods, by attention to uncertainty and scaling. Established relationships between air temperature and the occurrence of permafrost are re-formulated into a model that is parametrized using published estimates. It is run with a high-resolution (&lt; 1 km) global elevation data and air temperatures based on the NCAR-NCEP reanalysis and CRU TS 2.0. The resulting data provide more spatial detail and a consistent extrapolation to remote regions, while aggregated values resemble previous studies. The estimated uncertainties affect regional patterns and aggregate number, and provide interesting insight. The permafrost area, i.e. the actual surface area underlain by permafrost, north of 60 degrees S is estimated to be 13-18 x 10(6) km(2) or 9-14% of the exposed land surface. The global permafrost area including Antarctic and sub-sea permafrost is estimated to be 16-21 x 10(6) km(2). The global permafrost region, i.e. the exposed land surface below which some permafrost can be expected, is estimated to be 22 +/- 3 x 10(6) km(2). A large proportion of this exhibits considerable topography and spatially-discontinuous permafrost, underscoring the importance of attention to scaling issues and heterogeneity in large-area models.</t>
  </si>
  <si>
    <t>Univ Zurich, Dept Geog, CH-8006 Zurich, Switzerland</t>
  </si>
  <si>
    <t>University of Zurich</t>
  </si>
  <si>
    <t>Gruber, S (corresponding author), Univ Zurich, Dept Geog, CH-8006 Zurich, Switzerland.</t>
  </si>
  <si>
    <t>stephan.gruber@geo.uzh.ch</t>
  </si>
  <si>
    <t>Gruber, Stephan/E-3884-2010</t>
  </si>
  <si>
    <t>Gruber, Stephan/0000-0002-1079-1542</t>
  </si>
  <si>
    <t>10.5194/tc-6-221-2012</t>
  </si>
  <si>
    <t>976CN</t>
  </si>
  <si>
    <t>Green Published, gold</t>
  </si>
  <si>
    <t>WOS:000306558200002</t>
  </si>
  <si>
    <t>Munneke, PK; van den Broeke, MR; King, JC; Gray, T; Reijmer, CH</t>
  </si>
  <si>
    <t>Munneke, P. Kuipers; van den Broeke, M. R.; King, J. C.; Gray, T.; Reijmer, C. H.</t>
  </si>
  <si>
    <t>Near-surface climate and surface energy budget of Larsen C ice shelf, Antarctic Peninsula</t>
  </si>
  <si>
    <t>BOUNDARY-LAYER; COLLAPSE; RADIATION; BALANCE; SNOW; GLACIERS</t>
  </si>
  <si>
    <t>Data collected by two automatic weather stations (AWS) on the Larsen C ice shelf, Antarctica, between 22 January 2009 and 1 February 2011 are analyzed and used as input for a model that computes the surface energy budget (SEB), which includes melt energy. The two AWSs are separated by about 70 km in the north-south direction, and both the near-surface meteorology and the SEB show similarities, although small differences in all components (most notably the melt flux) can be seen. The impact of subsurface absorption of shortwave radiation on melt and snow temperature is significant, and discussed. In winter, longwave cooling of the surface is entirely compensated by a downward turbulent transport of sensible heat. In summer, the positive net radiative flux is compensated by melt, and quite frequently by upward turbulent diffusion of heat and moisture, leading to sublimation and weak convection over the ice shelf. The month of November 2010 is highlighted, when strong westerly flow over the Antarctic Peninsula led to a dry and warm fohn wind over the ice shelf, resulting in warm and sunny conditions. Under these conditions the increase in shortwave and sensible heat fluxes is larger than the decrease of net longwave and latent heat fluxes, providing energy for significant melt.</t>
  </si>
  <si>
    <t>[Munneke, P. Kuipers; van den Broeke, M. R.; Reijmer, C. H.] Univ Utrecht, Inst Marine &amp; Atmospher Res, Utrecht, Netherlands; [King, J. C.; Gray, T.] British Antarctic Survey, Natl Environm Res Council, Cambridge CB3 0ET, England</t>
  </si>
  <si>
    <t>Utrecht University; UK Research &amp; Innovation (UKRI); Natural Environment Research Council (NERC); NERC British Antarctic Survey</t>
  </si>
  <si>
    <t>Munneke, PK (corresponding author), Univ Utrecht, Inst Marine &amp; Atmospher Res, Utrecht, Netherlands.</t>
  </si>
  <si>
    <t>p.kuipersmunneke@uu.nl</t>
  </si>
  <si>
    <t>Reijmer, Carleen H/G-8736-2011; Van den Broeke, Michiel R./F-7867-2011</t>
  </si>
  <si>
    <t>Reijmer, Carleen H/0000-0001-8299-3883; Van den Broeke, Michiel R./0000-0003-4662-7565; Kuipers Munneke, Peter/0000-0001-5555-3831</t>
  </si>
  <si>
    <t>NWO/ALW [818.01.016]; European Union [226375]; UK Natural Environmental Research Council (NERC); NERC [NE/G014124/1, bas0100023] Funding Source: UKRI; Natural Environment Research Council [bas0100023, NE/G014124/1] Funding Source: researchfish</t>
  </si>
  <si>
    <t>NWO/ALW(Netherlands Organization for Scientific Research (NWO)); European Union(European Union (EU)); UK Natural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</si>
  <si>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Ian Hey, Ian Potten, Nick Alford (BAS) and Wim Boot (IMAU) for help with installation and maintenance of the two IMAU Automatic Weather Stations. Henk Snellen and Marcel Portanger are thanked for help with the development of the Automatic Weather Stations and data transfer. Phil Anderson (BAS) is thanked for his contribution in the 2011 field experiment at the AWS 14 site. This work was supported partly by funding from NWO/ALW grant 818.01.016, and partly by funding from the ice2sea programme from the European Union 7th Framework Programme, grant number 226375. Ice2sea contribution number 057. The radiosonde measurements presented in Fig. 11 were carried out as part of the project Orographic Flows and the Climate of the Antarctic Peninsula (OFCAP), funded by the UK Natural Environmental Research Council (NERC). Constructive reviews from R. Dadic and D. J. Lampkin have been very much appreciated, and helped to improve this paper.</t>
  </si>
  <si>
    <t>10.5194/tc-6-353-2012</t>
  </si>
  <si>
    <t>942QN</t>
  </si>
  <si>
    <t>WOS:000304062100009</t>
  </si>
  <si>
    <t>Glasser, NF; Gudmundsson, GH</t>
  </si>
  <si>
    <t>Glasser, N. F.; Gudmundsson, G. H.</t>
  </si>
  <si>
    <t>Longitudinal surface structures (flowstripes) on Antarctic glaciers</t>
  </si>
  <si>
    <t>ICE STREAM-B; FLOW STRIPES; SHELF; GLACIOLOGY; FOLIATION; DYNAMICS; IMAGERY; REGIME; FOLDS; LAND</t>
  </si>
  <si>
    <t>Longitudinal surface structures ('flowstripes') are common on many glaciers but their origin and significance are poorly understood. In this paper we present observations of the development of these longitudinal structures from four different Antarctic glacier systems; the Lambert Glacier/Amery Ice Shelf area, the Taylor and Ferrar Glaciers in the Ross Sea sector, Crane and Jorum Glaciers (ice-shelf tributary glaciers) on the Antarctic Peninsula, and the onset zone of a tributary to the Recovery Glacier Ice Stream in the Filchner Ice Shelf area. Mapping from optical satellite images demonstrates that longitudinal surface structures develop in two main situations: (1) as relatively wide flow stripes within glacier flow units and (2) as relatively narrow flow stripes where there is convergent flow around nunataks or at glacier confluence zones. Our observations indicate that the confluence features are narrower, sharper, and more clearly defined features. They are characterised by linear troughs or depressions on the ice surface and are much more common than the former type. Longitudinal surface structures within glacier flow units have previously been explained as the surface expression of localised bed perturbations but a universal explanation for those forming at glacier confluences is lacking. Here we propose that these features are formed at zones of ice acceleration and extensional flow at glacier confluences. We provide a schematic model for the development of longitudinal surface structures based on extensional flow that can explain their ridge and trough morphology as well as their down-ice persistence.</t>
  </si>
  <si>
    <t>[Glasser, N. F.] Aberystwyth Univ, Inst Geog &amp; Earth Sci, Ctr Glaciol, Aberystwyth SY23 3DB, Dyfed, Wales; [Gudmundsson, G. H.] British Antarctic Survey, Cambridge CB3 0ET, England</t>
  </si>
  <si>
    <t>Aberystwyth University; UK Research &amp; Innovation (UKRI); Natural Environment Research Council (NERC); NERC British Antarctic Survey</t>
  </si>
  <si>
    <t>Glasser, NF (corresponding author), Aberystwyth Univ, Inst Geog &amp; Earth Sci, Ctr Glaciol, Aberystwyth SY23 3DB, Dyfed, Wales.</t>
  </si>
  <si>
    <t>nfg@aber.ac.uk</t>
  </si>
  <si>
    <t>Glasser, Neil F/C-1971-2012; Gudmundsson, Gudmundur Hilmar/AAU-5987-2020; Gudmundsson, Gudmundur Hilmar/F-6499-2012</t>
  </si>
  <si>
    <t>Gudmundsson, Gudmundur Hilmar/0000-0003-4236-5369; Gudmundsson, Gudmundur Hilmar/0000-0003-4236-5369; Glasser, Neil/0000-0002-8245-2670</t>
  </si>
  <si>
    <t>NASA; Natural Environment Research Council [bas0100027] Funding Source: researchfish; NERC [bas0100027] Funding Source: UKRI</t>
  </si>
  <si>
    <t>NASA(National Aeronautics &amp; Space Administration (NASA)); Natural Environment Research Council(UK Research &amp; Innovation (UKRI)Natural Environment Research Council (NERC)); NERC(UK Research &amp; Innovation (UKRI)Natural Environment Research Council (NERC))</t>
  </si>
  <si>
    <t>Neil Glasser was provided with no-cost access to ASTER images from NASA as a NASA-supported researcher. Landsat images were taken from the Landsat Image Mosaic of Antarctica (LIMA).</t>
  </si>
  <si>
    <t>10.5194/tc-6-383-2012</t>
  </si>
  <si>
    <t>WOS:000304062100011</t>
  </si>
  <si>
    <t>Weiss, AI; King, JC; Lachlan-Cope, TA; Ladkin, RS</t>
  </si>
  <si>
    <t>Weiss, A. I.; King, J. C.; Lachlan-Cope, T. A.; Ladkin, R. S.</t>
  </si>
  <si>
    <t>Albedo of the ice covered Weddell and Bellingshausen Seas</t>
  </si>
  <si>
    <t>SURFACE ALBEDO; COUPLED MODEL; CLIMATE; VARIABILITY; SNOW; PARAMETERIZATIONS; SENSITIVITY; ANTARCTICA; RADIATION; SHELF</t>
  </si>
  <si>
    <t>This study investigates the surface albedo of the sea ice areas adjacent to the Antarctic Peninsula during the austral summer. Aircraft measurements of the surface albedo, which were conducted in the sea ice areas of the Weddell and Bellingshausen Seas show significant differences between these two regions. The averaged surface albedo varied between 0.13 and 0.81. The ice cover of the Bellingshausen Sea consisted mainly of first year ice and the sea surface showed an averaged sea ice albedo of &lt; span style='border-top: 1px solid #000; color: #000;'&gt;alpha(i) = 0.64 +/- 0.2 (+/- standard deviation). The mean sea ice albedo of the pack ice area in the western Weddell Sea was &lt; span style='border-top: 1px solid #000; color: #000;'&gt;alpha(i) = 0.75 +/- 0.05. In the southern Weddell Sea, where new, young sea ice prevailed, a mean albedo value of &lt; span style='border-top: 1px solid #000; color: #000;'&gt;alpha(i) = 0.38 +/- 0.08 was observed. Relatively warm open water and thin, newly formed ice had the lowest albedo values, whereas relatively cold and snow covered pack ice had the highest albedo values. All sea ice areas consisted of a mixture of a large range of different sea ice types. An investigation of commonly used parameterizations of albedo as a function of surface temperature in the Weddell and Bellingshausen Sea ice areas showed that the albedo parameterizations do not work well for areas with new, young ice.</t>
  </si>
  <si>
    <t>[Weiss, A. I.; King, J. C.; Lachlan-Cope, T. A.; Ladkin, R. S.] British Antarctic Survey, Natl Environm Res Council, Cambridge CB3 0ET, England</t>
  </si>
  <si>
    <t>Weiss, AI (corresponding author), British Antarctic Survey, Natl Environm Res Council, Madingley Rd, Cambridge CB3 0ET, England.</t>
  </si>
  <si>
    <t>aiw@bas.ac.uk</t>
  </si>
  <si>
    <t>NERC [bas0100023] Funding Source: UKRI; Natural Environment Research Council [bas0100023] Funding Source: researchfish</t>
  </si>
  <si>
    <t>10.5194/tc-6-479-2012</t>
  </si>
  <si>
    <t>gold, Green Accepted, Green Submitted</t>
  </si>
  <si>
    <t>WOS:000304062100018</t>
  </si>
  <si>
    <t>Pattyn, F; Schoof, C; Perichon, L; Hindmarsh, RCA; Bueler, E; de Fleurian, B; Durand, G; Gagliardini, O; Gladstone, R; Goldberg, D; Gudmundsson, GH; Huybrechts, P; Lee, V; Nick, FM; Payne, AJ; Pollard, D; Rybak, O; Saito, F; Vieli, A</t>
  </si>
  <si>
    <t>Pattyn, F.; Schoof, C.; Perichon, L.; Hindmarsh, R. C. A.; Bueler, E.; de Fleurian, B.; Durand, G.; Gagliardini, O.; Gladstone, R.; Goldberg, D.; Gudmundsson, G. H.; Huybrechts, P.; Lee, V.; Nick, F. M.; Payne, A. J.; Pollard, D.; Rybak, O.; Saito, F.; Vieli, A.</t>
  </si>
  <si>
    <t>Results of the Marine Ice Sheet Model Intercomparison Project, MISMIP</t>
  </si>
  <si>
    <t>GROUNDING LINE; HIGHER-ORDER; FLOW; SENSITIVITY; DYNAMICS; RETREAT</t>
  </si>
  <si>
    <t>Predictions of marine ice-sheet behaviour require models that are able to robustly simulate grounding line migration. We present results of an intercomparison exercise for marine ice-sheet models. Verification is effected by comparison with approximate analytical solutions for flux across the grounding line using simplified geometrical configurations (no lateral variations, no effects of lateral buttressing). Unique steady state grounding line positions exist for ice sheets on a downward sloping bed, while hysteresis occurs across an overdeepened bed, and stable steady state grounding line positions only occur on the downward-sloping sections. Models based on the shallow ice approximation, which does not resolve extensional stresses, do not reproduce the approximate analytical results unless appropriate parameterizations for ice flux are imposed at the grounding line. For extensional-stress resolving 'shelfy stream' models, differences between model results were mainly due to the choice of spatial discretization. Moving grid methods were found to be the most accurate at capturing grounding line evolution, since they track the grounding line explicitly. Adaptive mesh refinement can further improve accuracy, including fixed grid models that generally perform poorly at coarse resolution. Fixed grid models, with nested grid representations of the grounding line, are able to generate accurate steady state positions, but can be inaccurate over transients. Only one full-Stokes model was included in the intercomparison, and consequently the accuracy of shelfy stream models as approximations of full-Stokes models remains to be determined in detail, especially during transients.</t>
  </si>
  <si>
    <t>[Pattyn, F.; Perichon, L.; Nick, F. M.] Univ Libre Bruxelles, Lab Glaciol, B-1050 Brussels, Belgium; [Schoof, C.] Univ British Columbia, Dept Earth &amp; Ocean Sci, Vancouver, BC V6T 1Z4, Canada; [Hindmarsh, R. C. A.; Gudmundsson, G. H.] British Antarctic Survey, NERC, Div Phys Sci, Cambridge CB3 0ET, England; [Bueler, E.] Univ Alaska, Dept Math &amp; Geophys Inst, Fairbanks, AK 99701 USA; [de Fleurian, B.; Durand, G.; Gagliardini, O.] Univ Grenoble 1, CNRS, LGGE, F-38402 St Martin Dheres, France; [Gladstone, R.; Lee, V.; Payne, A. J.] Univ Bristol, Sch Geog Sci, Bristol Glaciol Ctr, Bristol BS8 1SS, Avon, England; [Goldberg, D.] NYU, Courant Inst Math Sci, New York, NY USA; [Pollard, D.] Penn State Univ, Coll Earth &amp; Mineral Sci, Earth &amp; Environm Syst Inst, University Pk, PA 16802 USA; [Huybrechts, P.; Rybak, O.] Vrije Univ Brussel, Dept Geog, B-1050 Brussels, Belgium; [Saito, F.] Frontier Res Ctr Global Change, Kanazawa Ku, Yokohama, Kanagawa 2360001, Japan; [Vieli, A.] Univ Durham, Dept Geog, Durham, England; [Nick, F. M.] Univ Utrecht, Inst Marine &amp; Atmospher Res, Utrecht, Netherlands</t>
  </si>
  <si>
    <t>Universite Libre de Bruxelles; University of British Columbia; UK Research &amp; Innovation (UKRI); Natural Environment Research Council (NERC); NERC British Antarctic Survey; University of Alaska System; University of Alaska Fairbanks; Communaute Universite Grenoble Alpes; Universite Grenoble Alpes (UGA); Centre National de la Recherche Scientifique (CNRS); University of Bristol; New York University; Pennsylvania Commonwealth System of Higher Education (PCSHE); Pennsylvania State University; Pennsylvania State University - University Park; Vrije Universiteit Brussel; Japan Agency for Marine-Earth Science &amp; Technology (JAMSTEC); Durham University; Utrecht University</t>
  </si>
  <si>
    <t>Pattyn, F (corresponding author), Univ Libre Bruxelles, Lab Glaciol, CP160-03,Av F Roosevelt 50, B-1050 Brussels, Belgium.</t>
  </si>
  <si>
    <t>fpattyn@ulb.ac.be</t>
  </si>
  <si>
    <t>Gagliardini, Olivier/GQQ-1222-2022; Gudmundsson, Gudmundur Hilmar/AAU-5987-2020; Gudmundsson, Gudmundur Hilmar/F-6499-2012; SAITO, Fuyuki/B-8776-2013; Pattyn, Frank/AAA-9640-2019; Rybak, Oleg/AAQ-8467-2020; Rybak, Oleg/B-7308-2014; Hindmarsh, Richard/N-1195-2019; Schoof, Christian/A-8587-2013; Vieli, Andreas/A-6767-2011; Gladstone, Rupert/C-1086-2013; Huybrechts, Philippe/J-5278-2013; payne, antony/A-8916-2008</t>
  </si>
  <si>
    <t>Gagliardini, Olivier/0000-0001-9162-3518; Gudmundsson, Gudmundur Hilmar/0000-0003-4236-5369; Gudmundsson, Gudmundur Hilmar/0000-0003-4236-5369; Pattyn, Frank/0000-0003-4805-5636; Rybak, Oleg/0000-0002-7234-0544; Rybak, Oleg/0000-0003-3923-7163; Hindmarsh, Richard/0000-0003-1633-2416; M. Nick, Faezeh/0009-0002-0432-585X; de Fleurian, Basile/0000-0001-8700-9822; Gladstone, Rupert/0000-0002-1582-3857; Huybrechts, Philippe/0000-0003-1406-0525; SAITO, Fuyuki/0000-0001-5935-9614; payne, antony/0000-0001-8825-8425; Durand, Gael/0000-0001-8979-2355</t>
  </si>
  <si>
    <t>IceCube-Dyn project (Actions de recherche concertees); French Community of Belgium; ice2sea project; European Commission [226375, 75]; NERC [cpom20001, NE/E006256/1, NE/J008095/1, NE/F015526/1, bas0100027] Funding Source: UKRI; Natural Environment Research Council [NE/J008095/1, NE/F015526/1, NE/E006256/1, cpom20001, earth010006, bas0100027] Funding Source: researchfish</t>
  </si>
  <si>
    <t>IceCube-Dyn project (Actions de recherche concertees); French Community of Belgium; ice2sea project; European Commission(European Union (EU)European Commission Joint Research Centre); NERC(UK Research &amp; Innovation (UKRI)Natural Environment Research Council (NERC)); Natural Environment Research Council(UK Research &amp; Innovation (UKRI)Natural Environment Research Council (NERC))</t>
  </si>
  <si>
    <t>This work was supported by both the IceCube-Dyn project (Actions de recherche concertees) funded by the French Community of Belgium and the ice2sea project funded by the European Commission's 7th Framework Programme through grant 226375 (ice2sea manuscript No. 75).</t>
  </si>
  <si>
    <t>10.5194/tc-6-573-2012</t>
  </si>
  <si>
    <t>950UV</t>
  </si>
  <si>
    <t>Green Submitted, Green Accepted, Green Published, gold</t>
  </si>
  <si>
    <t>WOS:000304676600004</t>
  </si>
  <si>
    <t>Applegate, PJ; Kirchner, N; Stone, EJ; Keller, K; Greve, R</t>
  </si>
  <si>
    <t>Applegate, P. J.; Kirchner, N.; Stone, E. J.; Keller, K.; Greve, R.</t>
  </si>
  <si>
    <t>An assessment of key model parametric uncertainties in projections of Greenland Ice Sheet behavior</t>
  </si>
  <si>
    <t>LAST GLACIAL MAXIMUM; SEA-LEVEL RISE; ANTARCTIC ICE; CLIMATE-CHANGE; CORE PROJECT; SURFACE MELT; BASAL MELT; DELTA O-18; CONSTRAINTS; HISTORY</t>
  </si>
  <si>
    <t>Lack of knowledge about the values of ice sheet model input parameters introduces substantial uncertainty into projections of Greenland Ice Sheet contributions to future sea level rise. Computer models of ice sheet behavior provide one of several means of estimating future sea level rise due to mass loss from ice sheets. Such models have many input parameters whose values are not well known. Recent studies have investigated the effects of these parameters on model output, but the range of potential future sea level increases due to model parametric uncertainty has not been characterized. Here, we demonstrate that this range is large, using a 100-member perturbed-physics ensemble with the SICOPOLIS ice sheet model. Each model run is spun up over 125 000 yr using geological forcings and subsequently driven into the future using an asymptotically increasing air temperature anomaly curve. All modeled ice sheets lose mass after 2005 AD. Parameters controlling surface melt dominate the model response to temperature change. After culling the ensemble to include only members that give reasonable ice volumes in 2005 AD, the range of projected sea level rise values in 2100 AD is similar to 40 % or more of the median. Data on past ice sheet behavior can help reduce this uncertainty, but none of our ensemble members produces a reasonable ice volume change during the mid-Holocene, relative to the present. This problem suggests that the model's exponential relation between temperature and precipitation does not hold during the Holocene, or that the central-Greenland temperature forcing curve used to drive the model is not representative of conditions around the ice margin at this time (among other possibilities). Our simulations also lack certain observed physical processes that may tend to enhance the real ice sheet's response. Regardless, this work has implications for other studies that use ice sheet models to project or hindcast the behavior of the Greenland Ice Sheet.</t>
  </si>
  <si>
    <t>[Applegate, P. J.; Keller, K.] Penn State Univ, Dept Geosci, Earth &amp; Environm Sci Inst, University Pk, PA 16802 USA; [Applegate, P. J.; Kirchner, N.] Stockholm Univ, Bert Bolin Ctr Climate Res, Stockholm, Sweden; [Stone, E. J.] Univ Bristol, Sch Geog Sci, BRIDGE, Bristol, Avon, England; [Greve, R.] Hokkaido Univ, Inst Low Temp Sci, Sapporo, Hokkaido 060, Japan</t>
  </si>
  <si>
    <t>Pennsylvania Commonwealth System of Higher Education (PCSHE); Pennsylvania State University; Pennsylvania State University - University Park; Stockholm University; University of Bristol; Hokkaido University</t>
  </si>
  <si>
    <t>Applegate, PJ (corresponding author), Penn State Univ, Dept Geosci, Earth &amp; Environm Sci Inst, University Pk, PA 16802 USA.</t>
  </si>
  <si>
    <t>patrick.applegate@natgeo.su.se</t>
  </si>
  <si>
    <t>Stone, Emma J/H-9549-2012; Keller, Klaus/A-6742-2013; Greve, Ralf/G-2336-2010</t>
  </si>
  <si>
    <t>Stone, Emma J/0000-0002-8633-8074; Kirchner, Nina/0000-0002-6371-5527; Greve, Ralf/0000-0002-1341-4777</t>
  </si>
  <si>
    <t>U.S. Department of Energy, Office of Science [DE-SC0005171]; Bert Bolin Centre for Climate Research; Japan Society for the Promotion of Science [22244058]; Penn State Center for Climate Risk Management; Grants-in-Aid for Scientific Research [22244058] Funding Source: KAKEN; Directorate For Geosciences [1240507] Funding Source: National Science Foundation</t>
  </si>
  <si>
    <t>U.S. Department of Energy, Office of Science(United States Department of Energy (DOE)); Bert Bolin Centre for Climate Research; Japan Society for the Promotion of Science(Ministry of Education, Culture, Sports, Science and Technology, Japan (MEXT)Japan Society for the Promotion of Science); Penn State Center for Climate Risk Management; Grants-in-Aid for Scientific Research(Ministry of Education, Culture, Sports, Science and Technology, Japan (MEXT)Japan Society for the Promotion of ScienceGrants-in-Aid for Scientific Research (KAKENHI)); Directorate For Geosciences(National Science Foundation (NSF)NSF - Directorate for Geosciences (GEO))</t>
  </si>
  <si>
    <t>We thank the seaRISE project members for compiling the input data sets and making them available on the Web (http://websrv.cs.umt.edu/isis/index.php/Data). R. Alley, J. Seguinot, Y. Axford, and D. Pollard provided helpful discussions and comments on the manuscript. P. Applegate thanks the Wednesday morning discussion group at Stockholm University for much good feedback. The editor (Eric Larour) and two reviewers (Andy Aschwanden and an anonymous reviewer) also read and commented on the manuscript. This work was partially supported by the U.S. Department of Energy, Office of Science, Biological and Environmental Research Program, Integrated Assessment Research Program, through Grant No. DE-SC0005171; the Bert Bolin Centre for Climate Research through a postdoctoral fellowship for P. Applegate; the Japan Society for the Promotion of Science through a Grant-in-Aid for Scientific Research A (No. 22244058) to R. Greve; and the Penn State Center for Climate Risk Management. The data processing for this paper was done in Octave (http://www.octave.org), and the figures were made with Octave and Inkscape (http://www.inkscape.org). This paper is a contribution from the Bert Bolin Centre for Climate Research, Stockholm University.</t>
  </si>
  <si>
    <t>10.5194/tc-6-589-2012</t>
  </si>
  <si>
    <t>WOS:000304676600005</t>
  </si>
  <si>
    <t>Parkinson, CL; Cavalieri, DJ</t>
  </si>
  <si>
    <t>Parkinson, C. L.; Cavalieri, D. J.</t>
  </si>
  <si>
    <t>Antarctic sea ice variability and trends, 1979-2010</t>
  </si>
  <si>
    <t>SOUTHERN-OCEAN CLIMATE; INTERANNUAL VARIABILITY; TIME-SERIES; OSCILLATION</t>
  </si>
  <si>
    <t>In sharp contrast to the decreasing sea ice coverage of the Arctic, in the Antarctic the sea ice cover has, on average, expanded since the late 1970s. More specifically, satellite passive-microwave data for the period November 1978-December 2010 reveal an overall positive trend in ice extents of 17 100 +/- 2300 km(2) yr(-1). Much of the increase, at 13 700 +/- 1500 km(2) yr(-1), has occurred in the region of the Ross Sea, with lesser contributions from the Weddell Sea and Indian Ocean. One region, that of the Bellingshausen/Amundsen Seas, has (like the Arctic) instead experienced significant sea ice decreases, with an overall ice extent trend of -8200 +/- 1200 km(2) yr(-1). When examined through the annual cycle over the 32-yr period 1979-2010, the Southern Hemisphere sea ice cover as a whole experienced positive ice extent trends in every month, ranging in magnitude from a low of 9100 +/- 6300 km(2) yr(-1) in February to a high of 24 700 +/- 10 000 km(2) yr(-1) in May. The Ross Sea and Indian Ocean also had positive trends in each month, while the Bellingshausen/Amundsen Seas had negative trends in each month, and the Weddell Sea and western Pacific Ocean had a mixture of positive and negative trends. Comparing ice-area results to ice-extent results, in each case the ice-area trend has the same sign as the ice-extent trend, but the magnitudes of the two trends differ, and in some cases these differences allow inferences about the corresponding changes in sea ice concentrations. The strong pattern of decreasing ice coverage in the Bellingshausen/Amundsen Seas region and increasing ice coverage in the Ross Sea region is suggestive of changes in atmospheric circulation. This is a key topic for future research.</t>
  </si>
  <si>
    <t>[Parkinson, C. L.; Cavalieri, D. J.] NASA, Cryospher Sci Lab, Goddard Space Flight Ctr, Greenbelt, MD 20771 USA</t>
  </si>
  <si>
    <t>National Aeronautics &amp; Space Administration (NASA); NASA Goddard Space Flight Center</t>
  </si>
  <si>
    <t>Parkinson, CL (corresponding author), NASA, Cryospher Sci Lab, Goddard Space Flight Ctr, Code 615, Greenbelt, MD 20771 USA.</t>
  </si>
  <si>
    <t>claire.l.parkinson@nasa.gov</t>
  </si>
  <si>
    <t>Parkinson, Claire L/E-1747-2012; Parkinson, Claire/JAC-7676-2023</t>
  </si>
  <si>
    <t>Parkinson, Claire L/0000-0001-6730-4197; Parkinson, Claire/0000-0001-6730-4197</t>
  </si>
  <si>
    <t>NASA's Cryospheric Sciences Program</t>
  </si>
  <si>
    <t>NASA's Cryospheric Sciences Program(National Aeronautics &amp; Space Administration (NASA))</t>
  </si>
  <si>
    <t>The authors thank Nick DiGirolamo of Science Systems and Applications Incorporated (SSAI) and Al Ivanoff of ADNET Systems for considerable help in processing the data and Nick DiGirolamo additionally for help in generating the figures. We also thank the National Snow and Ice Data Center (NSIDC) for providing the DMSP SSMI and SSMIS daily gridded brightness temperatures. This work was supported with much-appreciated funding from NASA's Cryospheric Sciences Program.</t>
  </si>
  <si>
    <t>10.5194/tc-6-871-2012</t>
  </si>
  <si>
    <t>998NJ</t>
  </si>
  <si>
    <t>WOS:000308246500011</t>
  </si>
  <si>
    <t>Rysgaard, S; Glud, RN; Lennert, K; Cooper, M; Halden, N; Leakey, RJG; Hawthorne, FC; Barber, D</t>
  </si>
  <si>
    <t>Rysgaard, S.; Glud, R. N.; Lennert, K.; Cooper, M.; Halden, N.; Leakey, R. J. G.; Hawthorne, F. C.; Barber, D.</t>
  </si>
  <si>
    <t>Ikaite crystals in melting sea ice - implications for pCO2 and pH levels in Arctic surface waters</t>
  </si>
  <si>
    <t>CARBONIC-ACID; GAS; DISSOCIATION; ALKALINITY; INCUBATION; CONSTANTS; SEDIMENT; SEAWATER; CACO3; CO2</t>
  </si>
  <si>
    <t>A major issue of Arctic marine science is to understand whether the Arctic Ocean is, or will be, a source or sink for air-sea CO2 exchange. This has been complicated by the recent discoveries of ikaite (a polymorph of CaCO3 center dot 6H(2)O) in Arctic and Antarctic sea ice, which indicate that multiple chemical transformations occur in sea ice with a possible effect on CO2 and pH conditions in surface waters. Here, we report on biogeochemical conditions, microscopic examinations and x-ray diffraction analysis of single crystals from a melting 1.7 km(2) (0.5-1m thick) drifting ice floe in the Fram Strait during summer. Our findings show that ikaite crystals are present throughout the sea ice but with larger crystals appearing in the upper ice layers. Ikaite crystals placed at elevated temperatures disintegrated into smaller crystallites and dissolved. During our field campaign in late June, melt reduced the ice floe thickness by 0.2m per week and resulted in an estimated 3.8 ppm decrease of pCO(2) in the ocean surface mixed layer. This corresponds to an air-sea CO2 uptake of 10.6 mmol m(-2) sea ice d(-1) or to 3.3 ton km(-2) ice floe week(-1). This is markedly higher than the estimated primary production within the ice floe of 0.3-1.3 mmol m(-2) sea ice d(-1). Finally, the presence of ikaite in sea ice and the dissolution of the mineral during melting of the sea ice and mixing of the melt water into the surface oceanic mixed layer accounted for half of the estimated pCO(2) uptake.</t>
  </si>
  <si>
    <t>[Rysgaard, S.; Halden, N.; Barber, D.] Univ Manitoba, Earth Observat Res Ctr, CHR Fac Environm Earth &amp; Resources, Winnipeg, MB R3T 2N2, Canada; [Rysgaard, S.; Cooper, M.; Halden, N.; Hawthorne, F. C.] Univ Manitoba, Dept Geol Sci, CHR Fac Environm Earth &amp; Resources, Winnipeg, MB R3T 2N2, Canada; [Glud, R. N.; Lennert, K.] Greenland Inst Nat Resources, Greenland Climate Res Ctr, Nuuk 3900, Greenland; [Glud, R. N.; Leakey, R. J. G.] Scottish Marine Inst, Scottish Assoc Marine Sci, Oban PA37 1QA, Argyll, Scotland; [Glud, R. N.] NordCEE, Odense M, Denmark; [Glud, R. N.] So Danish Univ, Odense M, Denmark; [Rysgaard, S.] Aarhus Univ, Arctic Res Ctr, DK-8000 Aarhus, Denmark</t>
  </si>
  <si>
    <t>University of Manitoba; University of Manitoba; Greenland Institute of Natural Resources; UHI Millennium Institute; University of Southern Denmark; Aarhus University</t>
  </si>
  <si>
    <t>Rysgaard, S (corresponding author), Univ Manitoba, Earth Observat Res Ctr, CHR Fac Environm Earth &amp; Resources, 499 Wallace Bldg, Winnipeg, MB R3T 2N2, Canada.</t>
  </si>
  <si>
    <t>rysgaard@cc.umanitoba.ca</t>
  </si>
  <si>
    <t>Rysgaard, Søren/K-6689-2013; Hawthorne, Frank Christopher/F-6864-2011</t>
  </si>
  <si>
    <t>Glud, Ronnie N./0000-0002-7069-893X; Rysgaard, Soren/0000-0003-1726-2958; Hawthorne, Frank Christopher/0000-0001-6405-9931; Barber, David/0000-0001-9466-3291</t>
  </si>
  <si>
    <t>Danish Agency for Science, Technology and Innovation; Canada Excellence Research Chair (CERC) program; UK Natural Environmental Research Council Oceans 2025 strategic marine research programme; NERC [dml011002] Funding Source: UKRI; Natural Environment Research Council [dml011002] Funding Source: researchfish</t>
  </si>
  <si>
    <t>Danish Agency for Science, Technology and Innovation; Canada Excellence Research Chair (CERC) program; UK Natural Environmental Research Council Oceans 2025 strategic marine research programme; NERC(UK Research &amp; Innovation (UKRI)Natural Environment Research Council (NERC)); Natural Environment Research Council(UK Research &amp; Innovation (UKRI)Natural Environment Research Council (NERC))</t>
  </si>
  <si>
    <t>The study received financial support from the Danish Agency for Science, Technology and Innovation, the Canada Excellence Research Chair (CERC) program, and the UK Natural Environmental Research Council Oceans 2025 strategic marine research programme. The study is a part of the Greenland Climate Research Center's activities, GCRC6507 (www.natur.gl). We are grateful to the captain, officers and crew of the RSS James Clark Ross for their assistance during the study and to Anna Haxen, Louise Molgaard, Thomas Krogh, Debra Brennan, Sian Lordsmith and Tim Brand for technical assistance in the laboratory.</t>
  </si>
  <si>
    <t>10.5194/tc-6-901-2012</t>
  </si>
  <si>
    <t>WOS:000308246500014</t>
  </si>
  <si>
    <t>Pollard, D; DeConto, RM</t>
  </si>
  <si>
    <t>Pollard, D.; DeConto, R. M.</t>
  </si>
  <si>
    <t>A simple inverse method for the distribution of basal sliding coefficients under ice sheets, applied to Antarctica</t>
  </si>
  <si>
    <t>WEST ANTARCTICA; SUBGLACIAL SEDIMENTS; PINE ISLAND; MODEL; FLOW; GLACIER; SURFACE; EVOLUTION; CLIMATE; STREAM</t>
  </si>
  <si>
    <t>Variations in intrinsic bed conditions that affect basal sliding, such as the distribution of deformable sediment versus hard bedrock, are important boundary conditions for large-scale ice-sheet models, but are hard to observe and remain largely uncertain below the modern Greenland and Antarctic ice sheets. Here a very simple model-based method is described for deducing the modern spatial distribution of basal sliding coefficients. The model is run forward in time, and the basal sliding coefficient at each grid point is periodically increased or decreased depending on whether the local ice surface elevation is too high or too low compared to observed in areas of unfrozen bed. The method considerably reduces large-scale errors in Antarctic ice elevation, from several 100s to several 10s of meters in most regions. Remaining ice elevation errors over mountain ranges such as the Transantarctics are further improved by parameterizing the possible effect of sub-grid topography in the basal sliding law, representing sliding in deep valleys. Results are compared with modern velocity data, and various sensitivity tests are described in Appendices.</t>
  </si>
  <si>
    <t>[Pollard, D.] Penn State Univ, Earth &amp; Environm Syst Inst, University Pk, PA 16802 USA; [DeConto, R. M.] Univ Massachusetts, Dept Geosci, Amherst, MA 01003 USA</t>
  </si>
  <si>
    <t>Pennsylvania Commonwealth System of Higher Education (PCSHE); Pennsylvania State University; Pennsylvania State University - University Park; University of Massachusetts System; University of Massachusetts Amherst</t>
  </si>
  <si>
    <t>Pollard, D (corresponding author), Penn State Univ, Earth &amp; Environm Syst Inst, University Pk, PA 16802 USA.</t>
  </si>
  <si>
    <t>pollard@essc.psu.edu</t>
  </si>
  <si>
    <t>US National Science Foundation [ANT 0424589, 1043018, 25-0550-0001, OCE-1202632]; Directorate For Geosciences; Div Atmospheric &amp; Geospace Sciences [1203910] Funding Source: National Science Foundation; Directorate For Geosciences; Division Of Ocean Sciences [1202632] Funding Source: National Science Foundation; Division Of Ocean Sciences; Directorate For Geosciences [0902870] Funding Source: National Science Foundation; Office of Polar Programs (OPP); Directorate For Geosciences [1043018] Funding Source: National Science Foundation</t>
  </si>
  <si>
    <t>US National Science Foundation(National Science Foundation (NSF)); Directorate For Geosciences; Div Atmospheric &amp; Geospace Sciences(National Science Foundation (NSF)NSF - Directorate for Geosciences (GEO)); Directorate For Geosciences; Division Of Ocean 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</si>
  <si>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We are grateful to Marijke Habermann and Mathieu Morlighem for very helpful reviews and substantial suggestions that have been incorporated in the revised version. This research was funded by the US National Science Foundation under awards ANT 0424589, 1043018, 25-0550-0001, and OCE-1202632.</t>
  </si>
  <si>
    <t>10.5194/tc-6-953-2012</t>
  </si>
  <si>
    <t>028ZW</t>
  </si>
  <si>
    <t>WOS:000310465500003</t>
  </si>
  <si>
    <t>Scheuchl, B; Mouginot, J; Rignot, E</t>
  </si>
  <si>
    <t>Scheuchl, B.; Mouginot, J.; Rignot, E.</t>
  </si>
  <si>
    <t>Ice velocity changes in the Ross and Ronne sectors observed using satellite radar data from 1997 and 2009</t>
  </si>
  <si>
    <t>WEST ANTARCTICA; SUBGLACIAL LAKES; OCEAN TIDES; FLOW; STREAM; SHELF; INTERFEROMETRY; SHEET; MILLENNIUM; GREENLAND</t>
  </si>
  <si>
    <t>We report changes in ice velocity of a 6.5 million km(2) region around South Pole encompassing the Filchner-Ronne and Ross Ice Shelves and a significant portion of the ice streams and glaciers that constitute their catchment areas. Using the first full interferometric synthetic aperture radar (InSAR) coverage of the region completed in 2009 and partial coverage acquired in 1997, we processed the data to assemble a comprehensive map of ice speed changes between those two years. On the Ross Ice Shelf, our results confirm a continued deceleration of Mercer and Whillans Ice Streams with a 12-yr velocity difference of -50 myr(-1) (-16.7%) and -100 myr(-1) (-25.3%) at their grounding lines. The deceleration spreads 450 km upstream of the grounding line and more than 500 km onto the shelf, beyond what was previously known. Ross and Filchner Ice Shelves exhibit signs of pre-calving events, representing the largest observed changes, with an increase in speed in excess of +100 my r(-1) in 12 yr. Other changes in the Ross Ice Shelf region are less significant. The observed changes in glacier speed extend on the Ross Ice Shelf along the ice streams' flow lines. Most tributaries of the Filchner-Ronne Ice Shelf show a modest deceleration or no change between 1997 and 2009. Slessor Glacier shows a small deceleration over a large sector. No change is detected on the Bailey, Rutford, and Institute Ice Streams. On the Filchner Ice Shelf itself, ice decelerated rather uniformly with a 12-yr difference in speed of -50 m yr(-1), or -5% of its ice front speed, which we attribute to a 12 km advance in its ice front position. Our results show that dynamic changes are present in the region. They highlight the need for continued observation of the area with a primary focus on the Siple Coast. The dynamic changes in Central Antarctica between 1997 and 2009 are generally second-order effects in comparison to losses on glaciers in the Bellingshausen and Amundsen Seas region and on the Antarctic Peninsula. We therefore conclude that the dynamic changes shown here do not have a strong impact on the mass budget of the Antarctic continent.</t>
  </si>
  <si>
    <t>[Scheuchl, B.; Mouginot, J.; Rignot, E.] Univ Calif Irvine, Dept Earth Syst Sci, Irvine, CA 92717 USA; [Rignot, E.] CALTECH, Jet Prop Lab, Pasadena, CA USA</t>
  </si>
  <si>
    <t>University of California System; University of California Irvine; California Institute of Technology; National Aeronautics &amp; Space Administration (NASA); NASA Jet Propulsion Laboratory (JPL)</t>
  </si>
  <si>
    <t>Scheuchl, B (corresponding author), Univ Calif Irvine, Dept Earth Syst Sci, Irvine, CA 92717 USA.</t>
  </si>
  <si>
    <t>bscheuch@uci.edu</t>
  </si>
  <si>
    <t>Mouginot, Jeremie/G-7045-2015; Rignot, Eric/A-4560-2014</t>
  </si>
  <si>
    <t>Mouginot, Jeremie/0000-0001-9155-5455; Rignot, Eric/0000-0002-3366-0481; Scheuchl, Bernd/0000-0001-5947-7709</t>
  </si>
  <si>
    <t>National Aeronautics and Space Administrations MEa-SUREs; Cryospheric Science Programs</t>
  </si>
  <si>
    <t>The authors wish to thank Yves Crevier (Canadian Space Agency) for championing the 2009 RADARSAT-2 AMM and for his support in filling remaining coverage gaps in 2011. Gordon Rigby and Thomas Logan from MDA were instrumental in planning and executing RADARSAT-2 data acquisitions. RADARSAT-1 data were provided by ASF. Laurie Padman provided advice on the tidal models. The authors further wish to thank the editor, I. M. Howat. David Vaughan and two anonymous reviewers provided a careful and constructive review of the manuscript. Helen Fricker and her team at the Scripps Glaciology Group also provided valuable input during the discussion phase of this paper. This work was performed at the University of California Irvine and at Caltech's Jet Propulsion Laboratory under a contract with the National Aeronautics and Space Administrations MEa-SUREs and Cryospheric Science Programs.</t>
  </si>
  <si>
    <t>10.5194/tc-6-1019-2012</t>
  </si>
  <si>
    <t>WOS:000310465500007</t>
  </si>
  <si>
    <t>Davies, BJ; Carrivick, JL; Glasser, NF; Hambrey, MJ; Smellie, JL</t>
  </si>
  <si>
    <t>Davies, B. J.; Carrivick, J. L.; Glasser, N. F.; Hambrey, M. J.; Smellie, J. L.</t>
  </si>
  <si>
    <t>Variable glacier response to atmospheric warming, northern Antarctic Peninsula, 1988-2009</t>
  </si>
  <si>
    <t>SOUTHERN BAFFIN-ISLAND; LAND ICE MEASUREMENTS; SHELF; CLIMATE; TEMPERATURE; INVENTORY; COLLAPSE; CANADA; DISINTEGRATION; PRECIPITATION</t>
  </si>
  <si>
    <t>The northern Antarctic Peninsula has recently exhibited ice-shelf disintegration, glacier recession and acceleration. However, the dynamic response of land-terminating, ice-shelf tributary and tidewater glaciers has not yet been quantified or assessed for variability, and there are sparse data for glacier classification, morphology, area, length or altitude. This paper firstly classifies the area, length, altitude, slope, aspect, geomorphology, type and hypsometry of 194 glaciers on Trinity Peninsula, Vega Island and James Ross Island in 2009 AD. Secondly, this paper documents glacier change 1988-2009. In 2009, the glacierised area was 8140 +/- 262 km(2). From 1988-2001, 90% of glaciers receded, and from 2001-2009, 79% receded. This equates to an area change of -4.4% for Trinity Peninsula eastern coast glaciers, -0.6% for western coast glaciers, and -35.0% for ice-shelf tributary glaciers from 1988-2001. Tidewater glaciers on the drier, cooler eastern Trinity Peninsula experienced fastest shrinkage from 1988-2001, with limited frontal change after 2001. Glaciers on the western Trinity Peninsula shrank less than those on the east. Land-terminating glaciers on James Ross Island shrank fastest in the period 1988-2001. This east-west difference is largely a result of orographic temperature and precipitation gradients across the Antarctic Peninsula, with warming temperatures affecting the precipitation-starved glaciers on the eastern coast more than on the western coast. Reduced shrinkage on the western Peninsula may be a result of higher snowfall, perhaps in conjunction with the fact that these glaciers are mostly grounded. Rates of area loss on the eastern side of Trinity Peninsula are slowing, which we attribute to the floating ice tongues receding into the fjords and reaching a new dynamic equilibrium. The rapid shrinkage of tidewater glaciers on James Ross Island is likely to continue because of their low elevations and flat profiles. In contrast, the higher and steeper tidewater glaciers on the eastern Antarctic Peninsula will attain more stable frontal positions after low-lying ablation areas are removed, reaching equilibrium more quickly.</t>
  </si>
  <si>
    <t>[Davies, B. J.; Glasser, N. F.; Hambrey, M. J.] Aberystwyth Univ, Inst Geog &amp; Earth Sci, Ctr Glaciol, Aberystwyth SY23 3DB, Dyfed, Wales; [Carrivick, J. L.] Univ Leeds, Sch Geog, Leeds LS2 9JT, W Yorkshire, England; [Smellie, J. L.] Univ Leicester, Dept Geol, Leicester LE1 7RH, Leics, England</t>
  </si>
  <si>
    <t>Aberystwyth University; University of Leeds; University of Leicester</t>
  </si>
  <si>
    <t>Davies, BJ (corresponding author), Aberystwyth Univ, Inst Geog &amp; Earth Sci, Ctr Glaciol, Llandinam Bldg,Penglais Campus, Aberystwyth SY23 3DB, Dyfed, Wales.</t>
  </si>
  <si>
    <t>bdd@aber.ac.uk</t>
  </si>
  <si>
    <t>Carrivick, Jonathan/0000-0002-9286-5348; Davies, Bethan/0000-0002-8636-1813; Glasser, Neil/0000-0002-8245-2670</t>
  </si>
  <si>
    <t>NERC [AFI 9-01 (NE/F012942/1)]; Natural Environment Research Council [NE/F012942/1, NE/F012896/1] Funding Source: researchfish; NERC [NE/F012896/1, NE/F012942/1]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</si>
  <si>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</si>
  <si>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NERC grant AFI 9-01 (NE/F012942/1). It is a contribution to the SCAR ACE (Antarctic Climate Evolution) Programme. The authors are grateful for helpful and constructive criticism and comments from Hester Jiskoot, Matt King, Tobias Bolch, Mauri Pelto, S. Marinsek and an anonymous referee. The authors acknowledge Etienne Berthier and the Centre National d'Etudes Spatiales (CNES) for the SPOT-5 images and the SPIRIT DEM. Neil Glasser was provided with ASTER images as a NASA-supported researcher. The 1997 glacier frontal positions were determined from the Coastal Change shapefiles (http://www.add.scar.org), mapped by Cook et al. (2005). Stefan Senk and Tristram Irvine-Fynne are acknowledged for their help in programming and statistics.</t>
  </si>
  <si>
    <t>10.5194/tc-6-1031-2012</t>
  </si>
  <si>
    <t>WOS:000310465500008</t>
  </si>
  <si>
    <t>Fujita, S; Holmlund, P; Matsuoka, K; Enomoto, H; Fukui, K; Nakazawa, F; Sugiyama, S; Surdyk, S</t>
  </si>
  <si>
    <t>Fujita, S.; Holmlund, P.; Matsuoka, K.; Enomoto, H.; Fukui, K.; Nakazawa, F.; Sugiyama, S.; Surdyk, S.</t>
  </si>
  <si>
    <t>Radar diagnosis of the subglacial conditions in Dronning Maud Land, East Antarctica</t>
  </si>
  <si>
    <t>ICE-PENETRATING RADAR; DOME FUJI; WEST ANTARCTICA; ACCUMULATION RATE; RADIO-WAVES; SHEET; FLOW; MODEL; WATER; VICINITY</t>
  </si>
  <si>
    <t>In order to better understand the spatial distribution of subglacial environments, ground-based radar profiling data were analyzed for a total distance of similar to 3300 km across Dronning Maud Land, East Antarctica. The relationship between geometrically corrected bed returned power [Pc bed] dB in decibels and ice thickness H was examined. When H is smaller than a critical value that varies according to location, [P-bed(c)](dB) tends to decrease relatively smoothly with increasing H, which is explicable primarily by the cumulative effect of dielectric attenuation within the ice. However, at locations where H is larger than the critical H values, anomalous increases and fluctuations in [P-bed(c)](dB) were observed, regardless of the choice of radar frequency or radar-pulse width. In addition, the amplitude of the fluctuations often range 10 similar to 20 dB. We argue that the anomalous increases are caused by higher bed reflectivity associated with the existence of subglacial water. We used these features to delineate frozen and temperate beds. Approximately two-thirds of the investigated area was found to have a temperate bed. The beds of the inland part of the ice sheet tend to be temperate, with the exception of subglacial high mountains. In contrast, the beds of coastal areas tend to be frozen, with the exception of fast-flowing ice on the subglacial lowland or troughs. We argue that this new analytical method can be applied to other regions.</t>
  </si>
  <si>
    <t>[Fujita, S.; Enomoto, H.; Fukui, K.; Nakazawa, F.; Surdyk, S.] Natl Inst Polar Res, Res Org Informat &amp; Syst, Tokyo, Japan; [Holmlund, P.] Stockholm Univ, Dept Phys Geog &amp; Quaternary Geol, S-10691 Stockholm, Sweden; [Matsuoka, K.] Norwegian Polar Res Inst, Tromso, Norway; [Enomoto, H.] Kitami Inst Technol, Kitami, Hokkaido 090, Japan; [Sugiyama, S.] Hokkaido Univ, Inst Low Temp Sci, Sapporo, Hokkaido 060, Japan</t>
  </si>
  <si>
    <t>Research Organization of Information &amp; Systems (ROIS); National Institute of Polar Research (NIPR) - Japan; Stockholm University; Norwegian Polar Institute; Kitami Institute of Technology; Hokkaido University</t>
  </si>
  <si>
    <t>Fujita, S (corresponding author), Natl Inst Polar Res, Res Org Informat &amp; Syst, Tokyo, Japan.</t>
  </si>
  <si>
    <t>sfujita@nipr.ac.jp</t>
  </si>
  <si>
    <t>Nakazawa, Fumio/R-4031-2018; Sugiyama, Shin/C-2511-2012; Fujita, Shuji/A-7884-2016; FUKUI, Kotaro/H-5600-2018; Matsuoka, Kenichi/B-7298-2017</t>
  </si>
  <si>
    <t>Fujita, Shuji/0000-0003-0127-0777; FUKUI, Kotaro/0000-0003-2106-0232; Matsuoka, Kenichi/0000-0002-3587-3405</t>
  </si>
  <si>
    <t>NIPR; Japan Society for the Promotion of Science (JSPS) [20241007]; Grants-in-Aid for Scientific Research [21221002, 20241007] Funding Source: KAKEN</t>
  </si>
  <si>
    <t>NIPR(National Institute of Polar Research (NIPR) - Japan);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</si>
  <si>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JASE traverse was organized by several organizations in Sweden and Japan. The National Institute of Polar Research (NIPR), Tokyo and the Swedish Polar Research Secretariat (SPRS) managed the logistics in Antarctica. The JASE traverse is a research project of the Japanese Antarctic Research Expedition Studies on systems for climate change and ice sheet change, by introducing new observational methods and technologies. The present study has been carried out under the umbrella of TASTE-IDEA within the framework of IPY project 152. The present study is also a contribution to IPICS and ITASE. The traverse was fully supported by the teams of the 48th and the 49th Japanese Antarctic Research Expeditions led by H. Miyaoka and S. Imura, respectively. Special thanks to all the traverse members for their very generous support during the traverse. The paper was much improved by thoughtful comments provided by A. Wright, O. Eisen, R. Bingham, and J. Bamber. The production of the present paper was supported by an NIPR publication subsidy. The present research was supported by Grant-in-Aid for Scientific Research (A) 20241007 from the Japan Society for the Promotion of Science (JSPS).</t>
  </si>
  <si>
    <t>10.5194/tc-6-1203-2012</t>
  </si>
  <si>
    <t>WOS:000310465500020</t>
  </si>
  <si>
    <t>Martín, C; Gudmundsson, GH</t>
  </si>
  <si>
    <t>Martin, C.; Gudmundsson, G. H.</t>
  </si>
  <si>
    <t>Effects of nonlinear rheology, temperature and anisotropy on the relationship between age and depth at ice divides</t>
  </si>
  <si>
    <t>EPICA DOME-C; GROUNDED ICE; POLAR ICE; FLOW LAW; ISOCHRONES; VICINITY; SHEET; APPROXIMATION; DEFORMATION; EVOLUTION</t>
  </si>
  <si>
    <t>Ice flow in divide areas is strongly anisotropic. The evolution of ice fabric, from the onset of divide flow towards steady state with a fully developed fabric, has been shown to profoundly affect both the stratigraphy and surface topography of ice divides. Here, we investigate the effects of ice flow on the age-versus-depth relationship at ice divides by using a full Stokes thermomechanical model with a non-linear anisotropic constitutive relation between stress and strain rates. We compare our results with analytical approximations commonly employed in age-depth predictions, such as the Dansgaard and Lliboutry approximations. We show that these approximations systematically underestimate the age of ice at fully developed divides by as much as one order of magnitude. We also show that divides with fully developed fabric are ideal locations for ice-core extraction because ice under them can be up to one order of magnitude older than ice at the same depth at the flanks. In addition, these divides have a distinctive morphological structure that allows them to be clearly identified from satellite imagery or ground-penetrating radar data.</t>
  </si>
  <si>
    <t>[Martin, C.; Gudmundsson, G. H.] British Antarctic Survey, Nat Environm Res Council, Cambridge, England</t>
  </si>
  <si>
    <t>Martín, C (corresponding author), British Antarctic Survey, Nat Environm Res Council, Cambridge, England.</t>
  </si>
  <si>
    <t>cama@bas.ac.uk</t>
  </si>
  <si>
    <t>Gudmundsson, Gudmundur Hilmar/F-6499-2012; Gudmundsson, Gudmundur Hilmar/AAU-5987-2020; Martin, Carlos/S-2778-2018</t>
  </si>
  <si>
    <t>Gudmundsson, Gudmundur Hilmar/0000-0003-4236-5369; Gudmundsson, Gudmundur Hilmar/0000-0003-4236-5369; Martin, Carlos/0000-0002-2661-169X</t>
  </si>
  <si>
    <t>NERC [bas0100027] Funding Source: UKRI; Natural Environment Research Council [bas0100027] Funding Source: researchfish</t>
  </si>
  <si>
    <t>10.5194/tc-6-1221-2012</t>
  </si>
  <si>
    <t>WOS:000310465500021</t>
  </si>
  <si>
    <t>James, TD; Murray, T; Barrand, NE; Sykes, HJ; Fox, AJ; King, MA</t>
  </si>
  <si>
    <t>James, T. D.; Murray, T.; Barrand, N. E.; Sykes, H. J.; Fox, A. J.; King, M. A.</t>
  </si>
  <si>
    <t>Observations of enhanced thinning in the upper reaches of Svalbard glaciers</t>
  </si>
  <si>
    <t>MASS-BALANCE; ELEVATION CHANGES; ICE CAPS; SPITSBERGEN</t>
  </si>
  <si>
    <t>Changes in the volume and extent of land ice of the Svalbard archipelago have been the subject of considerable research since their sensitivity to changes in climate was first noted. However, the measurement of these changes is often necessarily based on point or profile measurements which may not be representative if extrapolated to a whole catchment or region. Combining high-resolution elevation data from contemporary laser-altimetry surveys and archived aerial photography makes it possible to measure historical changes across a glacier's surface without the need for extrapolation. Here we present a high spatial resolution time-series for six Arctic glaciers in the Svalbard archipelago spanning 1961 to 2005. We find high variability in thinning rates between sites with prevalent elevation changes at all sites averaging -0.59 +/- 0.04ma(-1) between 1961-2005. Prior to 1990, ice surface elevation was changing at an average rate of -0.52 +/- 0.09ma(-1) which decreased to -0.76 +/- 0.10ma(-1) after 1990. Setting the elevation changes against the glaciers' altitude distribution reveals that significant increases in thinning rates are occurring most notably in the glaciers' upper reaches. We find that these changes are coincident with a decrease in winter precipitation at the Longyearbyen meteorological station and could reflect a decrease in albedo or dynamic response to lower accumulation. Further work is required to understand fully the causes of this increase in thinning rates in the glaciers' upper reaches. If on-going and occurring elsewhere in the archipelago, these changes will have a significant effect on the region's future mass balance. Our results highlight the importance of understanding the climatological context of geodetic mass balance measurements and demonstrate the difficulty of using index glaciers to represent regional changes in areas of strong climatological gradients.</t>
  </si>
  <si>
    <t>[James, T. D.; Murray, T.; Sykes, H. J.] Swansea Univ, Dept Geog, Swansea, W Glam, Wales; [Barrand, N. E.; Fox, A. J.] British Antarctic Survey, Cambridge CB3 0ET, England; [King, M. A.] Newcastle Univ, Sch Civil Engn &amp; Geosci, Newcastle Upon Tyne NE1 7RU, Tyne &amp; Wear, England</t>
  </si>
  <si>
    <t>Swansea University; UK Research &amp; Innovation (UKRI); Natural Environment Research Council (NERC); NERC British Antarctic Survey; Newcastle University - UK</t>
  </si>
  <si>
    <t>James, TD (corresponding author), Swansea Univ, Dept Geog, Swansea, W Glam, Wales.</t>
  </si>
  <si>
    <t>t.d.james@swansea.ac.uk</t>
  </si>
  <si>
    <t>Sykes, Helena/K-6508-2015; King, Matt/B-4622-2008; James, Timothy/C-9219-2013</t>
  </si>
  <si>
    <t>Sykes, Helena/0000-0003-4828-4973; King, Matt/0000-0001-5611-9498; Barrand, Nicholas/0000-0003-4428-1863; Murray, Tavi/0000-0001-6714-6512; James, Timothy/0000-0003-4082-7822</t>
  </si>
  <si>
    <t>UK NERC [NE/B505203/1]; GLIMPSE project; Leverhulme Trust [F/00391/J]; Climate Change Consortium for Wales [C3W]; NERC studentship [NER/S/A/2003/11279]; Natural Environment Research Council [bas010011, NE/B505254/1, NE/B505270/1, NE/B505262/1] Funding Source: researchfish; NERC [bas010011] Funding Source: UKRI</t>
  </si>
  <si>
    <t>UK NERC(UK Research &amp; Innovation (UKRI)Natural Environment Research Council (NERC)); GLIMPSE project; Leverhulme Trust(Leverhulme Trust); Climate Change Consortium for Wales; NERC studentship(UK Research &amp; Innovation (UKRI)Natural Environment Research Council (NERC)); Natural Environment Research Council(UK Research &amp; Innovation (UKRI)Natural Environment Research Council (NERC)); NERC(UK Research &amp; Innovation (UKRI)Natural Environment Research Council (NERC))</t>
  </si>
  <si>
    <t>SLICES was funded by the UK NERC (NE/B505203/1). TDJ's work was also supported by the GLIMPSE project funded by The Leverhulme Trust (F/00391/J) and the Climate Change Consortium for Wales (C3W). NEB's contribution was supported by NERC studentship NER/S/A/2003/11279. Lidar data were flown by the NERC Airborne Research and Survey Facility and processed by the Unit for Landscape Modelling, University of Cambridge. Access and facilities at the Ny-Alesund geodetic observatory were provided by Statens Kartverk, Norway. The authors would like to thank: BAE Systems (SOCETSET), Applied Imagery (Quick Terrain Modeler) and Jack Kohler (Norwegian Polar Institute) for their support. Field assistants included Artur Adamek, Trine Abrahamsen, Brian Barrett, Suzanne Bevan, Remko de Lange, Adrian Luckman and Irina Solovjanova. Finally, we would like to thank three anonymous reviewers, M. Pelto and the editor for their constructive comments which helped to improve significantly this manuscript.</t>
  </si>
  <si>
    <t>10.5194/tc-6-1369-2012</t>
  </si>
  <si>
    <t>059IV</t>
  </si>
  <si>
    <t>WOS:000312698800011</t>
  </si>
  <si>
    <t>Gudmundsson, GH; Krug, J; Durand, G; Favier, L; Gagliardini, O</t>
  </si>
  <si>
    <t>Gudmundsson, G. H.; Krug, J.; Durand, G.; Favier, L.; Gagliardini, O.</t>
  </si>
  <si>
    <t>The stability of grounding lines on retrograde slopes</t>
  </si>
  <si>
    <t>ANTARCTIC ICE-SHEET; REVERSE BED SLOPE; MODEL; DYNAMICS; SHELF</t>
  </si>
  <si>
    <t>The stability of marine ice sheets grounded on beds that slope upwards in the overall direction of flow is investigated numerically in two horizontal dimensions. We give examples of stable grounding lines on such retrograde slopes illustrating that marine ice sheets are not unconditionally unstable in two horizontal dimensions. Retrograde bed slopes at the grounding lines of marine ice sheets, such as the West Antarctic Ice Sheet (WAIS), do not per se imply an instability, nor do they imply that these regions are close to a threshold of instability. We therefore question those estimates of the potential near-future contribution of WAIS to global sea level change based solely on the notion that WAIS, resting on a retrograde slope, must be inherently unstable.</t>
  </si>
  <si>
    <t>[Gudmundsson, G. H.] British Antarctic Survey, High Cross, Cambridge CB3 0ET, England; [Krug, J.; Durand, G.; Favier, L.; Gagliardini, O.] UJF Grenoble, Lab Glaciol &amp; Geophys Environm, CNRS, St Martin Dheres, France; [Gagliardini, O.] Inst Univ France, F-75005 Paris, France</t>
  </si>
  <si>
    <t>UK Research &amp; Innovation (UKRI); Natural Environment Research Council (NERC); NERC British Antarctic Survey; Centre National de la Recherche Scientifique (CNRS); Communaute Universite Grenoble Alpes; Universite Grenoble Alpes (UGA); Institut Universitaire de France</t>
  </si>
  <si>
    <t>Gudmundsson, GH (corresponding author), British Antarctic Survey, High Cross, Madingley Rd, Cambridge CB3 0ET, England.</t>
  </si>
  <si>
    <t>ghg@bas.ac.uk</t>
  </si>
  <si>
    <t>Gudmundsson, Gudmundur Hilmar/AAU-5987-2020; Gagliardini, Olivier/GQQ-1222-2022; Gudmundsson, Gudmundur Hilmar/F-6499-2012</t>
  </si>
  <si>
    <t>Gudmundsson, Gudmundur Hilmar/0000-0003-4236-5369; Gagliardini, Olivier/0000-0001-9162-3518; Gudmundsson, Gudmundur Hilmar/0000-0003-4236-5369; favier, lionel/0000-0002-5392-3031; KRUG, Jean/0000-0002-1420-1343; Durand, Gael/0000-0001-8979-2355</t>
  </si>
  <si>
    <t>NERC [NE/H02333X/1]; European Community [PRACE-2IP, RI-283493]; NERC [bas0100027, NE/H02333X/1] Funding Source: UKRI; Natural Environment Research Council [bas0100027, NE/H02333X/1] Funding Source: researchfish</t>
  </si>
  <si>
    <t>NERC(UK Research &amp; Innovation (UKRI)Natural Environment Research Council (NERC)); European Community; NERC(UK Research &amp; Innovation (UKRI)Natural Environment Research Council (NERC)); Natural Environment Research Council(UK Research &amp; Innovation (UKRI)Natural Environment Research Council (NERC))</t>
  </si>
  <si>
    <t>This work was supported by NERC grant Nr. NE/H02333X/1. The Elmer/Ice simulations were granted access to the HPC resources of Lindgren (PDC, Sweden) made available within the Distributed European Computing Initiative by the PRACE-2IP, funded in part by the European Community's Seventh Framework Programme (FP7/2007-2013) under grant agreement Nr. RI-283493.</t>
  </si>
  <si>
    <t>10.5194/tc-6-1497-2012</t>
  </si>
  <si>
    <t>WOS:000312698800019</t>
  </si>
  <si>
    <t>Gillet-Chaulet, F; Gagliardini, O; Seddik, H; Nodet, M; Durand, G; Ritz, C; Zwinger, T; Greve, R; Vaughan, DG</t>
  </si>
  <si>
    <t>Gillet-Chaulet, F.; Gagliardini, O.; Seddik, H.; Nodet, M.; Durand, G.; Ritz, C.; Zwinger, T.; Greve, R.; Vaughan, D. G.</t>
  </si>
  <si>
    <t>Greenland ice sheet contribution to sea-level rise from a new-generation ice-sheet model</t>
  </si>
  <si>
    <t>FULL STOKES MODEL; BENCHMARK EXPERIMENTS; BASAL CONDITIONS; GLACIER; SURFACE; DYNAMICS; FUTURE; ACCELERATION</t>
  </si>
  <si>
    <t>Over the last two decades, the Greenland ice sheet (GrIS) has been losing mass at an increasing rate, enhancing its contribution to sea-level rise (SLR). The recent increases in ice loss appear to be due to changes in both the surface mass balance of the ice sheet and ice discharge (ice flux to the ocean). Rapid ice flow directly affects the discharge, but also alters ice-sheet geometry and so affects climate and surface mass balance. Present-day ice-sheet models only represent rapid ice flow in an approximate fashion and, as a consequence, have never explicitly addressed the role of ice discharge on the total GrIS mass balance, especially at the scale of individual outlet glaciers. Here, we present a new-generation prognostic ice-sheet model which reproduces the current patterns of rapid ice flow. This requires three essential developments: the complete solution of the full system of equations governing ice deformation; a variable resolution unstructured mesh to resolve outlet glaciers and the use of inverse methods to better constrain poorly known parameters using observations. The modelled ice discharge is in good agreement with observations on the continental scale and for individual outlets. From this initial state, we investigate possible bounds for the next century ice-sheet mass loss. We run sensitivity experiments of the GrIS dynamical response to perturbations in climate and basal lubrication, assuming a fixed position of the marine termini. We find that increasing ablation tends to reduce outflow and thus decreases the ice-sheet imbalance. In our experiments, the GrIS initial mass (im)balance is preserved throughout the whole century in the absence of reinforced forcing, allowing us to estimate a lower bound of 75 mm for the GrIS contribution to SLR by 2100. In one experiment, we show that the current increase in the rate of ice loss can be reproduced and maintained throughout the whole century. However, this requires a very unlikely perturbation of basal lubrication. From this result we are able to estimate an upper bound of 140 mm from dynamics only for the GrIS contribution to SLR by 2100.</t>
  </si>
  <si>
    <t>[Gillet-Chaulet, F.; Gagliardini, O.; Durand, G.; Ritz, C.] UJF Grenoble 1, CNRS, Lab Glaciol &amp; Geophys Environm, UMR 5183, F-38041 Grenoble, France; [Gagliardini, O.] Inst Univ France, Paris, France; [Seddik, H.; Greve, R.] Hokkaido Univ, Inst Low Temp Sci, Sapporo, Hokkaido 060, Japan; [Nodet, M.] UJF Grenoble 1, INRIA, LJK, F-38041 Grenoble, France; [Zwinger, T.] CSC IT Ctr Sci Ltd, Espoo, Finland; [Vaughan, D. G.] British Antarctic Survey, Nat Environm Res Council, Cambridge CB3 0ET, England</t>
  </si>
  <si>
    <t>Centre National de la Recherche Scientifique (CNRS); Communaute Universite Grenoble Alpes; Universite Grenoble Alpes (UGA); Institut Universitaire de France; Hokkaido University; Communaute Universite Grenoble Alpes; Universite Grenoble Alpes (UGA); Inria; Finnish IT center for science; UK Research &amp; Innovation (UKRI); Natural Environment Research Council (NERC); NERC British Antarctic Survey</t>
  </si>
  <si>
    <t>Gillet-Chaulet, F (corresponding author), UJF Grenoble 1, CNRS, Lab Glaciol &amp; Geophys Environm, UMR 5183, F-38041 Grenoble, France.</t>
  </si>
  <si>
    <t>gillet-chaulet@lgge.obs.ujf-grenoble.fr</t>
  </si>
  <si>
    <t>Seddik, Hakime/F-7640-2014; Vaughan, David/C-8348-2011; Gagliardini, Olivier/GQQ-1222-2022; Zwinger, Thomas/H-5163-2018; Greve, Ralf/G-2336-2010</t>
  </si>
  <si>
    <t>Seddik, Hakime/0000-0002-0241-590X; Gagliardini, Olivier/0000-0001-9162-3518; Vaughan, David/0000-0002-9065-0570; Zwinger, Thomas/0000-0003-3360-4401; Greve, Ralf/0000-0002-1341-4777; Durand, Gael/0000-0001-8979-2355; Ritz, Catherine/0000-0003-0785-8571</t>
  </si>
  <si>
    <t>European Commission [226375, ice2sea052]; Agence National de la Recherche (ANR) [ANR-09-SYSC-001]; Japan Society for the Promotion of Science (JSPS) [22244058]; CNRS-INSU; Grants-in-Aid for Scientific Research [22244058] Funding Source: KAKEN; Natural Environment Research Council [bas0100027] Funding Source: researchfish; NERC [bas0100027] Funding Source: UKRI</t>
  </si>
  <si>
    <t>European Commission(European Union (EU)European Commission Joint Research Centre); Agence National de la Recherche (ANR)(Agence Nationale de la Recherche (ANR)); Japan Society for the Promotion of Science (JSPS)(Ministry of Education, Culture, Sports, Science and Technology, Japan (MEXT)Japan Society for the Promotion of Science); CNRS-INSU(Centre National de la Recherche Scientifique (CNRS));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</si>
  <si>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would like to thank Jesse Johnson and two anonymous referees for their helpful comments on the manuscript. This work was supported by both the ice2sea project funded by the European Commission's 7th Framework Programme through grant number 226375 (Ice2sea contribution number ice2sea052) and the ADAGe project (ANR-09-SYSC-001) funded by the Agence National de la Recherche (ANR). Hakime Seddik and Ralf Greve were supported by a Grant-in-Aid for Scientific Research A (No. 22244058) from the Japan Society for the Promotion of Science (JSPS). We thank I. Joughin for providing the surface velocity data and the SeaRISE community (http://tinyurl.com/srise-umt) for the compilation of topography and climate forcing data sets. We also thank J. Ruokolainen and P. R aback for their continuous support in developing Elmer. This work was performed using HPC resources from GENCI-CINES (Grant/2011016066/) and from the Service Commun de Calcul Intensif de l'Observatoire de Grenoble (SCCI).; The publication of this article is financed by CNRS-INSU.</t>
  </si>
  <si>
    <t>10.5194/tc-6-1561-2012</t>
  </si>
  <si>
    <t>WOS:000312698800024</t>
  </si>
  <si>
    <t>Tarling, GA; Ward, P; Atkinson, A; Collins, MA; Murphy, EJ</t>
  </si>
  <si>
    <t>Tarling, G. A.; Ward, P.; Atkinson, A.; Collins, M. A.; Murphy, E. J.</t>
  </si>
  <si>
    <t>DISCOVERY 2010: Spatial and temporal variability in a dynamic polar ecosystem</t>
  </si>
  <si>
    <t>DEEP-SEA RESEARCH PART II-TOPICAL STUDIES IN OCEANOGRAPHY</t>
  </si>
  <si>
    <t>Scotia Sea; Southern Ocean; Food webs; Antarctic krill; Climate change</t>
  </si>
  <si>
    <t>KRILL EUPHAUSIA-SUPERBA; SCOTIA SEA; SOUTHERN-OCEAN; ANTARCTIC KRILL; COMMUNITY STRUCTURE; POPULATION-DYNAMICS; MESOPELAGIC FISH; FEEDING ECOLOGY; GEORGIA; BIOMASS</t>
  </si>
  <si>
    <t>The Scotia Sea has been a focus of biological- and physical oceanographic study since the Discovery expeditions in the early 1900s. It is a physically energetic region with some of the highest levels of productivity in the Southern Ocean. It is also a region within which there have been greater than average levels of change in upper water column temperature. We describe the results of three cruises transecting the central Scotia Sea from south to north in consecutive years and covering spring, summer and autumn periods. We also report on some community level syntheses using both current-day and historical data from this region. A wide range of parameters were measured during the field campaigns, covering the physical oceanography of the region, air-sea CO2 fluxes, macro- and micronutrient concentrations, the composition and biomass of the nano-, micro- and mesoplankton communities, and the distribution and biomass of Antarctic krill and mesopelagic fish. Process studies examined the effect of iron-stress on the physiology of primary producers, reproduction and egestion in Antarctic krill and the transfer of stable isotopes between trophic layers, from primary consumers up to birds and seals. Community level syntheses included an examination of the biomass-spectra, food-web modelling, spatial analysis of multiple trophic layers and historical species distributions. The spatial analyses in particular identified two distinct community types: a northern warmer water community and a southern cold community, their boundary being broadly consistent with the position of the Southern Antarctic Circumpolar Current Front (SACCF). Temperature and ice cover appeared to be the dominant, over-riding factors in driving this pattern. Extensive phytoplankton blooms were a major feature of the surveys, and were persistent in areas such as South Georgia. In situ and bioassay measurements emphasised the important role of iron inputs as facilitators of these blooms. Based on seasonal DIC deficits, the South Georgia bloom was found to contain the strongest seasonal carbon uptake in the ice-free zone of the Southern Ocean. The surveys also encountered low-production, iron-limited regions, a situation more typical of the wider Southern Ocean. The response of primary and secondary consumers to spatial and temporal heterogeneity in production was complex. Many of the life-cycles of small pelagic organisms showed a close coupling to the seasonal cycle of food availability. For instance, Antarctic krill showed a dependence on early, non-ice-associated blooms to facilitate early reproduction. Strategies to buffer against environmental variability were also examined, such as the prevalence of multiyear life-cycles and variability in energy storage levels. Such traits were seen to influence the way in which Scotia Sea communities were structured, with biomass levels in the larger size classes being higher than in other ocean regions. Seasonal development also altered trophic function, with the trophic level of higher predators increasing through the course of the year as additional predator-prey interactions emerged in the lower trophic levels. Finally, our studies re-emphasised the role that the simple phytoplankton-krill-higher predator food chain plays in this Southern Ocean region, particularly south of the SACCF. To the north, alternative food chains, such as those involving copepods, macrozooplankton and mesopelagic fish, were increasingly important. Continued ocean warming in this region is likely to increase the prevalence of such alternative suchfood chains with Antarctic krill predicted to move southwards. (C) 2011 Elsevier Ltd. All rights reserved.</t>
  </si>
  <si>
    <t>[Tarling, G. A.; Ward, P.; Atkinson, A.; Collins, M. A.; Murphy, E. J.] British Antarctic Survey, Nat Environm Res Council, Cambridge CB3 0ET, England; [Atkinson, A.] Plymouth Marine Lab, Plymouth PL1 3DH, Devon, England</t>
  </si>
  <si>
    <t>UK Research &amp; Innovation (UKRI); Natural Environment Research Council (NERC); NERC British Antarctic Survey; Plymouth Marine Laboratory</t>
  </si>
  <si>
    <t>Tarling, GA (corresponding author), British Antarctic Survey, Nat Environm Res Council, Madingley Rd, Cambridge CB3 0ET, England.</t>
  </si>
  <si>
    <t>gant@bas.ac.uk</t>
  </si>
  <si>
    <t>Collins, Martin A/J-8560-2017; murphy, eugene/GZL-1620-2022; , Martin/ABE-6728-2020; Atkinson, Angus/HOH-3417-2023</t>
  </si>
  <si>
    <t>, Martin/0000-0001-7132-8650;</t>
  </si>
  <si>
    <t>Natural Environment Research Council [pml010004, bas0100025] Funding Source: researchfish; NERC [bas0100025, pml010004] Funding Source: UKRI</t>
  </si>
  <si>
    <t>0967-0645</t>
  </si>
  <si>
    <t>1879-0100</t>
  </si>
  <si>
    <t>DEEP-SEA RES PT II</t>
  </si>
  <si>
    <t>Deep-Sea Res. Part II-Top. Stud. Oceanogr.</t>
  </si>
  <si>
    <t>10.1016/j.dsr2.2011.10.001</t>
  </si>
  <si>
    <t>899IX</t>
  </si>
  <si>
    <t>WOS:000300810700001</t>
  </si>
  <si>
    <t>Venables, H; Meredith, MP; Atkinson, A; Ward, P</t>
  </si>
  <si>
    <t>Venables, Hugh; Meredith, Michael P.; Atkinson, Angus; Ward, Peter</t>
  </si>
  <si>
    <t>Fronts and habitat zones in the Scotia Sea</t>
  </si>
  <si>
    <t>Fronts; Dynamic height; Altimetry; Argo; Habitat zonation</t>
  </si>
  <si>
    <t>ANTARCTIC CIRCUMPOLAR CURRENT; MESOZOOPLANKTON COMMUNITY STRUCTURE; WHITE-CHINNED PETRELS; SOUTHERN-OCEAN; PHYTOPLANKTON BLOOM; HIGH-NUTRIENT; FOOD-WEB; GEORGIA; VARIABILITY; ECOSYSTEM</t>
  </si>
  <si>
    <t>The fronts in the Antarctic Circumpolar Current (ACC) comprise the Southern ACC Front (SACCF), the Polar Front (PF) and Sub-Antarctic Front (SAF), which, together with the Southern Boundary (SB), separate zones with distinct water mass properties in the Southern Ocean. They are important for describing habitat ranges of oceanic species over the range of trophic levels and are also key habitat zones in their own right for a variety of species. Frontal positions were studied along a transect running S to N across the Scotia Sea during three hydrographic cruises in spring 2006, summer 2008 and autumn 2009. Subsurface data from these cruises and Argo data are here combined with Aviso satellite absolute dynamic topography data to locate these fronts, facilitating study of their ecological significance within the Scotia Sea. Northern and southern dynamic height limits are found for each front, as opposed to the more usual one dimensional line. Thus the SB was found between -132 to -116 dyn cm, the SACCF between -115 to -99 dyn cm and the PF between -71 to -45 dyn cm. Argo data allow the sensitivity of the dynamic heights found to be tested against seasonal, interannual and longitudinal effects and each is found to be small. Although the SAF lay beyond the northern extent of the transect we sampled along, Argo profiles allowed us to determine its limits as lying between 5 and +29 dyn cm. The dynamic height limits found are thus suitable for assessing the location, in relation to fronts, of any sample or tracked animal within this area. The chlorophyll distribution across the Scotia Sea is assessed relative to frontal positions and known iron sources. The physical conditions (sea surface temperature, sea ice and mixed layer depth) along the sampling transect are also presented, allowing the oceanographic conditions of the stations occupied across the Scotia Sea to be assessed. (C) 2011 Elsevier Ltd. All rights reserved.</t>
  </si>
  <si>
    <t>[Venables, Hugh; Meredith, Michael P.; Atkinson, Angus; Ward, Peter] British Antarctic Survey, Nat Environm Res Council, Cambridge CB3 0ET, England</t>
  </si>
  <si>
    <t>Venables, H (corresponding author), British Antarctic Survey, Nat Environm Res Council, Madingley Rd, Cambridge CB3 0ET, England.</t>
  </si>
  <si>
    <t>hjv@bas.ac.uk</t>
  </si>
  <si>
    <t>Atkinson, Angus/HOH-3417-2023</t>
  </si>
  <si>
    <t>Meredith, Michael/0000-0002-7342-7756</t>
  </si>
  <si>
    <t>Cnes; NERC [bas0100028, bas0100025] Funding Source: UKRI; Natural Environment Research Council [bas0100028, bas0100025] Funding Source: researchfish</t>
  </si>
  <si>
    <t>Cnes(Centre National D'etudes Spatiales); NERC(UK Research &amp; Innovation (UKRI)Natural Environment Research Council (NERC)); Natural Environment Research Council(UK Research &amp; Innovation (UKRI)Natural Environment Research Council (NERC))</t>
  </si>
  <si>
    <t>Argo data were collected and made freely available by the International Argo Project and the national programs that contribute to it (http://www.argo.ucsd.edu, http://argo.jcommops.org). Argo is a pilot programme of the Global Ocean Observing System. The altimeter products were produced by Ssalto/Duacs and distributed by Aviso with support from Cnes. We thank the NASA Ocean Biology Processing Group for MODIS chlorophyll data. OSTIA data were accessed via http://ghrsst-pp.metoffice. com/pages/latest_analysis/ostia.html. We thank Raymond Pollard and two anonymous reviewers for their useful feedback in improving the manuscript.</t>
  </si>
  <si>
    <t>10.1016/j.dsr2.2011.08.012</t>
  </si>
  <si>
    <t>WOS:000300810700002</t>
  </si>
  <si>
    <t>Jones, EM; Bakker, DCE; Venables, HJ; Watson, AJ</t>
  </si>
  <si>
    <t>Jones, Elizabeth M.; Bakker, Dorothee C. E.; Venables, Hugh J.; Watson, Andrew J.</t>
  </si>
  <si>
    <t>Dynamic seasonal cycling of inorganic carbon downstream of South Georgia, Southern Ocean</t>
  </si>
  <si>
    <t>Carbon cycling; Scotia Sea; Southern Ocean; South Georgia; Iron fertilisation</t>
  </si>
  <si>
    <t>NET COMMUNITY PRODUCTION; SCOTIA SEA IMPLICATIONS; PHYTOPLANKTON BLOOM; IRON ENRICHMENT; HIGH-NUTRIENT; KERGUELEN-ISLANDS; ATMOSPHERIC CO2; INDIAN-OCEAN; ROSS SEA; VARIABILITY</t>
  </si>
  <si>
    <t>The influence of the island mass effect of South Georgia on the seasonal marine carbon cycle was investigated during austral summer (January-February) 2008. South Georgia (54-55 degrees S 36-38 degrees W) lies on the North Scotia Ridge, strongly influencing the passage of the Southern Antarctic Circumpolar Current Front to the south. Surface waters upstream of the island, in the central Scotia Sea, were characterised by relative high-nutrient low-chlorophyll (HNLC) conditions from winter (September) 2007 to summer, as indicated by satellite and shipboard observations. The fugacity of carbon dioxide (fCO(2)) was slightly supersaturated and the HNLC waters represented a summertime CO2 source of 2.6 +/- 1.5 mmol m(-2) day(-1). Extensive phytoplankton blooms developed in the Georgia Basin, downstream of South Georgia, in October 2007 and persisted until March 2008. The seasonal depletion in dissolved inorganic carbon (DIC) was 94 +/- 1 mu mol kg(-1) and the Delta fCO(2)(sea-air) was -92 +/- 21 mu atm in the core of the bloom by early February. These conditions created a strong sink for atmospheric CO2 of -12.9 +/- 11.7 mmol m(-2) day(-1). In contrast, wintertime mixing into DIC-rich sub-surface waters created a strong CO2 source of 22.0 +/- 14.4 mmol m(-2) day(-1). These processes drive substantial seasonal changes in DIC of up to -0.7 mu mol kg(-1) day(-1) from winter to summer. Similarly to the blooms of Kerguelen and Crozet, the South Georgia bloom is likely to be fuelled by natural iron fertilisation. A DIC deficit of 2.2 +/- 0.3 mol m(-2) upstream of South Georgia suggested that the relative HNLC waters were more productive than indicated by satellites. The DIC deficit more than doubled downstream of South Georgia (4.6 +/- 0.8 mol m(-2)) to create the strongest seasonal carbon uptake in ice-free waters of the Southern Ocean to date. (C) 2011 Elsevier Ltd. All rights reserved.</t>
  </si>
  <si>
    <t>[Jones, Elizabeth M.] Royal Netherlands Inst Sea Res, NL-1790 AB Den Burg, Texel, Netherlands; [Jones, Elizabeth M.; Bakker, Dorothee C. E.; Watson, Andrew J.] Univ E Anglia, Sch Environm Sci, Norwich NR4 7TJ, Norfolk, England; [Venables, Hugh J.] British Antarctic Survey, Nat Environm Res Council, Cambridge CB3 0ET, England</t>
  </si>
  <si>
    <t>Utrecht University; Royal Netherlands Institute for Sea Research (NIOZ); University of East Anglia; UK Research &amp; Innovation (UKRI); Natural Environment Research Council (NERC); NERC British Antarctic Survey</t>
  </si>
  <si>
    <t>Jones, EM (corresponding author), Royal Netherlands Inst Sea Res, POB 59, NL-1790 AB Den Burg, Texel, Netherlands.</t>
  </si>
  <si>
    <t>elizabeth.jones@nioz.nl</t>
  </si>
  <si>
    <t>; Bakker, Dorothee/E-4951-2015</t>
  </si>
  <si>
    <t>Watson, Andrew/0000-0002-9654-8147; Bakker, Dorothee/0000-0001-9234-5337</t>
  </si>
  <si>
    <t>Natural Environment Research Council (NERC) under Centre for observation of Air-Sea Interactions and fluxes (CASIX) [NER/F14/G6/115]; Antarctic Funding Initiative (AFI) [CGS8/28]; NERC [bas0100028] Funding Source: UKRI; Natural Environment Research Council [bas0100028] Funding Source: researchfish</t>
  </si>
  <si>
    <t>Natural Environment Research Council (NERC) under Centre for observation of Air-Sea Interactions and fluxes (CASIX); Antarctic Funding Initiative (AFI); NERC(UK Research &amp; Innovation (UKRI)Natural Environment Research Council (NERC)); Natural Environment Research Council(UK Research &amp; Innovation (UKRI)Natural Environment Research Council (NERC))</t>
  </si>
  <si>
    <t>The authors would like to thank the British Antarctic Survey and the Captain, officers, crew and scientists onboard R.R.S. James Clark Ross during cruise JR177. The cruise was a component of the Discovery-2010 program. Geraint Tarling, Angus Atkinson and Sophie Fielding have been continually supportive of this work, both during and after the cruise. MODIS-Aqua data were provided by the SeaWiFS Project, NASA Goddard Space Flight Centre and ORBIMAGE. This work was part of Ph.D. research by EM Jones at the University of East Anglia funded by the Natural Environment Research Council (NERC) under the auspices of the Centre for observation of Air-Sea Interactions and fluxes (CASIX) (NER/F14/G6/115). Participation in the cruise was supported by the Antarctic Funding Initiative (AFI) through the Collaborative Gearing Scheme (CGS8/28). The authors acknowledge the constructive comments by the editors and two anonymous reviewers.</t>
  </si>
  <si>
    <t>10.1016/j.dsr2.2011.08.001</t>
  </si>
  <si>
    <t>WOS:000300810700003</t>
  </si>
  <si>
    <t>Hinz, DJ; Nielsdóttir, MC; Korb, RE; Whitehouse, MJ; Poulton, AJ; Moore, CM; Achterberg, EP; Bibby, TS</t>
  </si>
  <si>
    <t>Hinz, D. J.; Nielsdottir, M. C.; Korb, R. E.; Whitehouse, M. J.; Poulton, A. J.; Moore, C. M.; Achterberg, E. P.; Bibby, T. S.</t>
  </si>
  <si>
    <t>Responses of microplankton community structure to iron addition in the Scotia Sea</t>
  </si>
  <si>
    <t>Phytoplankton; Diatoms; Limiting factors; Physiology; Southern Ocean; Scotia Sea</t>
  </si>
  <si>
    <t>EXPORT EXPERIMENT CROZEX; SOUTHERN-OCEAN; PHYTOPLANKTON BLOOM; LIGHT INTERACTIONS; HIGH-NUTRIENT; FERTILIZATION; CARBON; PRODUCTIVITY; VARIABILITY; ENRICHMENT</t>
  </si>
  <si>
    <t>The Southern Ocean is largely a High Nutrient Low Chlorophyll (HNLC) region where macronutrient concentrations are high and phytoplankton productivity is low. However, there are productive 'hot spots' that sustain large phytoplankton blooms. These areas, maintained by natural iron (Fe) fertilization, are important for the Southern Ocean ecosystem and for driving carbon export. Fe addition on-deck bioassay experiments were conducted on two cruises to the Scotia Sea region of the Southern Ocean (austral spring 2006 and summer 2008) to better understand how Fe controls the microplankton (20-200 mu m) community structure on a seasonal basis. Light microscopy and fast-repetition rate fluorometry were used to examine changes in the species composition and physiological status of the microplankton community. Bioassays were carried out in three contrasting regions of the Scotia Sea: (1) a naturally Fe-fertilized, high chlorophyll area downstream (north and northwest) of the Islands of South Georgia (DSC); (2) a low Fe, low chlorophyll area upstream (south) of the Islands of South Georgia (USG); and (3) a naturally Fe-fertilized area north of the South Orkney Islands (SOI). Multivariate statistics were applied to the light microscopy results, showing significant differences between the initial microplankton communities for each of the bioassays. These differences were primarily spatial (between regions) and secondarily temporal (between seasons). Significant microplankton community shifts occurred in three of five bioassays, those in spring and summer USG and in summer DSG only. In summer, USG community responses increased significantly in medium (100-1000 pg C cell(-1)) and large ( &gt; 1000 pg C cell(-1)) diatom species in response to Fe addition. Such a response was consistent with relief from in situ Fe limitation, which favours larger microplankton species with higher Fe requirements and subject to lower grazing pressures. The largest biomass increase in Fe-treated bioassay bottles was in Pseudonitzschia spp., which suggests that this genus may be a particularly important member of the microplankton community in the Scotia Sea. (C) 2011 Elsevier Ltd. All rights reserved.</t>
  </si>
  <si>
    <t>[Hinz, D. J.; Nielsdottir, M. C.; Moore, C. M.; Achterberg, E. P.; Bibby, T. S.] Univ Southampton, Sch Ocean &amp; Earth Sci, Natl Oceanog Ctr Southampton, Southampton SO14 3ZH, Hants, England; [Korb, R. E.; Whitehouse, M. J.] British Antarctic Survey, Nat Environm Res Council, Cambridge CB3 0ET, England; [Poulton, A. J.] Natl Oceanog Ctr, Southampton SO14 3ZH, Hants, England</t>
  </si>
  <si>
    <t>University of Southampton; NERC National Oceanography Centre; UK Research &amp; Innovation (UKRI); Natural Environment Research Council (NERC); NERC British Antarctic Survey; NERC National Oceanography Centre</t>
  </si>
  <si>
    <t>Bibby, TS (corresponding author), Univ Southampton, Sch Ocean &amp; Earth Sci, Natl Oceanog Ctr Southampton, European Way, Southampton SO14 3ZH, Hants, England.</t>
  </si>
  <si>
    <t>tsb@noc.soton.ac.uk</t>
  </si>
  <si>
    <t>Bibby, Thomas S/C-9159-2014; Achterberg, Eric P/C-5820-2009; Poulton, Alex/A-9859-2012</t>
  </si>
  <si>
    <t>Moore, Mark/0000-0002-9541-6046; Bibby, Thomas/0000-0003-1743-473X; Poulton, Alex/0000-0002-5149-6961</t>
  </si>
  <si>
    <t>CGS; National Oceanography Center; ORSAS, Higher Education Funding Council for England; Natural Environment Research Council [noc010009, NE/E006833/1, bas0100025] Funding Source: researchfish; NERC [bas0100025, noc010009, NE/E006833/1] Funding Source: UKRI</t>
  </si>
  <si>
    <t>CGS; National Oceanography Center; ORSAS, Higher Education Funding Council for England; Natural Environment Research Council(UK Research &amp; Innovation (UKRI)Natural Environment Research Council (NERC)); NERC(UK Research &amp; Innovation (UKRI)Natural Environment Research Council (NERC))</t>
  </si>
  <si>
    <t>Many thanks to the officers and crew of the RRS James Clark Ross for their help and support through two seasons of field work. Financial support for this work was provided by a CGS Grant (Antarctic Funding Initiative, NERC), a National Oceanography Center Ph.D. studentship, and an ORSAS Grant (Higher Education Funding Council for England) providing funds for international students to undertake doctoral study in the UK. The authors also thank the NERC Earth Observation Data Acquisition and Analysis Service (NEODAAS) for supplying data for this study.</t>
  </si>
  <si>
    <t>10.1016/j.dsr2.2011.08.006</t>
  </si>
  <si>
    <t>WOS:000300810700004</t>
  </si>
  <si>
    <t>Whitehouse, MJ; Atkinson, A; Korb, RE; Venables, HJ; Pond, DW; Gordon, M</t>
  </si>
  <si>
    <t>Whitehouse, M. J.; Atkinson, A.; Korb, R. E.; Venables, H. J.; Pond, D. W.; Gordon, M.</t>
  </si>
  <si>
    <t>Substantial primary production in the land-remote region of the central and northern Scotia Sea</t>
  </si>
  <si>
    <t>Scotia Sea; Antarctica; Southern Ocean; Productivity; Nutrients; Gradients; Silicate; Silicic acid; Phosphate; Nitrate</t>
  </si>
  <si>
    <t>ANTARCTIC CIRCUMPOLAR CURRENT; SOUTHWEST ATLANTIC SECTOR; KRILL EUPHAUSIA-SUPERBA; SOUTHERN-OCEAN; PHYTOPLANKTON BLOOM; TEMPORAL VARIABILITY; COMMUNITY STRUCTURE; HIGH-NUTRIENT; WEDDELL SEA; FOOD-WEB</t>
  </si>
  <si>
    <t>The Scotia Sea area has high productivity relative to the Southern Ocean as a whole, but this displays strong latitudinal and longitudinal gradients. Elucidating the extent of these from a single cruise is problematic, given the high variability of bloom timing and location in this region. Therefore, this study used data from transects across the central Scotia Sea in spring, summer and autumn of 2006, 2008 and 2009, combined with satellite data, to obtain a larger-scale appreciation of the latitudinal contrasts in phytoplankton standing stock and primary production across the region. Concentrations of nitrate, phosphate and particularly silicic acid increased towards the south of the transect with the latter showing a step change at the Southern Antarctic Circumpolar Current Front (SACCF). Changes in seasonal nutrient concentrations indicated increasing phytoplankton uptake north of similar to 57 degrees S that peaked at similar to 53 degrees S in the Georgia Basin. Based on seasonal depletions of nitrate relative to phosphate, the highest relative nitrate uptake occurred northwest of South Georgia on the periphery of the Georgia Basin, indicating efficient nitrate use here due to iron-replete conditions. An integrative approach to examine these gradients was with the use of 10-year satellite climatology data. These showed that the lowest mean chlorophyll a (chl-a) values were in the central/northern Scotia Sea, but these were still substantial values, 67% of values within the Georgia Basin bloom. Cruise data on chl-a and on microplankton biomass from cell counts support this finding of substantial biomass in the central Scotia Sea; since these averaged half of values in the iron-fertilised bloom of the Georgia Basin downstream of South Georgia. Given that our transect was nearly 1000 km long and in parts was land remote with low iron concentrations, the relatively high production in the central and northern Scotia Sea is surprising. Iron levels may be maintained here by efficient recycling and irregular injections, possibly for example from dust deposition or shelf-derived inputs from the south. The moderate chl-a concentration across the mid-Scotia Sea and southwest of South Georgia reflect periodic, non-ice-associated blooms that occur in some years and not others. These may provide a connection between the large populations of krill inhabiting the northern and southern fringes of the Scotia Sea. (C) 2011 Elsevier Ltd. All rights reserved.</t>
  </si>
  <si>
    <t>[Whitehouse, M. J.; Atkinson, A.; Korb, R. E.; Venables, H. J.; Pond, D. W.; Gordon, M.] British Antarctic Survey, Nat Environm Res Council, Cambridge CB3 0ET, England</t>
  </si>
  <si>
    <t>Atkinson, A (corresponding author), British Antarctic Survey, Nat Environm Res Council, Madingley Rd, Cambridge CB3 0ET, England.</t>
  </si>
  <si>
    <t>aat@bas.ac.uk</t>
  </si>
  <si>
    <t>Natural Environment Research Council [dml010002, bas0100025, bas0100028] Funding Source: researchfish; NERC [bas0100025, bas0100028, dml010002] Funding Source: UKRI</t>
  </si>
  <si>
    <t>10.1016/j.dsr2.2011.05.010</t>
  </si>
  <si>
    <t>WOS:000300810700005</t>
  </si>
  <si>
    <t>Hinz, DJ; Poulton, AJ; Nielsdóttir, MC; Steigenberger, S; Korb, RE; Achterberg, EP; Bibby, TS</t>
  </si>
  <si>
    <t>Hinz, D. J.; Poulton, A. J.; Nielsdottir, M. C.; Steigenberger, S.; Korb, R. E.; Achterberg, E. P.; Bibby, T. S.</t>
  </si>
  <si>
    <t>Comparative seasonal biogeography of mineralising nannoplankton in the Scotia Sea: Emiliania huxleyi, Fragilariopsis spp. and Tetraparma pelagica</t>
  </si>
  <si>
    <t>Southern Ocean; Scotia Sea; Diatoms; Nannoplankton; Biogeography; Coccolithophores</t>
  </si>
  <si>
    <t>NATURAL IRON-FERTILIZATION; EXPORT EXPERIMENT CROZEX; SOUTHERN-OCEAN; COMMUNITY STRUCTURE; PHYTOPLANKTON PROCESSES; LIGHT INTERACTIONS; KERGUELEN-ISLANDS; INORGANIC CARBON; DISSOLVED IRON; ATLANTIC-OCEAN</t>
  </si>
  <si>
    <t>The Southern Ocean is an important biogeochemical region on a global scale, in which mineralising phytoplankton play a role in cycling energy, carbon and nutrients. Mineralising phytoplankton with cells 2-20 mu m in diameter (nannoplankton) are poorly enumerated by traditional preservation and microscopy techniques, yet may fulfil an important role in the Southern Ocean. Here we define the spatial and temporal biogeography for these mineralising nannoplankton assessed by scanning electron microscopy in conjunction with an array of biological, physical, and chemical variables during two cruises to the Scotia Sea region of the Southern Ocean. The cruises encompassed two seasons, austral summer (January-February 2008) and austral autumn (March-April 2009). The biogeography of the three most numerous mineralising nannoplankton groups, the coccolithophore Emiliania huxleyi, the smaller (&lt; 10 mu m) species of the diatom genus Fragilariopsis, and chrysophytes of the genus Tetraparma (mostly Tetraparma pelagica) were found to be related to the boundaries of the major circumpolar fronts. E. huxleyi abundances were relatively high in the northern water masses (maximum of 650 cells ml(-1)), while T. pelagica abundances were high in the southern water masses (maximum of 1910 cells ml(-1)). Small Fragilariopsis spp. abundances were also highest in the southern water masses (maximum of 1820 cells ml(-1)), but this group was present throughout the Scotia Sea. Multivariate statistical analysis found that the most influential environmental variables controlling mineralising nannoplankton biogeography were sea surface temperature and silicate concentration. Estimates of biomass indicated that the Scotia Sea mineralising nannoplankton community formed a substantial part of the total phytoplanlcton community, particularly south of the Southern Antarctic Circumpolar Current Front (SACCF) during the austral autumn, where mineralising nannoplankton biomass reached 36% of the total phytoplankton biomass. The results that are obtained suggest that traditional microscopic surveys of large Southern Ocean phytoplanlcton may underestimate total biomass by excluding key mineralising nannoplankton groups. Greater appreciation of the ecological significance of mineralising nannoplankton in the Southern Ocean will improve our understanding of the relationships between environmental parameters, primary production, and the biological carbon pump in this ecosystem. (C) 2011 Elsevier Ltd. All rights reserved.</t>
  </si>
  <si>
    <t>[Hinz, D. J.; Nielsdottir, M. C.; Steigenberger, S.; Achterberg, E. P.; Bibby, T. S.] Univ Southampton, Natl Oceanog Ctr, Southampton SO14 3ZH, Hants, England; [Korb, R. E.] British Antarctic Survey, Nat Environm Res Council, Cambridge CB3 0ET, England</t>
  </si>
  <si>
    <t>NERC National Oceanography Centre; University of Southampton; UK Research &amp; Innovation (UKRI); Natural Environment Research Council (NERC); NERC British Antarctic Survey</t>
  </si>
  <si>
    <t>Bibby, TS (corresponding author), Univ Southampton, Natl Oceanog Ctr, Waterfront Campus, Southampton SO14 3ZH, Hants, England.</t>
  </si>
  <si>
    <t>Achterberg, Eric P/C-5820-2009; Bibby, Thomas S/C-9159-2014; Poulton, Alex/A-9859-2012</t>
  </si>
  <si>
    <t>Bibby, Thomas/0000-0003-1743-473X; Poulton, Alex/0000-0002-5149-6961</t>
  </si>
  <si>
    <t>CGS; National Oceanography Centre; ORSAS, Higher Education Funding Council for England; NERC [NE/E006833/1, NE/F014635/1, bas0100025, noc010009] Funding Source: UKRI; Natural Environment Research Council [NE/E006833/1, bas0100025, noc010009, NE/F014635/1] Funding Source: researchfish</t>
  </si>
  <si>
    <t>CGS(China Geological Survey); National Oceanography Centre; ORSAS, Higher Education Funding Council for England; NERC(UK Research &amp; Innovation (UKRI)Natural Environment Research Council (NERC)); Natural Environment Research Council(UK Research &amp; Innovation (UKRI)Natural Environment Research Council (NERC))</t>
  </si>
  <si>
    <t>The authors would like to thank the officers and crew of the RRS James Clark Ross for all of their help and support through two seasons of field work. Thanks also to Richard Pearce (NOCS) for his SEM expertise and guidance. Financial support for this work was provided by a CGS grant (Antarctic Funding Initiative), a National Oceanography Centre Ph.D. studentship and an ORSAS grant (Higher Education Funding Council for England), which provides funds for international students to undertake doctoral study in the UK.</t>
  </si>
  <si>
    <t>10.1016/j.dsr2.2011.09.002</t>
  </si>
  <si>
    <t>WOS:000300810700006</t>
  </si>
  <si>
    <t>Korb, RE; Whitehouse, MJ; Ward, P; Gordon, M; Venables, HJ; Poulton, AJ</t>
  </si>
  <si>
    <t>Korb, Rebecca E.; Whitehouse, Michael J.; Ward, Peter; Gordon, Marina; Venables, Hugh J.; Poulton, Alex J.</t>
  </si>
  <si>
    <t>Regional and seasonal differences in microplankton biomass, productivity, and structure across the Scotia Sea: Implications for the export of biogenic carbon</t>
  </si>
  <si>
    <t>Scotia Sea; Microplankton communities; Seasonal and regional variability</t>
  </si>
  <si>
    <t>SIZE-FRACTIONATED PHYTOPLANKTON; SOUTHERN-OCEAN; COMMUNITY STRUCTURE; CROZET PLATEAU; CHLOROPHYLL-A; ANTARCTIC PENINSULA; IRON FERTILIZATION; ATLANTIC SECTOR; HIGH-NUTRIENT; WATERS</t>
  </si>
  <si>
    <t>Surveys of the microplankton communities of the Scotia Sea, Southern Ocean, were carried out during three separate seasons of interest, spring, summer, and autumn of consecutive years. The surveys were conducted along a south to north transect and covered areas of low and high productivity, as well as crossing deep, open water and shallow, bathymetric features. During the summer and autumn cruises, cluster analysis revealed four distinct communities that were broadly consistent between cruises. From south to north the zones in which the communities fell were as follows: SOUTH, stations in the south Scotia Sea; MID, stations in the central Scotia Sea; SW-SG, stations southwest of the island of South Georgia; and NW-SG, stations northwest of South Georgia. Two main groups dominated the microplankton communities in all zones and all seasons; diatoms and naked, heterotrophic dinoflagellates. However, the proportion of these groups, and the species of diatom present, varied between zones and between seasons. In the SOUTH zone, a cryptophyte bloom was observed during summer. Spring and autumn communities showed similar levels of Chl a (0.6-1.5 mg m(-3)) but shifted to increasing numbers and biomass of heavily silicified diatoms (Fragilariopsis spp. and Corethron pennatum). Dense, spring blooms of the MID zone were dominated by a weakly silicified diatom, Thalassiosira spp. This contrasted with production 10 times lower (similar to 0.2 g C m(-2) d(-1)) during the dinoflagellate composed, summer and autumn cruises. Closer to the island of South Georgia, lightly silicified diatoms became increasingly prevalent. In the SW-SG zone, such diatoms were found both in low Chl a (0.3 mg m(-3)) spring-time waters and in short-lived summer blooms. Autumn communities saw a switch to dinoflagellates co-inciding with decreasing light levels and depletion of macronutrients. Downstream of South Georgia, in the NW-SG zone, high productivity (up to 2.8 g C m(-2) d(-1)) and long lasting blooms (3-6 months) were found on all seasons surveyed. The NW-SG microplankton consisted of a mixed community with both heavily and weakly silicified diatoms, but also significant amounts of heterotrophic dinoflagellates. Using bloom dynamics, microplankton structure and diatom speciation of our 4 Scotia Sea zones, we propose the following potential export regimes: (1) SOUTH - weak export of carbon, (2) MID - episodic, dense pulses of carbon may be exported, (3) SW-SG - modest pulses of carbon may be exported, and (4) NW-SG - high export of biogenic carbon likely to occur. Crown Copyright (C) 2011 Published by Elsevier Ltd. All rights reserved.</t>
  </si>
  <si>
    <t>[Korb, Rebecca E.; Whitehouse, Michael J.; Ward, Peter; Gordon, Marina; Venables, Hugh J.] British Antarctic Survey, Cambridge CB3 0ET, England; [Poulton, Alex J.] Natl Oceanog Ctr, Southampton SO14 3ZH, Hants, England</t>
  </si>
  <si>
    <t>UK Research &amp; Innovation (UKRI); Natural Environment Research Council (NERC); NERC British Antarctic Survey; NERC National Oceanography Centre</t>
  </si>
  <si>
    <t>Korb, RE (corresponding author), British Antarctic Survey, Madingley Rd, Cambridge CB3 0ET, England.</t>
  </si>
  <si>
    <t>bxkorb@gmail.com</t>
  </si>
  <si>
    <t>Poulton, Alex/A-9859-2012</t>
  </si>
  <si>
    <t>Poulton, Alex/0000-0002-5149-6961</t>
  </si>
  <si>
    <t>Natural Environmental Research Council under the British Antarctic Surveys; NERC [bas0100025, bas0100028, noc010009] Funding Source: UKRI; Natural Environment Research Council [bas0100025, noc010009, bas0100028] Funding Source: researchfish</t>
  </si>
  <si>
    <t>Natural Environmental Research Council under the British Antarctic Surveys; NERC(UK Research &amp; Innovation (UKRI)Natural Environment Research Council (NERC)); Natural Environment Research Council(UK Research &amp; Innovation (UKRI)Natural Environment Research Council (NERC))</t>
  </si>
  <si>
    <t>The authors wish to thank NASA and the Ocean Colour team. We are greatly indebted to the crew, support staff and scientists onboard the James Clark Ross for all their hard work during the cruises. This work was supported by the Natural Environmental Research Council under the British Antarctic Surveys 'Ecosystems: Discovery 2010' programme.</t>
  </si>
  <si>
    <t>10.1016/j.dsr2.2011.06.006</t>
  </si>
  <si>
    <t>WOS:000300810700007</t>
  </si>
  <si>
    <t>Ward, P; Atkinson, A; Tarling, G</t>
  </si>
  <si>
    <t>Ward, Peter; Atkinson, Angus; Tarling, Geraint</t>
  </si>
  <si>
    <t>Mesozooplankton community structure and variability in the Scotia Sea: A seasonal comparison</t>
  </si>
  <si>
    <t>Mesozooplankton; Mesh selection; Scotia Sea; Community composition; Seasonal change; Temperature</t>
  </si>
  <si>
    <t>ZOOPLANKTON DISPLACEMENT VOLUME; CALANOIDES-ACUTUS COPEPODA; RHINCALANUS-GIGAS COPEPODA; EUPHAUSIA-SUPERBA DANA; GEORGIA SOUTHERN-OCEAN; LATE AUSTRAL SUMMER; ATLANTIC SECTOR; ANTARCTIC KRILL; OCEANOGRAPHIC STRUCTURE; OITHONA-SIMILIS</t>
  </si>
  <si>
    <t>Mesozooplankton distribution and community structure was investigated during 3 cruises to the Scotia Sea in austral spring, summer and autumn. Three mesh sizes of Bongo nets were used during each cruise with a 53 mu m mesh net yielding on average 1.76 times higher densities (median 923,000 ind. m(-2), 0-400 m) than a 100 mu m net and 7.42 times more than a 200 mu m net across all cruises. Small copepods dominated numerically across all nets with Oithona spp., Oncaea spp., Ctenocalanus citer and Microcalanus pygmaeus being particularly abundant, with sample densities of up to 3.5 x 10(6) ind.m(-2) recorded within the top 400 m. A more even distribution of biomass among net sizes was apparent, with median net ratios (1.15-1.25) smaller and more even than for abundance. To the south of the Scotia Sea plankton maxima occurred in autumn, consistent with a later spawning in many species, whereas further north, abundance in 53 and 100 mu m nets varied little across seasons, although in the 200 mu m net there was a clear summer maximum. Median biomass increased through summer and by autumn was twice than found during spring in all parts of the Scotia Sea. Cluster analysis indicated two main station groups in all 3 seasons. To the south of the Southern boundary of the ACC (SB-ACC), Group 1 contained stations, that lay within the seasonal sea-ice zone and where zooplankton abundance and biomass was persistently low. In contrast at Group 2 stations, north of the Southern Antarctic Circumpolar Current Front (SACCF) abundance and biomass was consistently higher. Differences between the two groups were largely apparent at the population rather than at the taxonomic level. LHPR hauls to 1000 m indicated that the large seasonal migrant copepods Calanoides acutus and Rhincalanus gigas were at a more advanced stage of development in the north in spring and summer where they were generally present in the upper water column. In autumn, at all stations, C. acutus was dominated by later stages and was dispersed throughout the water column. Calanus simillimus was only abundant at Group 2 stations with older stages dominant in spring and autumn and younger stages in summer. The influence of environmental factors such as sea-ice, temperature and chlorophyll a biomass (Chl a) which may have influenced the development and seasonal succession of zooplankton populations, is briefly discussed. (C) 2011 Elsevier Ltd. All rights reserved.</t>
  </si>
  <si>
    <t>[Ward, Peter; Atkinson, Angus; Tarling, Geraint] British Antarctic Survey, Nat Environm Res Council, Cambridge CB3 0ET, England</t>
  </si>
  <si>
    <t>Ward, P (corresponding author), British Antarctic Survey, Nat Environm Res Council, Madingley Rd, Cambridge CB3 0ET, England.</t>
  </si>
  <si>
    <t>pwar@nerc-bas.ac.uk</t>
  </si>
  <si>
    <t>RRS; Natural Environment Research Council [bas0100025] Funding Source: researchfish; NERC [bas0100025] Funding Source: UKRI</t>
  </si>
  <si>
    <t>RRS; Natural Environment Research Council(UK Research &amp; Innovation (UKRI)Natural Environment Research Council (NERC)); NERC(UK Research &amp; Innovation (UKRI)Natural Environment Research Council (NERC))</t>
  </si>
  <si>
    <t>Thanks go to the officers and crew of the RRS James Clark Ross for their support, assistance and great patience during these 3 cruises. Also to Mick Whitehouse, Rachael Shreeve, Rebecca Korb and Andrew Hirst, who as professional and sea-going colleagues of many years standing, variously and independently, decided that at last enough really was enough and have moved on to pastures new. We thank them for their friendship and professional interest and support over the years and wish them well for the future.</t>
  </si>
  <si>
    <t>10.1016/j.dsr2.2011.07.004</t>
  </si>
  <si>
    <t>WOS:000300810700008</t>
  </si>
  <si>
    <t>Pond, DW; Tarling, GA; Ward, P; Mayor, DJ</t>
  </si>
  <si>
    <t>Pond, David W.; Tarling, Geraint A.; Ward, Peter; Mayor, Daniel J.</t>
  </si>
  <si>
    <t>Wax ester composition influences the diapause patterns in the copepod Calanoides acutus</t>
  </si>
  <si>
    <t>Southern Ocean; Calanoid; Diapause; Wax esters; Diatoms</t>
  </si>
  <si>
    <t>CALANUS-FINMARCHICUS; FATTY-ACIDS; LIFE-CYCLE; HERBIVOROUS COPEPODS; ANTARCTIC COPEPODS; LATE SUMMER; SCOTIA SEA; LIPIDS; COMMUNITY; BUOYANCY</t>
  </si>
  <si>
    <t>Many calanoid copepods inhabiting high latitude environments overwinter at depth in the water column in a state of diapause and the large wax ester reserves that they contain are central to this process. Here we compare the abundance, depth distribution, lipid content and wax ester composition of individual CV Calanoides acutus collected from the Southern Ocean at depth horizons ranging from the surface to 1000 m. Abundances of CV C acutus varied considerably between locations, ranging from 44 to 1256 m(-2). Levels of total lipid in the copepods increased with depth at a rate of around 100 mu g per 100 m depth between 200 and 1000 m. Fatty acid composition of the wax esters reflected that of the local prey community, with a spectrum of diatom to flagellate dominated profiles corresponding to different microplankton environments. Copepods with highest levels of total lipid also contained highest levels of the highly unsaturated diatom fatty acid biomarker 20:5(n-3), and occupied the deepest depths during diapause. In addition, unsaturation levels of both the fatty acid and fatty alcohol moieties of the wax esters in the copepods increased with depth. This has implications for the buoyancy of these organisms: higher unsaturation makes the lipid likely to change from liquid to solid state at overwintering depths, increasing their specific gravity. These findings emphasise functional role of n-3 fatty acids in the diapause life-phase of calanoid copepods and in particular the importance of fatty acids from diatoms for overwintering. Crown Copyright (C) 2011 Published by Elsevier Ltd. All rights reserved.</t>
  </si>
  <si>
    <t>[Pond, David W.; Tarling, Geraint A.; Ward, Peter] British Antarctic Survey, Nat Environm Res Council, Cambridge CB3 0ET, England; [Mayor, Daniel J.] Univ Aberdeen, Inst Biol &amp; Environm Sci, Oceanlab, Newburgh AB41 6AA, Aberdeen, Scotland</t>
  </si>
  <si>
    <t>UK Research &amp; Innovation (UKRI); Natural Environment Research Council (NERC); NERC British Antarctic Survey; University of Aberdeen</t>
  </si>
  <si>
    <t>Pond, DW (corresponding author), British Antarctic Survey, Nat Environm Res Council, Madingley Rd, Cambridge CB3 0ET, England.</t>
  </si>
  <si>
    <t>dwpo@bas.ac.uk</t>
  </si>
  <si>
    <t>Mayor, Daniel/HDN-8520-2022</t>
  </si>
  <si>
    <t>Mayor, Daniel/0000-0002-1295-0041</t>
  </si>
  <si>
    <t>British Antarctic Survey; NERC [bas0100025, dml011002, NE/G014744/1] Funding Source: UKRI; Natural Environment Research Council [dml011002, bas0100025, NE/G014744/1] Funding Source: researchfish</t>
  </si>
  <si>
    <t>British Antarctic Survey; NERC(UK Research &amp; Innovation (UKRI)Natural Environment Research Council (NERC)); Natural Environment Research Council(UK Research &amp; Innovation (UKRI)Natural Environment Research Council (NERC))</t>
  </si>
  <si>
    <t>We thank the officers and crew of the James Clark Ross for their professionalism whilst at sea. We also thank two anonymous reviewers whose comments greatly improved the manuscript. H. Venables provided temperature and salinity data. A. Poulton carried out the cell counts and made the biomass estimates. This research was funded under the British Antarctic Survey 'Ecosystems' programme.</t>
  </si>
  <si>
    <t>10.1016/j.dsr2.2011.05.009</t>
  </si>
  <si>
    <t>WOS:000300810700009</t>
  </si>
  <si>
    <t>Bednarsek, N; Tarling, GA; Fielding, S; Bakker, DCE</t>
  </si>
  <si>
    <t>Bednarsek, N.; Tarling, G. A.; Fielding, S.; Bakker, D. C. E.</t>
  </si>
  <si>
    <t>Population dynamics and biogeochemical significance of Limacina helicina antarctica in the Scotia Sea (Southern Ocean)</t>
  </si>
  <si>
    <t>Thecosome pteropods; Southern Ocean; Life history; Biomass; Mortality; Aragonite</t>
  </si>
  <si>
    <t>CALANOIDES-ACUTUS COPEPODA; ARAGONITE PRODUCTION; COMMUNITY STRUCTURE; PTEROPOD MOLLUSKS; VERTICAL FLUX; WEDDELL SEA; ROSS SEA; ICE-ZONE; FOOD-WEB; CYCLE</t>
  </si>
  <si>
    <t>Limacina helicina antarctica is a common part of the Southern Ocean zooplankton community but little is known about its life cycle. Here we determine the population structure and standing stock biomass of this species in the Scotia Sea region and use this information to derive estimates for rates of growth, mortality and secondary productivity. Three non-overlapping cohorts were present in the size-frequency distribution, a G2 generation (0-year) with a modal peak at 0.3 mm shell diameter, a G1 generation (1-year) with a modal peak at 2.7 mm and a G generation (2-year) cohort with sizes between 4 and 10 mm. We surmise that at least some L. helicina ant. are capable of living 3 years or more, growing at an average rate of 0.01 mm d(-1). Mortality rates were 0.01 d(-1) or 3.83 year(-1), with 2% of individuals surviving beyond 1 year of age and 0.05% beyond 2 years of age. Standing stock biomass was 178 mg DW m(-2) or 32 mg C m(-2), divided between 23 mg C-org m(-2) and 9 mg C-inorg m(-2). The inorganic fraction had a calcium carbonate composition equivalent to 72 mg CaCO3 m(-2). Maximum daily productivity during the summer was 1.8 mg C m(-2) d(-1), made up of 1.3 C-org mg m(-2) d(-1) and 0.5 mg C-inorg m(-2) d(-1), and equivalent to 4.2 mg CaCO3 m(-2) d(-1). The mass specific growth rate (P:B d(-1)) was 0.06 within the summer period. Growth and production appeared to continue over the autumn and winter months at rates almost equivalent to those in summer. We propose that autumn peaks in sedimenting L. helicina ant., reported by other studies, do not appear to be the consequence of the termination of the life-cycle but are more likely to result from a combination of environmental and behavioural factors. (C) 2011 Elsevier Ltd. All rights reserved.</t>
  </si>
  <si>
    <t>[Bednarsek, N.; Tarling, G. A.; Fielding, S.] British Antarctic Survey, Nat Environm Res Council, Cambridge CB3 0ET, England; [Bednarsek, N.; Bakker, D. C. E.] Univ E Anglia, Sch Environm Sci, Norwich NR4 7TJ, Norfolk, England</t>
  </si>
  <si>
    <t>UK Research &amp; Innovation (UKRI); Natural Environment Research Council (NERC); NERC British Antarctic Survey; University of East Anglia</t>
  </si>
  <si>
    <t>Bednarsek, Nina/Q-8937-2017; Fielding, Sophie/E-5137-2012; bednarsek, nina/AAM-7748-2021; Bakker, Dorothee/E-4951-2015</t>
  </si>
  <si>
    <t>bednarsek, nina/0000-0002-9177-6626; Bakker, Dorothee/0000-0001-9234-5337</t>
  </si>
  <si>
    <t>FAASIS (Fellowships in Antarctic Air-Sea-Ice Science); Marie Curie Early Stage Training Network; BAS; Natural Environment Research Council [bas0100025, NE/H017267/1] Funding Source: researchfish; NERC [bas0100025, NE/H017267/1] Funding Source: UKRI</t>
  </si>
  <si>
    <t>FAASIS (Fellowships in Antarctic Air-Sea-Ice Science); Marie Curie Early Stage Training Network; BAS; Natural Environment Research Council(UK Research &amp; Innovation (UKRI)Natural Environment Research Council (NERC)); NERC(UK Research &amp; Innovation (UKRI)Natural Environment Research Council (NERC))</t>
  </si>
  <si>
    <t>Thanks go to the officers and crew of the RRS James Clark Ross for their support during the cruise JR177, from which the live material was obtained. Peter Enderlein played a vital part in keeping all net-sampling equipment operational during this cruise. Hugh Venables and Elizabeth Jones carried out the physical oceanographic and biogeochemical work used to instruct sampling and analysis. We are indebted to Peter Ward for his assistance in locating preserved samples and in providing abundance values for those that had been previously analysed. NB was supported by the FAASIS (Fellowships in Antarctic Air-Sea-Ice Science), a Marie Curie Early Stage Training Network GT and SF carried out this work as part of the Ecosystems programme at BAS.</t>
  </si>
  <si>
    <t>10.1016/j.dsr2.2011.08.003</t>
  </si>
  <si>
    <t>WOS:000300810700010</t>
  </si>
  <si>
    <t>Watts, J; Tarling, GA</t>
  </si>
  <si>
    <t>Watts, Jamie; Tarling, Geraint A.</t>
  </si>
  <si>
    <t>Population dynamics and production of Themisto gaudichaudii (Amphipoda, Hyperiidae) at South Georgia, Antarctica</t>
  </si>
  <si>
    <t>Hyperiid amphipod; Predation; Consumption; Growth; P/B; Recruitment; Southern Ocean; Antarctica</t>
  </si>
  <si>
    <t>CALANOIDES-ACUTUS COPEPODA; MARINE PLANKTONIC COPEPODS; KRILL EUPHAUSIA-SUPERBA; SCOTIA SEA; PREDATION IMPACT; LIFE-HISTORY; GLOBAL RATES; FOOD-WEB; ZOOPLANKTON; GROWTH</t>
  </si>
  <si>
    <t>The population dynamics, individual growth rates and productivity of the hyperiid amphipod Themisto gaudichaudii were studied in Cumberland Bay, a fjord on the north-eastern coast of South Georgia. The study involved the weekly sampling of the population and its potential food with a Rectangular Midwater Trawl (RMT1) at weekly intervals between May 2005 and October 2006. Offshore samples were taken the previous austral summer using an RMT8 net. T. gaudichaudii produced one main cohort in the spring (September/October) and a secondary weaker cohort in the late summer (January/February). The main cohort appeared at the time of phytoplankton increase, about 3 weeks before an increase in mesozooplankton. Larger individuals (20-25 mm) resided offshore but not within the Bay during the main recruitment period. T. gaudichaudii grew at an average rate of 0.1 mm d(-1) during the first four months after release and then by 0.07 mm d(-1) for the subsequent four months. At these rates, it is possible that the main cohort reaches reproductive size in time to spawn the autumn cohort, although the relative weakness of the autumn cohort suggests that few manage this. T. gaudichaudii biomass reached its highest levels in November at a mean value of 5.4 mg DW m(-3) while daily production was also highest in November at a mean value of 0.17 mg DW m(-3) d(-1). The P/B d(-1) ratio varied between 0.03 d(-1) in the summer to below 0.01 d(-1) in the winter. Daily mortality rate was initially 0.12 d(-1) during the first two months post-recruitment, falling to 0.03 d(-1) for the remainder of the year. Integrating production over the year gave a value of 10.04 mg DW y(-1), equivalent to 3.62 mg C m(-3) y(-1), making T. gaudichaudii a relatively productive component of the pelagic community. During the summer, the species was estimated to consume around 1-2% of available mesozooplankton biomass and a mean of 15% of mesozooplankton daily productivity. T. gaudichaudii may have a controlling influence on mesozooplankton dynamics as well as on the recruitment of the larval stages of important commercially fished species such as Antarctic krill (Euphausia superba) and Mackerel icefish (Champsocephalus gunnari). (C) 2011 Elsevier Ltd. All rights reserved.</t>
  </si>
  <si>
    <t>[Watts, Jamie; Tarling, Geraint A.] British Antarctic Survey, Nat Environm Res Council, Cambridge CB3 0ET, England</t>
  </si>
  <si>
    <t>British Antarctic Survey; NERC [bas0100025] Funding Source: UKRI; Natural Environment Research Council [bas0100025] Funding Source: researchfish</t>
  </si>
  <si>
    <t>Data was collected as part of the Government of South Georgia and South Sandwich Islands (GSGSSI) long term applied fisheries monitoring programme at King Edward Point, South Georgia. Mark Belchier is thanked for the provision and processing of temperature and salinity profile data as well as for his advice on earlier drafts of this manuscript. We also acknowledge the efforts of Andrew Fleming for acquiring and processing the SeaWiFS data, Rachael Shreeve for the identification and enumeration of the mesozooplankton samples, Natalie Ensor for the length measurement of the offshore samples and Peter Fretwell for the provision of a map of Cumberland Bay. The contribution of GT was supported by the Ecosystems programme at the British Antarctic Survey.</t>
  </si>
  <si>
    <t>10.1016/j.dsr2.2011.05.001</t>
  </si>
  <si>
    <t>WOS:000300810700011</t>
  </si>
  <si>
    <t>Mackey, AP; Atkinson, A; Hill, SL; Ward, P; Cunningham, NJ; Johnston, NM; Murphy, EJ</t>
  </si>
  <si>
    <t>Mackey, A. P.; Atkinson, A.; Hill, S. L.; Ward, P.; Cunningham, N. J.; Johnston, N. M.; Murphy, E. J.</t>
  </si>
  <si>
    <t>Antarctic macrozooplankton of the southwest Atlantic sector and Bellingshausen Sea: Baseline historical distributions (Discovery Investigations, 1928-1935) related to temperature and food, with projections for subsequent ocean warming</t>
  </si>
  <si>
    <t>Zooplankton; Southern Ocean; Polar front; Climate change; Chlorophyll; Biogeography</t>
  </si>
  <si>
    <t>MESOZOOPLANKTON COMMUNITY STRUCTURE; MARGINAL ICE-ZONE; SOUTHERN-OCEAN; SCOTIA SEA; ZOOPLANKTON COMMUNITY; CLIMATE-CHANGE; ROSS SEA; SEASONAL SUCCESSION; PLANKTON COMMUNITY; VERTICAL MIGRATION</t>
  </si>
  <si>
    <t>Since the Discovery Investigations of the 1920s and 1930s, seawater temperatures have increased in the Atlantic sector by similar to 1 degrees C; greater than the global mean rise. The aims of this paper were first to rescue the Discovery macrozooplankton data, second to provide quantitative baseline distribution maps, relating these to indices of temperature and food. Our third aim was to use the relationships we derived between abundance and temperature to project the potential affect of a 1 degrees C warming on the Discovery era distribution patterns. Based on the 1 m ringnet data retrieved from 615 stations (Nov-March), four taxa comprised &gt;90% of the Antarctic macrozooplankton abundance: Rhincalanus gigas, Thysanoessa spp., Euphausia superba, and Chaetognaths. Most of the taxa, especially the more abundant ones, were warm water species penetrating into Antarctica and thus total macrozooplankton abundance decreased about 100-fold from 50 degrees S to 70 degrees S. While temperature correlated best with distribution at this large scale, food availability (proxied by a present-day satellite-based Chlorophyll a climatology) had a secondary effect, with the major euphausiids Euphausia superba and Thysanoessa spp. concentrated in high chl a areas. A modelled uniform 1 degrees C temperature rise produced a poleward shift for all taxa, but the Antarctic continent blocked this re-adjustment for the high latitude species, constricting their predicted range. More widespread polar/sub-polar species were predicted to increase their penetration into Antarctica by 4-12 degrees in latitude, whereas the poleward shift in potential range of sub-Antarctic taxa were limited by the steep temperature gradient across the Antarctic Polar Front (APF). However, within the Scotia Sea the relatively warm temperatures of the northern Antarctic Zone, abundant food due to iron fertilisation and intense eddy activity provide a gateway for northern species to penetrate south of the APF. Our model predictions, based on measured distributional ranges and observed temperature increases, provide a yardstick with which to compare modern day data compilations and assess the potential effects of future temperature increases. (C) 2011 Elsevier Ltd. All rights reserved.</t>
  </si>
  <si>
    <t>[Mackey, A. P.; Atkinson, A.; Hill, S. L.; Ward, P.; Cunningham, N. J.; Johnston, N. M.; Murphy, E. J.] British Antarctic Survey, Nat Environm Res Council, Cambridge CB3 0ET, England</t>
  </si>
  <si>
    <t>Mackey, AP (corresponding author), Edith Cowan Univ, Ctr Marine Ecosyst Res, 100 Joondalup Dr, Joondalup, WA 6027, Australia.</t>
  </si>
  <si>
    <t>a.mackey@ecu.edu.au</t>
  </si>
  <si>
    <t>Atkinson, Angus/HOH-3417-2023; murphy, eugene/GZL-1620-2022; Simeon, Hill L/B-2307-2008; Cunningham, Nathan J/B-9591-2008</t>
  </si>
  <si>
    <t>Johnston, Nadine M/0000-0003-2211-1492; Cunningham, Nathan/0000-0003-4941-504X</t>
  </si>
  <si>
    <t>EC; BAS via the Polar Data Centre; NERC [bas0100025] Funding Source: UKRI; Natural Environment Research Council [bas0100025] Funding Source: researchfish</t>
  </si>
  <si>
    <t>EC(European Union (EU)European Commission Joint Research Centre); BAS via the Polar Data Centre; NERC(UK Research &amp; Innovation (UKRI)Natural Environment Research Council (NERC)); Natural Environment Research Council(UK Research &amp; Innovation (UKRI)Natural Environment Research Council (NERC))</t>
  </si>
  <si>
    <t>This data rescue project is a joint venture between the British Antarctic Survey (BAS) and National Oceanography Centre, Southampton. Its initial stages were funded by the EC's Framework 6 EUR-OCEANS European Network of Excellence (now the EUR-OCEANS Consortium) and then through BAS via the Polar Data Centre and Ecosystems Programme. We would like to thank our former colleague Phillip Martin who undertook the early work in this project and Adrian Burkett and Jane Stephenson of the National Oceanography Centre library in Southampton, who without their help this project would not have been possible. The comments of Brian Hunt and an anonymous reviewer greatly improved the presentation and interpretation. This paper is dedicated to the scientists and crew of the Discovery Investigations (1925-1951). We hope that our analysis here is worthy of their tireless efforts in the pursuit of Antarctic science.</t>
  </si>
  <si>
    <t>10.1016/j.dsr2.2011.08.011</t>
  </si>
  <si>
    <t>WOS:000300810700012</t>
  </si>
  <si>
    <t>Atkinson, A; Schmidt, K; Fielding, S; Kawaguchi, S; Geissler, PA</t>
  </si>
  <si>
    <t>Atkinson, A.; Schmidt, K.; Fielding, S.; Kawaguchi, S.; Geissler, P. A.</t>
  </si>
  <si>
    <t>Variable food absorption by Antarctic krill: Relationships between diet, egestion rate and the composition and sinking rates of their fecal pellets</t>
  </si>
  <si>
    <t>Euphausia superba; Antarctic krill; Fecal pellet; Egestion; Export; Sinking; C:N ratio; Stoichiometry; Assimilation efficiency; Absorption efficiency; Superfluous feeding</t>
  </si>
  <si>
    <t>COPEPOD ACARTIA-TONSA; MARGINAL ICE-ZONE; EUPHAUSIA-SUPERBA; SOUTHERN-OCEAN; SCOTIA SEA; CALANOID COPEPOD; BIOGENIC CARBON; PARTICLE-FLUX; PARTICULATE MATTER; RESPIRATION RATES</t>
  </si>
  <si>
    <t>The kinetics of food processing by zooplankton affects both their energy budgets and the biogeochemical fate of their fecal pellets. We sampled 40 schools of krill across the Scotia Sea during spring, summer and autumn and found that in all 3 seasons, every aspect of their absorption and defecation varied greatly. The C content of fecal pellets varied from 0.85% to 29% of their dry mass (median 9.8%) and C egestion rates varied 75-fold. C:N mass ratios of pellets ranged from 4.9 to 13.2 (median 7.8), higher than values of 3.9 in the krill and 5.4 in their food, pointing to enhanced uptake of N. Pellet sinking rates equated to 27-1218 m d(-1) (median 304 m d(-1)), being governed mainly by pellet diameter (80-600 mu m, mean 183 mu m) and density (1.038-1.391 g cm(-3), mean 1.121 g cm(-3)). Pellets showed little loss of C or N in filtered seawater over the first 2 days and were physically robust. When feeding rates were low, slow gut passage time and high absorption efficiency resulted in low egestion rates of pellets that were low in C and N content. These pellets were compact, dense and fast-sinking. Conversely, in good feeding conditions much food tended to pass quickly through the gut and was not efficiently absorbed, producing C and N-rich, slow-sinking pellets. Such superfluous feeding probably maximises the absolute rates of nutrient absorption. Food composition was also important: diatom-rich diets depressed the C content of the pellets but increased their sinking rates, likely due to silica ballasting. So depending on how krill process food, their pellets could represent both vehicles for rapid export and slow sinking, C and N-rich food sources for pelagic scavengers. C egestion rates by krill averaged 3.4% of summer primary production (and ingestion rates would be 2-10-fold higher than this) so whatever the fate of the pellets, krill are an important re-packager within the food web. While salp pellets tend to sink faster than those of krill, it is the latter that tend to prevail in sediment traps. We suggest that this is because krill schools are more compact, producing rain showers of pellets that exceed the capacity of pelagic scavengers to reprocess them. (C) 2011 Elsevier Ltd. All rights reserved.</t>
  </si>
  <si>
    <t>[Atkinson, A.; Schmidt, K.; Fielding, S.; Geissler, P. A.] British Antarctic Survey, Nat Environm Res Council, Cambridge CB3 0ET, England; [Kawaguchi, S.] Australian Antarctic Div, Dept Environm &amp; Water Resources, Kingston, Tas 7050, Australia</t>
  </si>
  <si>
    <t>UK Research &amp; Innovation (UKRI); Natural Environment Research Council (NERC); NERC British Antarctic Survey; Australian Antarctic Division</t>
  </si>
  <si>
    <t>Atkinson, Angus/HOH-3417-2023; Fielding, Sophie/E-5137-2012; Kawaguchi, So/N-1795-2017</t>
  </si>
  <si>
    <t>10.1016/j.dsr2.2011.06.008</t>
  </si>
  <si>
    <t>WOS:000300810700013</t>
  </si>
  <si>
    <t>Schmidt, K; Atkinson, A; Venables, HJ; Pond, DW</t>
  </si>
  <si>
    <t>Schmidt, Katrin; Atkinson, Angus; Venables, Hugh J.; Pond, David W.</t>
  </si>
  <si>
    <t>Early spawning of Antarctic krill in the Scotia Sea is fuelled by superfluous feeding on non-ice associated phytoplankton blooms</t>
  </si>
  <si>
    <t>Krill; Spawning; Fatty acids; Faecal pellets; Absorption efficiency; Spring phytoplankton blooms; SACCF</t>
  </si>
  <si>
    <t>EUPHAUSIA-SUPERBA DANA; COMMUNITY STRUCTURE; OVERWINTERING STRATEGY; TEMPORAL VARIABILITY; LIPID-METABOLISM; FOOD; PENINSULA; BIOMASS; REGION; OCEAN</t>
  </si>
  <si>
    <t>The spawning success of Antarctic krill (Euphausia superba) is generally assumed to depend on substantial winter sea ice extent, as ice biota can serve as a food source during winter/spring and the seasonal ice melt conditions the upper water column for extensive phytoplankton blooms. However, direct observations during spring are rare. Here we studied krill body condition and maturity stage in relation to feeding (i.e. stomach fullness, diet, absorption of individual fatty acids and defecation rate) across the Scotia Sea in November 2006. The phytoplankton concentrations were low at the marginal ice zone (MIZ) in the southern Scotia Sea (Stn. 1, 2, and 3), high in open waters of the Southern Antarctic Circumpolar Current Front (SACCF) in the central Scotia Sea (Stn. 5), and moderate further north (Stn. 6 and 7). Krill had low lipid reserves (similar to 6.5% of dry mass. DM), low mass:length ratios (similar to 1.7 mg DM mm(-1)), and small digestive glands (similar to 7% of total DM) near the ice edge. The stomachs contained lithogenic particles, diatom debris, and bacterial fatty acids, but low proportions of diatom-indicating fatty acids, which suggest that these krill were feeding on detritus rather than on fresh ice algae. In the SACCF, krill had higher lipid reserves (similar to 10% of DM), high mass:length ratios (similar to 2.2 mg DM mm(-1)), and large digestive glands (similar to 16% of total DM). Stomach content and tissue composition indicate feeding on diatoms. In the north, moderate food concentrations co-occurred with low lipid reserves in krill, and moderate mass:length ratios and digestive gland sizes. Only in the phytoplankton bloom in the SACCF had the mating season already started and some females were about to spawn. Based on the way krill processed their food at the different stations, we indicate two mechanisms that can lead to fast regeneration of body reserves and oocyte maturation in E. superba. One is superfluous feeding at high food concentrations, which maximises the overall nutrient gain. The other is a preferential absorption of crucial fatty acids: 20:5(n-3) and 22:6(n-3) when regaining body condition after the winter, and 14:0 and 16:1(n-7) during accumulation of oocyte yolk. Multi-year time series of phytoplankton distribution show that an early spring bloom, as found in 2006, is not unusual for the central Scotia Sea and coincides with high krill larval concentrations in this area. In conclusion, the Scotia Sea is a main spawning ground of Antarctic krill and this is linked to phytoplankton blooms in open waters of the SACCF rather than to ice edge blooms. (C) 2011 Elsevier Ltd. All rights reserved.</t>
  </si>
  <si>
    <t>[Schmidt, Katrin; Atkinson, Angus; Venables, Hugh J.; Pond, David W.] British Antarctic Survey, Nat Environm Res Council, Cambridge CB3 0ET, England</t>
  </si>
  <si>
    <t>Schmidt, K (corresponding author), British Antarctic Survey, Nat Environm Res Council, Madingley Rd, Cambridge CB3 0ET, England.</t>
  </si>
  <si>
    <t>kasc@bas.ac.uk</t>
  </si>
  <si>
    <t>Natural Environment Research Council [AFI5/09]; NERC [bas0100028, bas0100025, dml011002] Funding Source: UKRI; Natural Environment Research Council [bas0100028, bas0100025, dml011002] Funding Source: researchfish</t>
  </si>
  <si>
    <t>We thank the officers and crew of the James Clark Ross and Principal Scientist Rachael Shreeve for their professional support during JR 161. S. Fielding, G. Stowasser, P. Enderlein, M. Collins, A. Hirst, and R. Saunders were a great help with the RMT 25. For the CHN analysis we are grateful to P. Geissler. Comments from S. Nicol and two anonymous reviewers were much appreciated. We also thank the NASA Ocean Biology Processing Group for MODIS and SeaWiFS chlorophyll data. This study was funded by the Natural Environment Research Council grant AFI5/09.</t>
  </si>
  <si>
    <t>10.1016/j.dsr2.2011.05.002</t>
  </si>
  <si>
    <t>WOS:000300810700014</t>
  </si>
  <si>
    <t>Fielding, S; Watkins, JL; Collins, MA; Enderlein, P; Venables, HJ</t>
  </si>
  <si>
    <t>Fielding, Sophie; Watkins, Jonathan L.; Collins, Martin A.; Enderlein, Peter; Venables, Hugh J.</t>
  </si>
  <si>
    <t>Acoustic determination of the distribution of fish and krill across the Scotia Sea in spring 2006, summer 2008 and autumn 2009</t>
  </si>
  <si>
    <t>Antarctic krill; Myctophid fish; Schooling behaviour; Swim bladder; Acoustic data; Polar waters</t>
  </si>
  <si>
    <t>VOLUME BACKSCATTERING STRENGTH; SOUTH SHETLAND ISLANDS; ANTARCTIC KRILL; EUPHAUSIA-SUPERBA; AGGREGATION CHARACTERISTICS; SEASONAL DISTRIBUTION; ABUNDANCE; VARIABILITY; BIOMASS; ECOSYSTEM</t>
  </si>
  <si>
    <t>Multifrequency acoustic backscatter data were examined from transects at eight stations across the Scotia Sea, from the South Orkneys to the north west of South Georgia. These transects were repeated in austral spring (November 2006), summer (December 2007/January 2008) and autumn (March 2009). A dB identification window (Sv120-38) identified two types of scatterers dominating the acoustic backscatter; a positive Sv120-38 indicative of Antarctic krill (Euphausia superba) and a negative Sv120-38 indicative of mesopelagic fish with swim bladders, such as myctophids. Acoustic backscatter attributed to schooling myctophid fish was greater at stations in the north of the Scotia Sea across all seasons and found to increase significantly with increasing mean sea temperature and absolute dynamic height. A schools analysis identified more fish schools at the stations with high fish acoustic backscatter. The number of fish schools increased, were distributed further south, and occurred deeper from spring through to autumn. Krill density, calculated using a target strength model, was similar in spring (27.7 g m(-2)) and summer (27.2 g m(-2)), but lower (2.2 g m(-2)) in autumn 2009. An analysis of swarm characteristics showed that during the spring cruise the high mean krill density resulted from a small number of swarms containing a large number of small krill, particularly in the south of the survey region. In contrast in the summer cruise the high mean krill density resulted from a large number of swarms containing a low number of large krill. Finally, in autumn the low krill density resulted from a small number of swarms containing a small number of large krill. Krill swarms were located at a mean depth of 58 m in spring, 94 m in summer and 123 m in autumn and were generally further apart, deeper, contained fewer krill and smaller in the north of the survey region. Large-scale shifts in the latitudinal and vertical distribution of krill and schooling mesopelagic fish in the Scotia Sea were observed. This seasonal reorganisation in both horizontal and vertical distribution will alter the role of these prey items in the ecosystem. (C) 2011 Elsevier Ltd. All rights reserved.</t>
  </si>
  <si>
    <t>[Fielding, Sophie; Watkins, Jonathan L.; Collins, Martin A.; Enderlein, Peter; Venables, Hugh J.] British Antarctic Survey, Nat Environm Res Council, Cambridge CB3 OET, England</t>
  </si>
  <si>
    <t>Fielding, S (corresponding author), British Antarctic Survey, Nat Environm Res Council, Madingley Rd, Cambridge CB3 OET, England.</t>
  </si>
  <si>
    <t>sof@bas.ac.uk</t>
  </si>
  <si>
    <t>Fielding, Sophie/E-5137-2012; Collins, Martin A/J-8560-2017; , Martin/ABE-6728-2020</t>
  </si>
  <si>
    <t>, Martin/0000-0001-7132-8650</t>
  </si>
  <si>
    <t>BAS; NERC [bas0100028, bas0100025] Funding Source: UKRI; Natural Environment Research Council [bas0100025, bas0100028] Funding Source: researchfish</t>
  </si>
  <si>
    <t>BAS; NERC(UK Research &amp; Innovation (UKRI)Natural Environment Research Council (NERC)); Natural Environment Research Council(UK Research &amp; Innovation (UKRI)Natural Environment Research Council (NERC))</t>
  </si>
  <si>
    <t>We thank the officers and crew of the James Clark Ross for their professional support, as well as the Principal Scientists of the 3 cruises, Rachael Shreeve, Geraint Tarling and Rebecca Korb. We also thank the plethora of fishers that are required to run RMT nets and Yves Cherel, Angus Atkinson and the reviewers for constructive comments on the manuscript. This paper is a contribution from the NERC funded BAS science programme Polar Science for Planet Earth.</t>
  </si>
  <si>
    <t>10.1016/j.dsr2.2011.08.002</t>
  </si>
  <si>
    <t>WOS:000300810700015</t>
  </si>
  <si>
    <t>Collins, MA; Stowasser, G; Fielding, S; Shreeve, R; Xavier, JC; Venables, HJ; Enderlein, P; Cherel, Y; Van de Putte, A</t>
  </si>
  <si>
    <t>Collins, Martin A.; Stowasser, Gabriele; Fielding, Sophie; Shreeve, Rachel; Xavier, Jose C.; Venables, Hugh J.; Enderlein, Peter; Cherel, Yves; Van de Putte, Anton</t>
  </si>
  <si>
    <t>Latitudinal and bathymetric patterns in the distribution and abundance of mesopelagic fish in the Scotia Sea</t>
  </si>
  <si>
    <t>Myctophid; Myctophidae; Bathylagidae; Biomass; Southern Ocean</t>
  </si>
  <si>
    <t>SOUTHERN-OCEAN; MYCTOPHID FISHES; FEEDING ECOLOGY; APTENODYTES-PATAGONICUS; FAMILY MYCTOPHIDAE; FOOD-WEB; WATERS; KRILL; DIET; ECOSYSTEM</t>
  </si>
  <si>
    <t>Mesopelagic fish are a key component of the pelagic ecosystem throughout the world's oceans. Opening and closing nets were used to investigate patterns in the distribution and abundance of mesopelagic fish from the surface to 1000 m on a series of transects across the Scotia Sea from the ice-edge to the Antarctic Polar Front. A total of 141 non-target net hauls were undertaken during three cruises (Nov 2006, Jan 2008 and Mar 2009), with 7852 teleost fish captured, representing 43 species in 17 families. A further 1517 fish were caught in targeted net hauls. The dominant families were the Myctophidae (6961 specimens: 21 species) and Bathylagidae (1467 specimens: 4 species). Few fish were caught in the upper 400 m during daylight, which was attributed to a combination of net avoidance and diurnal vertical migration. Species composition was linked to depth and location and was closely associated with oceanographic features. Diversity was lowest in cold water at the most southerly stations, which were dominated by Electrona antarctica, Gymnoscopelus braueri and Bathylagus antarcticus. Further north, diversity increased with the addition of species such as Krefftichthys anderssoni, Protomyctophum bolini and Electrona carlsbergi. The depth integrated biomass of myctophids was similar across the latitudinal transect and produced an estimate of 4.5 million tonnes in the Scotia Sea. Bathylagids were patchily distributed, but were abundant in the lower mesopelagic zone (&gt; 400 m) and are potentially significant zooplankton consumers. Given the biomass of the myctophids and bathylagids coupled with the vertical migrations of many species, these fish are likely to play a significant role in carbon export from the surface waters to the deep ocean. (C) 2011 Elsevier Ltd. All rights reserved.</t>
  </si>
  <si>
    <t>[Collins, Martin A.; Stowasser, Gabriele; Fielding, Sophie; Shreeve, Rachel; Venables, Hugh J.; Enderlein, Peter] British Antarctic Survey, NERC, Cambridge CB3 0ET, England; [Collins, Martin A.] Univ Aberdeen, Oceanlab, Newburgh AB41 6AA, Aberdeen, Scotland; [Xavier, Jose C.] Univ Coimbra, Inst Marine Res, P-3001401 Coimbra, Portugal; [Cherel, Yves] CNRS, Ctr Etud Biol Chize, UPR 1934, F-79360 Villiers En Bois, France; [Van de Putte, Anton] Katholieke Univ Leuven, Lab Anim Divers &amp; Systemat, B-3000 Louvain, Belgium</t>
  </si>
  <si>
    <t>UK Research &amp; Innovation (UKRI); Natural Environment Research Council (NERC); NERC British Antarctic Survey; University of Aberdeen; Universidade de Coimbra; Centre National de la Recherche Scientifique (CNRS); KU Leuven</t>
  </si>
  <si>
    <t>ceo@gov.gs</t>
  </si>
  <si>
    <t>Collins, Martin A/J-8560-2017; Van de Putte, Anton P/F-6877-2012; Xavier, José/KFB-6739-2024; Van de Putte, Anton/S-3729-2019; , Martin/ABE-6728-2020; Fielding, Sophie/E-5137-2012</t>
  </si>
  <si>
    <t>Van de Putte, Anton/0000-0003-1336-5554; , Martin/0000-0001-7132-8650; /0000-0002-9621-6660; Stowasser, Gabriele/0000-0002-0595-0772</t>
  </si>
  <si>
    <t>Foundation for Science and Technology, Portugal; Natural Environment Research Council [bas0100025] Funding Source: researchfish; NERC [bas0100025] Funding Source: UKRI</t>
  </si>
  <si>
    <t>Foundation for Science and Technology, Portugal(Fundacao para a Ciencia e a Tecnologia (FCT)); Natural Environment Research Council(UK Research &amp; Innovation (UKRI)Natural Environment Research Council (NERC)); NERC(UK Research &amp; Innovation (UKRI)Natural Environment Research Council (NERC))</t>
  </si>
  <si>
    <t>We thank the officers, crew and scientists on R.R.S. James Clark Ross during the three cruises for their able assistance with the sampling programme. This work was carried out as a part of the British Antarctic Survey's Discovery 2010 project. Thanks to Guy Duhamel and Paul Brickle for their constructive comments on the manuscript. JC Xavier was supported by the Foundation for Science and Technology, Portugal.</t>
  </si>
  <si>
    <t>10.1016/j.dsr2.2011.07.003</t>
  </si>
  <si>
    <t>WOS:000300810700016</t>
  </si>
  <si>
    <t>Van de Putte, AP; Van Houdt, JKJ; Maes, GE; Hellemans, B; Collins, MA; Volckaert, FAM</t>
  </si>
  <si>
    <t>Van de Putte, A. P.; Van Houdt, J. K. J.; Maes, G. E.; Hellemans, B.; Collins, M. A.; Volckaert, F. A. M.</t>
  </si>
  <si>
    <t>High genetic diversity and connectivity in a common mesopelagic fish of the Southern Ocean: The myctophid Electrona antarctica</t>
  </si>
  <si>
    <t>Connectivity; Fish; Genetic structure; Myctophid; Southern Ocean; 60 degrees-70 degrees S</t>
  </si>
  <si>
    <t>EFFECTIVE POPULATION-SIZE; KING-GEORGE-ISLAND; LINKAGE DISEQUILIBRIUM; ANADROMOUS FISHES; COMPUTER-PROGRAM; SHETLAND ISLANDS; MARINE FISHES; NULL ALLELES; FRESH-WATER; DNA MARKERS</t>
  </si>
  <si>
    <t>Many marine pelagic fish species are characterized by subtle but complex genetic structures and dynamics, depending on the balance between current-mediated larval dispersal and adult active homing behavior. The circumantarctic continuous hydrodynamics of the Southern Ocean is a prime example of a system with a potentially great homogenizing effect among distant populations. We tested this hypothesis by analyzing the contemporary genetic relatedness among populations of a common and endemic mesopelagic fish of the Southern Ocean, Electrona antarctica. Seven newly developed species-specific microsatellite markers were used to investigate patterns of neutral genetic variation in 11 geographically widespread samples (n=400) collected between 2006 and 2007. We detected a very high level of genetic diversity, but a striking lack of genetic differentiation on a circumantarctic scale, indicating large effective population sizes complemented with high levels of admixture. These findings underscore the large scale homogenizing effect of the Southern Coastal Current, leading to a high level of connectivity of our model species in the Southern Ocean, which is congruent with its huge biomass and central role in marine food webs. As an important Antarctic marine living resource this species may as such be managed on a circumantarctic level, although the demographic stability of this stock should be estimated urgently. (C) 2011 Elsevier Ltd. All rights reserved.</t>
  </si>
  <si>
    <t>[Van de Putte, A. P.; Van Houdt, J. K. J.; Maes, G. E.; Hellemans, B.; Volckaert, F. A. M.] Katholieke Univ Leuven, Lab Anim Divers &amp; Systemat, B-3000 Louvain, Belgium; [Van Houdt, J. K. J.] Katholieke Univ Leuven, Ctr Human Genet, B-3000 Louvain, Belgium; [Collins, M. A.] British Antarctic Survey, Nat Environm Res Council, Cambridge CB3 0ET, England</t>
  </si>
  <si>
    <t>KU Leuven; KU Leuven; UK Research &amp; Innovation (UKRI); Natural Environment Research Council (NERC); NERC British Antarctic Survey</t>
  </si>
  <si>
    <t>Van de Putte, AP (corresponding author), Katholieke Univ Leuven, Lab Anim Divers &amp; Systemat, Ch Deberiotstr 32, B-3000 Louvain, Belgium.</t>
  </si>
  <si>
    <t>anton.vandeputte@bio.kuleuven.be</t>
  </si>
  <si>
    <t>Collins, Martin A/J-8560-2017; Van de Putte, Anton P/F-6877-2012; , Martin/ABE-6728-2020; Maes, Gregory/N-4983-2019; Maes, Gregory/C-5450-2008; Van de Putte, Anton/S-3729-2019; Volckaert, Filip/AAC-7691-2019; Hellemans, Bart/AAK-3768-2020</t>
  </si>
  <si>
    <t>, Martin/0000-0001-7132-8650; Maes, Gregory/0000-0002-1531-7321; Maes, Gregory/0000-0002-1531-7321; Van de Putte, Anton/0000-0003-1336-5554; Hellemans, Bart/0000-0001-5963-8074</t>
  </si>
  <si>
    <t>Belgian Science Policy (BELSPO) [EV/01/30B, SD/BA/851]; Flemish Research Fund-Flanders (FWO-Vlaanderen); Alfred Wegener Institute for Polar and Marine Research (AWI); Australian Antarctic Division (AAD); Natural Environment Research Council [bas0100025] Funding Source: researchfish; NERC [bas0100025] Funding Source: UKRI</t>
  </si>
  <si>
    <t>Belgian Science Policy (BELSPO)(Belgian Federal Science Policy Office); Flemish Research Fund-Flanders (FWO-Vlaanderen); Alfred Wegener Institute for Polar and Marine Research (AWI); Australian Antarctic Division (AAD); Natural Environment Research Council(UK Research &amp; Innovation (UKRI)Natural Environment Research Council (NERC)); NERC(UK Research &amp; Innovation (UKRI)Natural Environment Research Council (NERC))</t>
  </si>
  <si>
    <t>The captain and crew of RV Polarstern, RV Aurora Australis and RV James Clark Ross provided excellent support in a challenging environment. We kindly thank U. Bathmann and the Alfred Wegener Institute for Polar and Marine Research (AWI) and S. Nicol and the Australian Antarctic Division (AAD) for the support. K. Janko and P. Moller kindly provided the samples. N. Ryman provided a modified version of the POWSIM software. J. Rock and L Zane provided useful comments on an earlier version of the manuscript. This study was supported by the Belgian Science Policy (BELSPO projects no. EV/01/30B, PELAGANT and SD/BA/851, PADI). G.E.M. is a postdoctoral researcher funded by the Flemish Research Fund-Flanders (FWO-Vlaanderen).</t>
  </si>
  <si>
    <t>10.1016/j.dsr2.2011.05.011</t>
  </si>
  <si>
    <t>WOS:000300810700017</t>
  </si>
  <si>
    <t>Stowasser, G; Atkinson, A; McGill, RAR; Phillips, RA; Collins, MA; Pond, DW</t>
  </si>
  <si>
    <t>Stowasser, G.; Atkinson, A.; McGill, R. A. R.; Phillips, R. A.; Collins, M. A.; Pond, D. W.</t>
  </si>
  <si>
    <t>Food web dynamics in the Scotia Sea in summer: A stable isotope study</t>
  </si>
  <si>
    <t>Pelagic food web; Food chain length; Stable isotopes; delta N-15; delta C-13; Southern Ocean</t>
  </si>
  <si>
    <t>DIEL VERTICAL MIGRATION; MARGINAL ICE-ZONE; SOUTH-GEORGIA; WEDDELL-SEA; TROPHIC RELATIONSHIPS; ANTARCTIC KRILL; FEEDING ECOLOGY; SUBTROPICAL CONVERGENCE; ARCTOCEPHALUS-GAZELLA; PATAGONIAN TOOTHFISH</t>
  </si>
  <si>
    <t>The pelagic food web of the Scotia Sea was studied by analysing natural abundances of nitrogen and carbon stable isotopes of primary producers and pelagic consumers, sampled from the seasonal ice edge in the south to the Antarctic Polar Front in the north. The analysis covered, within a single mid-summer period, particulate organic matter (POM) and 38 taxa, ranging from suspension feeding copepods and salps to omnivorous euphausiids, pelagic fish and higher, land-based predators including fur seals, penguins and flying birds. Spatial variation in delta N-15 of POM correlated well with nutrient availability and primary productivity. Latitudinal differences in delta C-13 of POM were closely linked to variations in temperature, nutrients and productivity depending on the frontal region sampled. This translated to equivalent (although smaller) regional delta C-13 differences among higher trophic levels. The trophic positions of species based on isotope values broadly agreed with previously published dietary data with three important exceptions. First, the carnivorous amphipod Themisto gaudichaudii had anomalously low delta N-15 values. Second, Euphausia superba had delta N-15 values that were also surprisingly low, considering the abundant literature suggesting its omnivory. Third, the copepod Rhincalanus gigas, considered a suspension feeder, had unexpectedly high delta N-15 values rather more in keeping with omnivorous feeding. The consumer delta N-15 values ranged from 1.2 parts per thousand (min.) measured in Salpa thompsoni (designated here as trophic level (TL) 2 across all regions) to 15.2 parts per thousand (max.) measured in white-chinned petrels (Procellaria aequinoctialis, calculated as TL5 relative to the TL2 of salps). Excluding seabirds, the resulting food chain length of 3.7 TL (above POM at TL1) was lower than in most other Southern Ocean and temperate marine pelagic ecosystems. The majority (60%) of vertebrate predators occupied only 1-1.5 trophic levels above the herbivorous suspension feeders such as krill. This indicates the existence of the classic short food chain of POM-suspension feeder-vertebrate predator. However the presence of trophic levels 4 and above indicates the existence of alternative trophic pathways, for example involving myctophid fish or carrion, and that some wide-ranging predators which breed at South Georgia also feed outside the region. This conclusion is supported first by the continuum of delta N-15 values between krill, suspension feeding copepods and myctophid fish, and secondly by higher trophic levels in several of the myctophid species in the low-krill region of the northern Scotia Sea, suggesting latitudinal differences in food web structure and food chain length. (C) 2011 Elsevier Ltd. All rights reserved.</t>
  </si>
  <si>
    <t>[Stowasser, G.; Atkinson, A.; Phillips, R. A.; Pond, D. W.] British Antarctic Survey, Nat Environm Res Council, Cambridge CB3 0ET, England; [McGill, R. A. R.] SUERC, E Kilbride G75 0QF, Lanark, Scotland</t>
  </si>
  <si>
    <t>UK Research &amp; Innovation (UKRI); Natural Environment Research Council (NERC); NERC British Antarctic Survey; Scottish Universities Research &amp; Reactor Center</t>
  </si>
  <si>
    <t>Stowasser, G (corresponding author), British Antarctic Survey, Nat Environm Res Council, Madingley Rd, Cambridge CB3 0ET, England.</t>
  </si>
  <si>
    <t>gsto@bas.ac.uk</t>
  </si>
  <si>
    <t>Atkinson, Angus/HOH-3417-2023; Collins, Martin A/J-8560-2017; McGill, Rona/JAC-6969-2023; , Martin/ABE-6728-2020; Bosley, Sharron J/E-4641-2012; McGill, Rona/F-1793-2010</t>
  </si>
  <si>
    <t>, Martin/0000-0001-7132-8650; McGill, Rona/0000-0003-0400-7288; Stowasser, Gabriele/0000-0002-0595-0772</t>
  </si>
  <si>
    <t>NERC [bas0100025, dml010002] Funding Source: UKRI; Natural Environment Research Council [bas0100025, dml010002] Funding Source: researchfish</t>
  </si>
  <si>
    <t>10.1016/j.dsr2.2011.08.004</t>
  </si>
  <si>
    <t>WOS:000300810700018</t>
  </si>
  <si>
    <t>Tarling, GA; Stowasser, G; Ward, P; Poulton, AJ; Zhou, M; Venables, HJ; McGill, RAR; Murphy, EJ</t>
  </si>
  <si>
    <t>Tarling, G. A.; Stowasser, G.; Ward, P.; Poulton, A. J.; Zhou, M.; Venables, H. J.; McGill, R. A. R.; Murphy, E. J.</t>
  </si>
  <si>
    <t>Seasonal trophic structure of the Scotia Sea pelagic ecosystem considered through biomass spectra and stable isotope analysis</t>
  </si>
  <si>
    <t>Southern Ocean; Phytoplankton; Zooplankton; Nekton; Myctophids; Predator-prey interactions</t>
  </si>
  <si>
    <t>MESOZOOPLANKTON COMMUNITY STRUCTURE; SOUTHERN-OCEAN; SIZE SPECTRA; BODY-SIZE; PLANKTON COMMUNITY; AQUATIC ECOSYSTEMS; MYCTOPHID FISHES; ANTARCTIC KRILL; FEEDING ECOLOGY; FOOD-CHAINS</t>
  </si>
  <si>
    <t>The biomass size structure of pelagic communities provides a system level perspective that can be instructive when considering trophic interactions. Such perspectives can become even more powerful when combined with taxonomic information and stable isotope analysis. Here we apply these approaches to the pelagic community of the Scotia Sea (Southern Ocean) and consider the structure and development of trophic interactions over different years and seasons. Samples were collected from three open-ocean cruises during the austral spring 2006, summer 2008 and autumn 2009. Three main sampling techniques were employed: sampling bottles for microplankton (0-50 m), vertically hauled fine meshed nets for mesozooplankton (0-400 m) and coarse-meshed trawls for macrozooplankton and nekton (0-1000 m). All samples were identified to the lowest practicable taxonomic level and their abundance, individual body weight and biomass (in terms of carbon) estimated. Slopes of normalised biomass spectrum versus size showed a significant but not substantial difference between cruises and were between -1.09 and -1.06. These slopes were shallower than expected for a community at equilibrium and indicated that there was an accumulation of biomass in the larger size classes (10(1)-10(5) mg C ind(-1)). A secondary structure of biomass domes was also apparent, with the domes being 2.5-3 log(10) intervals apart in spring and summer and 2 log(10) intervals apart in autumn. The recruitment of copepod-consuming macrozooplankton, Euphausia triacantha and Themisto gaudichaudii into an additional biomass dome was responsible for the decrease in the inter-dome interval in autumn. Predator to prey mass ratios estimated from stable isotope analysis reached a minimum in autumn while the estimated trophic level of myctophid fish was highest in that season. This reflected greater amounts of internal recycling and increased numbers of trophic levels in autumn compared to earlier times of the year. The accumulation of biomass in larger size classes throughout the year in the Scotia Sea may reflect the prevalence of species that store energy and have multiyear life-cycles. (C) 2011 Elsevier Ltd. All rights reserved.</t>
  </si>
  <si>
    <t>[Tarling, G. A.; Stowasser, G.; Ward, P.; Venables, H. J.; Murphy, E. J.] British Antarctic Survey, Nat Environm Res Council, Cambridge CB3 0ET, England; [Poulton, A. J.] Natl Oceanog Ctr, Southampton SO14 3ZH, Hants, England; [Zhou, M.] Univ Massachusetts, Dept Environm Earth &amp; Ocean Sci, Boston, MA 02125 USA; [McGill, R. A. R.] Scottish Univ Res &amp; Reactor Ctr, Glasgow G75 0QF, Lanark, Scotland</t>
  </si>
  <si>
    <t>UK Research &amp; Innovation (UKRI); Natural Environment Research Council (NERC); NERC British Antarctic Survey; NERC National Oceanography Centre; University of Massachusetts System; University of Massachusetts Boston; Scottish Universities Research &amp; Reactor Center</t>
  </si>
  <si>
    <t>murphy, eugene/GZL-1620-2022; McGill, Rona/F-1793-2010; McGill, Rona/JAC-6969-2023; Poulton, Alex/A-9859-2012</t>
  </si>
  <si>
    <t>McGill, Rona/0000-0003-0400-7288; Stowasser, Gabriele/0000-0002-0595-0772; Poulton, Alex/0000-0002-5149-6961</t>
  </si>
  <si>
    <t>R.R.S. James Clark Ross; NERC [bas0100025, bas0100028, noc010009] Funding Source: UKRI; Natural Environment Research Council [bas0100025, bas0100028, noc010009] Funding Source: researchfish; Directorate For Geosciences; Division Of Polar Programs [0739566] Funding Source: National Science Foundation; Directorate For Geosciences; Division Of Polar Programs [0948378] Funding Source: National Science Foundation</t>
  </si>
  <si>
    <t>R.R.S. James Clark Ross;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 Directorate For Geosciences; Division Of Polar Programs(National Science Foundation (NSF)NSF - Directorate for Geosciences (GEO))</t>
  </si>
  <si>
    <t>Thanks go to the officers and crew of the R.R.S. James Clark Ross for their support during these 3 cruises. Andrew Hirst and Angus Atkinson contributed to the inception of this work in helping to develop ideas on the size structure of Southern Ocean communities. Martin Collins was a major driver in nekton studies and provided identifications for most fish species. Peter Enderlein played a vital part in keeping all net-sampling equipment operational during the three cruises. Sophie Fielding, Jon Watkins, Jose Xavier, Ryan Saunders, Anton Van de Putte, Katrin Schmidt, Yves Cherel, Rachael Shreeve, Andrew Hirst, Angus Atkinson, David Pond, Min Gordon and Rebecca Korb are thanked for the professional manner in which they assisted us with sampling operations.</t>
  </si>
  <si>
    <t>10.1016/j.dsr2.2011.07.002</t>
  </si>
  <si>
    <t>WOS:000300810700019</t>
  </si>
  <si>
    <t>Hill, SL; Keeble, K; Atkinson, A; Murphy, EJ</t>
  </si>
  <si>
    <t>Hill, Simeon L.; Keeble, Kathryn; Atkinson, Angus; Murphy, Eugene J.</t>
  </si>
  <si>
    <t>A foodweb model to explore uncertainties in the South Georgia shelf pelagic ecosystem</t>
  </si>
  <si>
    <t>Foodweb model; Climatic changes; Competitors; Primary production; Ecosystem services</t>
  </si>
  <si>
    <t>KRILL EUPHAUSIA-SUPERBA; ICEFISH CHAMPSOCEPHALUS-GUNNARI; ANTARCTIC FUR SEALS; NORTHERN SCOTIA SEA; MARGINAL ICE-ZONE; MESOZOOPLANKTON COMMUNITY; BELLINGSHAUSEN-SEA; MACKEREL ICEFISH; ZOOPLANKTON COMMUNITY; ARCTOCEPHALUS-GAZELLA</t>
  </si>
  <si>
    <t>Foodweb models provide a useful framework for compiling data on biomass, production, consumption and feeding relationships. They are particularly useful for identifying gaps and inconsistencies in the data, and for exploring plausible scenarios of change. We compiled data on the pelagic foodweb of the South Georgia shelf, which is one of the most intensively studied areas in the Southern Ocean. The data suggest that current average annual copepod production is three times that of Antarctic krill and that flying seabirds and fish are, respectively, responsible for 25% and 21% of local krill consumption. The most striking inconsistency was that estimated consumption of fish was 5 times their estimated production. We developed a static mass balance model of the foodweb representing one of many possible solutions to the inconsistencies in the data. The model included sufficient fish biomass to balance the original consumption estimate, and consequently fish became the main krill consumers. Nonetheless, only 74% of local krill production was consumed by predators, suggesting that there are additional mortality sources that we did not explicitly model. We developed further models to explore scenarios incorporating plausible climate-driven reductions in krill biomass. In scenarios with unchanged predator diets, an 80% reduction in krill biomass resulted in a 73% reduction in vertebrate biomass. However, when predators with diverse diets were able to switch to feeding on alternative zooplankton prey, total vertebrate biomass was maintained at current levels. Scenarios in which 80% of krill biomass was replaced with copepod biomass required 28% more primary production because the estimated consumption rate of copepods is higher than that of krill. The additional copepod biomass did not alter the consequences for vertebrates. These scenarios illustrate the wide range of potential consequences of a shift from a krill to a copepod dominated system in a warming climate. They suggest that both maintenance and dramatic reduction of vertebrate production are plausible outcomes, although the former requires major changes in predator diets. (C) 2011 Elsevier Ltd. All rights reserved.</t>
  </si>
  <si>
    <t>[Hill, Simeon L.; Keeble, Kathryn; Atkinson, Angus; Murphy, Eugene J.] British Antarctic Survey, Nat Environm Res Council, Cambridge CB3 OET, England</t>
  </si>
  <si>
    <t>Hill, SL (corresponding author), British Antarctic Survey, Nat Environm Res Council, Madingley Rd, Cambridge CB3 OET, England.</t>
  </si>
  <si>
    <t>sih@bas.ac.uk</t>
  </si>
  <si>
    <t>Atkinson, Angus/HOH-3417-2023; Simeon, Hill L/B-2307-2008; murphy, eugene/GZL-1620-2022</t>
  </si>
  <si>
    <t>BAS; Natural Environment Research Council [bas0100025] Funding Source: researchfish; NERC [bas0100025] Funding Source: UKRI</t>
  </si>
  <si>
    <t>BAS; Natural Environment Research Council(UK Research &amp; Innovation (UKRI)Natural Environment Research Council (NERC)); NERC(UK Research &amp; Innovation (UKRI)Natural Environment Research Council (NERC))</t>
  </si>
  <si>
    <t>This is a contribution to the BAS core-funded Ecosystems programme. We are indebted to the large group of experts listed in the SI for sharing their knowledge of Southern Ocean ecology. In particular we thank Keith Reid for his support and input during the early stages of this project, and Steve Mackinson for valuable clarification and guidance. We also thank Peter Fretwell, Sui Phang, Stella Deakin and Nadine Johnston for specific assistance with the data and Tosca Ballerini and Matt Pinkerton for constructive comments.</t>
  </si>
  <si>
    <t>10.1016/j.dsr2.2011.09.001</t>
  </si>
  <si>
    <t>Green Accepted</t>
  </si>
  <si>
    <t>WOS:000300810700020</t>
  </si>
  <si>
    <t>Ward, P; Atkinson, A; Venables, HJ; Tarling, GA; Whitehouse, MJ; Fielding, S; Collins, MA; Korb, R; Black, A; Stowasser, G; Schmidt, K; Thorpe, SE; Enderlein, P</t>
  </si>
  <si>
    <t>Ward, Peter; Atkinson, Angus; Venables, Hugh J.; Tarling, Geraint A.; Whitehouse, Mick J.; Fielding, Sophie; Collins, Martin A.; Korb, Rebecca; Black, Andrew; Stowasser, Gabriele; Schmidt, Katrin; Thorpe, Sally E.; Enderlein, Peter</t>
  </si>
  <si>
    <t>Food web structure and bioregions in the Scotia Sea: A seasonal synthesis</t>
  </si>
  <si>
    <t>Scotia Sea; SACCF; Bioregions; Foodwebs; Zooplankton; Krill; Myctophids</t>
  </si>
  <si>
    <t>MESOZOOPLANKTON COMMUNITY STRUCTURE; MARGINAL ICE-ZONE; ANTARCTIC CIRCUMPOLAR CURRENT; NATURAL IRON FERTILIZATION; SOUTHERN-OCEAN; ATLANTIC SECTOR; AUSTRAL SUMMER; WEDDELL-SEA; EUPHAUSIA-SUPERBA; PELAGIC ECOSYSTEM</t>
  </si>
  <si>
    <t>Bioregionalisation, the partitioning of large ecosystems into functionally distinct sub-units, facilitates ecosystem modelling, management and conservation. A variety of schemes have been used to partition the Southern Ocean, based variously on frontal positions, sea ice, productivity, water depth and nutrient concentrations. We have tested the utility and robustness of ecosystem bioregionalisation for the Scotia Sea, by classifying spring, summer and autumn stations on the basis of nutrient concentrations, phytoplankton taxa, meso- and macrozooplankton, fish catches and acoustic data. Despite sampling across different seasons and years, at different spatial scales and taxonomic resolutions, cluster analysis indicated basically consistent spatial divisions across this wide range of trophic levels. Stations could be classified into two main groups, lying broadly to the north and south of the Southern Antarctic Circumpolar Current Front (SACCF). In some aspects the 2 station groups were similar, with both having variable but often high phytoplankton biomass as well as similar biomass of fish. However, the colder water southern group, most of which was covered by seasonal sea ice, had a fundamentally different food web structure to that in the northern Scotia Sea. The cold water community had a depleted, cold-adapted fauna characterised by low zooplankton biomass, Euphausia superba and the fish Electrona antarctica and Gymnoscopelus braueri. In contrast the northern group was richer with higher mesozooplankton biomass and a fauna of warmer or more cosmopolitan species such as Thernisto gaudichaudii, Euphausia triacantha and the fish Protomyctophum bolini, Kreffticthys anderssoni and Gymnoscopelus fraseri. The position of the food web transition, broadly consistent with the position of the SACCF, supports a recent circumpolar-scale bioregionalisation. However, there is little evidence that this relatively weak frontal transition represents a significant barrier either here or elsewhere in the Southern Ocean. We suggest that broader-scale factors, namely temperature and possibly the extent of the seasonal ice-zone, within which most of the southern stations lay, were more likely to influence biological zonation. (C) 2011 Elsevier Ltd. All rights reserved.</t>
  </si>
  <si>
    <t>[Ward, Peter; Atkinson, Angus; Venables, Hugh J.; Tarling, Geraint A.; Whitehouse, Mick J.; Fielding, Sophie; Collins, Martin A.; Korb, Rebecca; Black, Andrew; Stowasser, Gabriele; Schmidt, Katrin; Thorpe, Sally E.; Enderlein, Peter] British Antarctic Survey, Nat Environm Res Council, Cambridge CB3 0ET, England</t>
  </si>
  <si>
    <t>Collins, Martin A/J-8560-2017; Atkinson, Angus/HOH-3417-2023; , Martin/ABE-6728-2020; Fielding, Sophie/E-5137-2012</t>
  </si>
  <si>
    <t>, Martin/0000-0001-7132-8650; Stowasser, Gabriele/0000-0002-0595-0772; Thorpe, Sally/0000-0002-5193-6955</t>
  </si>
  <si>
    <t>R.R.S. James Clark Ross; NERC [bas010017] Funding Source: UKRI; Natural Environment Research Council [bas010017] Funding Source: researchfish</t>
  </si>
  <si>
    <t>R.R.S. James Clark Ross; NERC(UK Research &amp; Innovation (UKRI)Natural Environment Research Council (NERC)); Natural Environment Research Council(UK Research &amp; Innovation (UKRI)Natural Environment Research Council (NERC))</t>
  </si>
  <si>
    <t>We thank the officers and crew of R.R.S. James Clark Ross for so ably supporting our time in the field and Susie Grant for valuable discussions regarding the ideas underpinning bioregionalisation. We are grateful to the referees whose comments did much to improve the paper. This work was carried out as part of the British Antarctic Survey's Discovery 2010 programme.</t>
  </si>
  <si>
    <t>10.1016/j.dsr2.2011.08.005</t>
  </si>
  <si>
    <t>WOS:000300810700021</t>
  </si>
  <si>
    <t>Hendry, AT; Rodger, CJ; Clilverd, MA; Thomson, NR; Morley, SK; Raita, T</t>
  </si>
  <si>
    <t>Summers, D; Mann, IR; Baker, DN; Schulz, M</t>
  </si>
  <si>
    <t>Hendry, Aaron T.; Rodger, Craig J.; Clilverd, Mark A.; Thomson, Neil R.; Morley, Steven K.; Raita, Tero</t>
  </si>
  <si>
    <t>Rapid Radiation Belt Losses Occurring During High-Speed Solar Wind Stream-Driven Storms: Importance of Energetic Electron Precipitation</t>
  </si>
  <si>
    <t>DYNAMICS OF THE EARTH'S RADIATION BELTS AND INNER MAGNETOSPHERE</t>
  </si>
  <si>
    <t>AGU Chapman Conference Dynamics of the Earth's Radiation Belts and Inner Magnetosphere</t>
  </si>
  <si>
    <t>JUL 17-22, 2011</t>
  </si>
  <si>
    <t>St Johns, CANADA</t>
  </si>
  <si>
    <t>RELATIVISTIC ELECTRONS</t>
  </si>
  <si>
    <t>Recent studies have shown how trapped energetic radiation belt electron fluxes rapidly drop out during small geomagnetic disturbances triggered by the arrival of a solar wind stream interface (SWSI). In the current study, we use satellite and ground-based observations to describe the significance of energetic electron precipitation (EEP) and direct magnetopause shadowing loss mechanisms, both of which have been suggested as possible causes of the dropouts. Superposed epoch analysis of low-Earth-orbiting Polar-Orbiting Environmental Satellites (POES) spacecraft observations indicate that neither classic magnetopause shadowing nor EEP appear able to explain the dropouts. However, SWSI-triggered dropouts in trapped flux are followed similar to 3 h later by large increases of EEP, which start as the trapped electron fluxes begin to recover and may be signatures of the acceleration process, which rebuilds the trapped fluxes. Ground-based observations indicate typical &gt;30 keV EEP flux magnitudes of similar to 8 x 10(5) electrons cm(-2) sr(-1) s(-1). While these are similar to 10 times larger than the equivalent precipitating fluxes measured by POES, this is consistent with the small viewing window of the POES telescopes.</t>
  </si>
  <si>
    <t>[Hendry, Aaron T.; Rodger, Craig J.; Thomson, Neil R.] Univ Otago, Dept Phys, POB 56, Dunedin, New Zealand; [Clilverd, Mark A.] British Antarctic Survey, Cambridge, England; [Morley, Steven K.] Los Alamos Nat lab, Los Alamos, NM 87544 USA; [Raita, Tero] Oulu Univ, Sodankyla Geophys Observat, Oulu, Finland</t>
  </si>
  <si>
    <t>University of Otago; UK Research &amp; Innovation (UKRI); Natural Environment Research Council (NERC); NERC British Antarctic Survey; United States Department of Energy (DOE); Los Alamos National Laboratory; University of Oulu</t>
  </si>
  <si>
    <t>Hendry, AT (corresponding author), Univ Otago, Dept Phys, POB 56, Dunedin, New Zealand.</t>
  </si>
  <si>
    <t>ahendry@physics.otago.ac.nz; crodger@physics.otago.ac.nz; macl@bas.ac.uk; n_thomson@physics.otago.ac.nz; smorley@lanl.gov; tero.raita@sgo.fi</t>
  </si>
  <si>
    <t>Morley, Steven K/GVS-9398-2022; Hendry, Aaron/T-1911-2019; Morley, Steven K/A-8321-2008; Rodger, Craig/A-1501-2011; Morley, Steven/AAP-5637-2021</t>
  </si>
  <si>
    <t>Morley, Steven K/0000-0001-8520-0199; Hendry, Aaron/0000-0002-9130-3781; Morley, Steven K/0000-0001-8520-0199; Raita, Tero/0000-0002-0455-5746; Rodger, Craig J./0000-0002-6770-2707</t>
  </si>
  <si>
    <t>New Zealand Marsden Fund; European Union Seventh Framework Programme [263218]; NERC [bas0100023] Funding Source: UKRI</t>
  </si>
  <si>
    <t>New Zealand Marsden Fund(Royal Society of New ZealandMarsden Fund (NZ)); European Union Seventh Framework Programme(European Union (EU)); NERC(UK Research &amp; Innovation (UKRI)Natural Environment Research Council (NERC))</t>
  </si>
  <si>
    <t>A.T.H., C.J.R., M.A.C., and N.R.T. were supported by the New Zealand Marsden Fund. The research leading to these results has also received funding from the European Union Seventh Framework Programme (FP7/2007-2013) under grant agreement 263218.</t>
  </si>
  <si>
    <t>978-0-87590-489-4</t>
  </si>
  <si>
    <t>10.1029/2012GM001299</t>
  </si>
  <si>
    <t>Astronomy &amp; Astrophysics; Geochemistry &amp; Geophysics; Geosciences, Multidisciplinary</t>
  </si>
  <si>
    <t>Astronomy &amp; Astrophysics; Geochemistry &amp; Geophysics; Geology</t>
  </si>
  <si>
    <t>BFZ10</t>
  </si>
  <si>
    <t>WOS:000321935300017</t>
  </si>
  <si>
    <t>Rückamp, M; Blindow, N</t>
  </si>
  <si>
    <t>Rueckamp, M.; Blindow, N.</t>
  </si>
  <si>
    <t>King George Island ice cap geometry updated with airborne GPR measurements</t>
  </si>
  <si>
    <t>EARTH SYSTEM SCIENCE DATA</t>
  </si>
  <si>
    <t>Article; Data Paper</t>
  </si>
  <si>
    <t>ANTARCTICA; FIELD</t>
  </si>
  <si>
    <t>Ice geometry is a mandatory requirement for numerical modelling purposes. In this paper we present a consistent data set for the ice thickness, the bedrock topography and the ice surface topography of the King George Island ice cap (Arctowski icefield and the adjacent central part). The new data set is composed of ground based and airborne ground penetrating radar (GPR) and differential GPS (DGPS) measurements, obtained during several field campaigns. Blindow et al. (2010) already provided a comprehensive overview of the ground based measurements carried out in the safely accessible area of the ice cap. The updated data set incorporates airborne measurements in the heavily crevassed coastal areas. Therefore, in this paper special attention is paid to the airborne measurements by addressing the instrument used, survey procedure, and data processing in more detail. In particular, the inclusion of airborne GPR measurements with the 30 MHz BGR-P30-System developed at the Institute of Geophysics (University of Munster) completes the picture of the ice geometry substantially. The compiled digital elevation model of the bedrock shows a rough, highly variable topography with pronounced valleys, ridges, and troughs. Mean ice thickness is 240 +/- 6 m, with a maximum value of 422 +/- 10 m in the surveyed area. Noticeable are bounded areas in the bedrock topography below sea level where marine based ice exists. The provided data set is required as a basis for future monitoring attempts or as input for numerical modelling experiments. The data set is available from the PANGAEA database at doi:10.1594/PANGAEA.770567.</t>
  </si>
  <si>
    <t>[Rueckamp, M.] Univ Hamburg, Inst Geophys, D-20146 Hamburg, Germany; [Blindow, N.] Fed Inst Geosci &amp; Nat Resources, D-30655 Hannover, Germany; [Rueckamp, M.] Univ Munster, Inst Geophys, D-48149 Munster, Germany</t>
  </si>
  <si>
    <t>University of Hamburg; University of Munster</t>
  </si>
  <si>
    <t>Rückamp, M (corresponding author), Univ Hamburg, Inst Geophys, Bundesstr 55, D-20146 Hamburg, Germany.</t>
  </si>
  <si>
    <t>martin.rueckamp@zmaw.de</t>
  </si>
  <si>
    <t>Ruckamp, Martin/0000-0003-2512-7238</t>
  </si>
  <si>
    <t>FACH (Fuerza Aerea de Chile); German Research Foundation [BL307-1/2]</t>
  </si>
  <si>
    <t>FACH (Fuerza Aerea de Chile); German Research Foundation(German Research Foundation (DFG))</t>
  </si>
  <si>
    <t>We thank the reviewers O. Brandt and F. Navarro for their helpful comments which improved this manuscript substantially. The airborne measurements would have never been possible without the particular efforts and support by FACH (Fuerza Aerea de Chile), especially by C. Madina (Comandante de Frei). The authors would like to thank the German, Chilean, and Uruguayan Antarctic Programs for their logistic support. The crew of Artigas station provided a warm and pleasant environment during the fieldwork. The SCAR KGIS and ASTERGDEM data sets are kindly provided by M. Braun (University of Erlangen). The collaboration and fieldwork with S. Suckro (AWI Bremerhaven, Germany) and B. Boemer, H. Knese, S. Ueding, (University of Munster, Germany) is kindly acknowledged. The German Research Foundation funded this study under grant BL307-1/2.</t>
  </si>
  <si>
    <t>1866-3508</t>
  </si>
  <si>
    <t>1866-3516</t>
  </si>
  <si>
    <t>EARTH SYST SCI DATA</t>
  </si>
  <si>
    <t>Earth Syst. Sci. Data</t>
  </si>
  <si>
    <t>10.5194/essd-4-23-2012</t>
  </si>
  <si>
    <t>V39MO</t>
  </si>
  <si>
    <t>WOS:000209415300003</t>
  </si>
  <si>
    <t>Cook, AJ; Murray, T; Luckman, A; Vaughan, DG; Barrand, NE</t>
  </si>
  <si>
    <t>Cook, A. J.; Murray, T.; Luckman, A.; Vaughan, D. G.; Barrand, N. E.</t>
  </si>
  <si>
    <t>A new 100-m Digital Elevation Model of the Antarctic Peninsula derived from ASTER Global DEM: methods and accuracy assessment</t>
  </si>
  <si>
    <t>B ICE SHELF; GLACIER; LARSEN; RADAR; RESOLUTION; PRECISION; COLLAPSE; SHEET</t>
  </si>
  <si>
    <t>A high resolution surface topography Digital Elevation Model (DEM) is required to underpin studies of the complex glacier system on the Antarctic Peninsula. A complete DEM with better than 200m pixel size and high positional and vertical accuracy would enable mapping of all significant glacial basins and provide a dataset for glacier morphology analyses. No currently available DEM meets these specifications. We present a new 100-m DEM of the Antarctic Peninsula (63-70 degrees S), based on ASTER Global Digital Elevation Model (GDEM) data. The raw GDEM products are of high-quality on the rugged terrain and coastal-regions of the Antarctic Peninsula and have good geospatial accuracy, but they also contain large errors on ice-covered terrain and we seek to minimise these artefacts. Conventional data correction techniques do not work so we have developed a method that significantly improves the dataset, smoothing the erroneous regions and hence creating a DEM with a pixel size of 100m that will be suitable for many glaciological applications. We evaluate the new DEM using ICESat-derived elevations, and perform horizontal and vertical accuracy assessments based on GPS positions, SPOT-5 DEMs and the Landsat Image Mosaic of Antarctica (LIMA) imagery. The new DEM has a mean elevation difference of -4m (+/- 25mRMSE) from ICESat (compared to -13m mean and +/- 97mRMSE for the original ASTER GDEM), and a horizontal error of less than 2 pixels, although elevation accuracies are lower on mountain peaks and steep-sided slopes. The correction method significantly reduces errors on low relief slopes and therefore the DEM can be regarded as suitable for topographical studies such as measuring the geometry and ice flow properties of glaciers on the Antarctic Peninsula. The DEM is available for download from the NSIDC website: http://nsidc.org/data/nsidc-0516.html (doi:10.5060/D47P8W9D).</t>
  </si>
  <si>
    <t>[Cook, A. J.; Murray, T.; Luckman, A.] Swansea Univ, Dept Geog, Swansea SA2 8PP, W Glam, Wales; [Vaughan, D. G.; Barrand, N. E.] British Antarctic Survey, Cambridge CB3 0ET, England</t>
  </si>
  <si>
    <t>Swansea University; UK Research &amp; Innovation (UKRI); Natural Environment Research Council (NERC); NERC British Antarctic Survey</t>
  </si>
  <si>
    <t>Cook, AJ (corresponding author), Swansea Univ, Dept Geog, Swansea SA2 8PP, W Glam, Wales.</t>
  </si>
  <si>
    <t>577453@swansea.ac.uk</t>
  </si>
  <si>
    <t>Vaughan, David/C-8348-2011</t>
  </si>
  <si>
    <t>Murray, Tavi/0000-0001-6714-6512; Barrand, Nicholas/0000-0003-4428-1863</t>
  </si>
  <si>
    <t>AXA Research Fund Fellowship; European Union [226375]; Natural Environment Research Council [bas0100027] Funding Source: researchfish; NERC [bas0100027] Funding Source: UKRI</t>
  </si>
  <si>
    <t>AXA Research Fund Fellowship(AXA Research Fund); European Union(European Union (EU)); Natural Environment Research Council(UK Research &amp; Innovation (UKRI)Natural Environment Research Council (NERC)); NERC(UK Research &amp; Innovation (UKRI)Natural Environment Research Council (NERC))</t>
  </si>
  <si>
    <t>This work was supported through an AXA Research Fund Fellowship. DGV and NB were supported by funding to the ice2sea programme from the European Union 7th Framework Programme, grant number 226375. Ice2sea contribution number 078. ASTER GDEM data are a product of METI and NASA and the GDEM tiles were acquired through the Earth Remote Sensing Data Analysis Center (ERSDAC). We are grateful to the LIMA Project for free download of LIMA tiles, to the National Snow and Ice Data Center (NSIDC) for access to ICESat/GLAS data and to Hamish Pritchard for kindly allowing us to use the ICESat/GLAS data he had processed. SPOT5 HRS data were provided by CNES/SpotImage France, through the SPIRIT International Polar Year project. We would like to thank the Mapping and Geographic Information Centre at the British Antarctic Survey, in particular Magda Biszczuk for initial ideas and discussions regarding the methodology, and Adrian Fox for his permission to use the GPS measurements for accuracy assessments. We are very grateful to the Antarctic Glaciological Data Center at NSIDC for their work on documenting and placing the DEM on their datasets website in an open access format. Finally, we would like to thank R. Drews and the anonymous referee who gave very thorough reviews and helpful suggestions to improve the quality of this paper.</t>
  </si>
  <si>
    <t>10.5194/essd-4-129-2012</t>
  </si>
  <si>
    <t>Green Accepted, gold, Green Submitted, Green Published</t>
  </si>
  <si>
    <t>WOS:000209415300012</t>
  </si>
  <si>
    <t>Prudhomme, C; Dadson, S; Morris, D; Williamson, J; Goodsell, G; Crooks, S; Boelee, L; Davies, H; Buys, G; Lafon, T; Watts, G</t>
  </si>
  <si>
    <t>Prudhomme, C.; Dadson, S.; Morris, D.; Williamson, J.; Goodsell, G.; Crooks, S.; Boelee, L.; Davies, H.; Buys, G.; Lafon, T.; Watts, G.</t>
  </si>
  <si>
    <t>Future Flows Climate: an ensemble of 1-km climate change projections for hydrological application in Great Britain</t>
  </si>
  <si>
    <t>CHANGE IMPACTS; WATER-RESOURCES; RIVER THAMES; UNCERTAINTY; MODEL; SCENARIOS; ENGLAND</t>
  </si>
  <si>
    <t>The dataset Future Flows Climate was developed as part of the project Future Flows and Groundwater Levels to provide a consistent set of climate change projections for the whole of Great Britain at both space and time resolutions appropriate for hydrological applications, and to enable climate change uncertainty and climate variability to be accounted for in the assessment of their possible impacts on the environment. Future Flows Climate is derived from the Hadley Centre's ensemble projection HadRM3-PPE that is part of the basis of UKCP09 and includes projections in available precipitation (water available to hydrological processes after snow and ice storages have been accounted for) and potential evapotranspiration. It corresponds to an 11-member ensemble of transient projections from January 1950 to December 2098, each a single realisation from a different variant of HadRM3. Data are provided on a 1-km grid over the HadRM3 land areas at a daily (available precipitation) and monthly (PE) time step as netCDF files. Because systematic biases in temperature and precipitation were found between HadRM3-PPE and gridded temperature and precipitation observations for the 1962-1991 period, a monthly bias correction procedure was undertaken, based on a linear correction for temperature and a quantile-mapping correction (using the gamma distribution) for precipitation followed by a spatial downscaling. Available precipitation was derived from the bias-corrected precipitation and temperature time series using a simple elevation-dependant snow-melt model. Potential evapotranspiration time series were calculated for each month using the FAO-56 Penman-Monteith equations and bias-corrected temperature, cloud cover, relative humidity and wind speed from HadRM3-PPE along with latitude of the grid and the day of the year. Future Flows Climate is freely available for non-commercial use under certain licensing conditions. It is the dataset used to generate Future Flows Hydrology, an ensemble of transient projections of daily river flow and monthly groundwater time series for representative river basins and boreholes in Great Britain. doi:10.5285/bad1514f-119e-44a4-8e1e-442735bb9797.</t>
  </si>
  <si>
    <t>[Prudhomme, C.; Morris, D.; Williamson, J.; Goodsell, G.; Crooks, S.; Boelee, L.; Davies, H.; Buys, G.; Lafon, T.] Ctr Ecol &amp; Hydrol, Wallingford OX10 8BB, Oxon, England; [Dadson, S.] Univ Oxford, Sch Geog &amp; Environm, Oxford OX1 3QY, England; [Buys, G.] British Antarctic Survey, Cambridge CB3 0ET, England; [Watts, G.] Evidence Directorate Sci &amp; Evidence Serv, Bristol BS1 5AH, Avon, England</t>
  </si>
  <si>
    <t>UK Centre for Ecology &amp; Hydrology (UKCEH); University of Oxford; UK Research &amp; Innovation (UKRI); Natural Environment Research Council (NERC); NERC British Antarctic Survey</t>
  </si>
  <si>
    <t>Prudhomme, C (corresponding author), Ctr Ecol &amp; Hydrol, Maclean Bldg,Benson Lane, Wallingford OX10 8BB, Oxon, England.</t>
  </si>
  <si>
    <t>chrp@ceh.ac.uk</t>
  </si>
  <si>
    <t>Watts, Glenn P/H-1255-2011; Dadson, Simon J/D-2370-2010; Williamson, Jennifer L/O-7987-2016; Prudhomme, Christel/K-2669-2012</t>
  </si>
  <si>
    <t>Prudhomme, Christel/0000-0003-1722-2497; Dadson, Simon/0000-0002-6144-4639; Watts, Glenn/0009-0005-6789-8550; Williamson, Jennifer/0000-0001-8216-5885</t>
  </si>
  <si>
    <t>Environment Agency for England and Wales [SC090016]; UK Department for Environment, Food and Rural Affairs; UK Water Industry Research; Natural Environment Research Centre; Wallingford HydroSolutions; Natural Environment Research Council [bas0100023, ceh010010] Funding Source: researchfish; NERC [bas0100023] Funding Source: UKRI</t>
  </si>
  <si>
    <t>Environment Agency for England and Wales; UK Department for Environment, Food and Rural Affairs(Department for Environment, Food &amp; Rural Affairs (DEFRA)); UK Water Industry Research; Natural Environment Research Centre; Wallingford HydroSolutions; Natural Environment Research Council(UK Research &amp; Innovation (UKRI)Natural Environment Research Council (NERC)); NERC(UK Research &amp; Innovation (UKRI)Natural Environment Research Council (NERC))</t>
  </si>
  <si>
    <t>Future Flows Climate has been generated under the partnership project Future Flows and Groundwater Levels, SC090016 jointly funded by the Environment Agency for England and Wales, the UK Department for Environment, Food and Rural Affairs, the UK Water Industry Research, the Natural Environment Research Centre (CEH and BGS) and Wallingford HydroSolutions. They are all gratefully acknowledged.</t>
  </si>
  <si>
    <t>10.5194/essd-4-143-2012</t>
  </si>
  <si>
    <t>WOS:000209415300013</t>
  </si>
  <si>
    <t>Leblanc, K; Arístegui, J; Armand, L; Assmy, P; Beker, B; Bode, A; Breton, E; Cornet, V; Gibson, J; Gosselin, MP; Kopczynska, E; Marshall, H; Peloquin, J; Piontkovski, S; Poulton, AJ; Quéguiner, B; Schiebel, R; Shipe, R; Stefels, J; van Leeuwe, MA; Varela, M; Widdicombe, C; Yallop, M</t>
  </si>
  <si>
    <t>Leblanc, K.; Aristegui, J.; Armand, L.; Assmy, P.; Beker, B.; Bode, A.; Breton, E.; Cornet, V.; Gibson, J.; Gosselin, M. -P.; Kopczynska, E.; Marshall, H.; Peloquin, J.; Piontkovski, S.; Poulton, A. J.; Queguiner, B.; Schiebel, R.; Shipe, R.; Stefels, J.; van Leeuwe, M. A.; Varela, M.; Widdicombe, C.; Yallop, M.</t>
  </si>
  <si>
    <t>A global diatom database - abundance, biovolume and biomass in the world ocean</t>
  </si>
  <si>
    <t>SILICA PRODUCTION; SOUTHERN-OCEAN; MEDITERRANEAN-SEA; BIOGENIC SILICA; MARINE-PHYTOPLANKTON; MATTER DISTRIBUTION; PRODUCTION-RATES; NORTH PACIFIC; SPRING BLOOM; CELL-VOLUME</t>
  </si>
  <si>
    <t>Phytoplankton identification and abundance data are now commonly feeding plankton distribution databases worldwide. This study is a first attempt to compile the largest possible body of data available from different databases as well as from individual published or unpublished datasets regarding diatom distribution in the world ocean. The data obtained originate from time series studies as well as spatial studies. This effort is supported by the Marine Ecosystem Model Inter-Comparison Project (MAREMIP), which aims at building consistent datasets for the main plankton functional types (PFTs) in order to help validate biogeochemical ocean models by using carbon (C) biomass derived from abundance data. In this study we collected over 293 000 individual geo-referenced data points with diatom abundances from bottle and net sampling. Sampling site distribution was not homogeneous, with 58% of data in the Atlantic, 20% in the Arctic, 12% in the Pacific, 8% in the Indian and 1% in the Southern Ocean. A total of 136 different genera and 607 different species were identified after spell checking and name correction. Only a small fraction of these data were also documented for biovolumes and an even smaller fraction was converted to C biomass. As it is virtually impossible to reconstruct everyone's method for biovolume calculation, which is usually not indicated in the datasets, we decided to undertake the effort to document, for every distinct species, the minimum and maximum cell dimensions, and to convert all the available abundance data into biovolumes and C biomass using a single standardized method. Statistical correction of the database was also adopted to exclude potential outliers and suspicious data points. The final database contains 90 648 data points with converted C biomass. Diatom C biomass calculated from cell sizes spans over eight orders of magnitude. The mean diatom biomass for individual locations, dates and depths is 141.19 mu g Cl-1, while the median value is 11.16 mu g Cl-1. Regarding biomass distribution, 19% of data are in the range 0-1 mu g Cl-1, 29% in the range 1-10 mu g Cl-1, 31% in the range 10-100 mu g Cl-1, 18% in the range 100-1000 mu g Cl-1, and only 3% &gt; 1000 mu g Cl-1. Interestingly, less than 50 species contributed to &gt;90% of global biomass, among which centric species were dominant. Thus, placing significant efforts on cell size measurements, process studies and C quota calculations of these species should considerably improve biomass estimates in the upcoming years. A first-order estimate of the diatom biomass for the global ocean ranges from 444 to 582 Tg C, which converts to 3 to 4 Tmol Si and to an average Si biomass turnover rate of 0.15 to 0.19 d(-1). Link to the dataset: doi:10.1594/PANGAEA.777384.</t>
  </si>
  <si>
    <t>[Leblanc, K.; Cornet, V.; Queguiner, B.] Univ Sud Toulon Var, Aix Marseille Univ, CNRS, INSU,IRD,MIO,UM 110, F-13288 Marseille 09, France; [Aristegui, J.] Univ Las Palmas Gran Canaria, Inst Oceanog &amp; Cambio Global, Las Palmas Gran Canaria 35017, Spain; [Armand, L.] Macquarie Univ, Dept Biol Sci, N Ryde, NSW 2109, Australia; [Assmy, P.] Norwegian Polar Res Inst, Fram Ctr, N-9296 Tromso, Norway; [Beker, B.] Inst Univ Europeen Mer, CNRS, Lab Sci Environm Marin, UMR6539, F-29280 Plouzane, France; [Bode, A.; Varela, M.] Ctr Oceanog A Coruna, Inst Espanol Oceanog, La Coruna 15080, Spain; [Breton, E.] Univ Lille Nord France, F-59000 Lille, France; [Breton, E.] LOG, ULCO, F-62930 Wimereux, France; [Breton, E.] CNRS, LOG, UMR8187, F-62930 Wimereux, France; [Gibson, J.] Univ Tasmania, Inst Marine &amp; Antarctic Studies, Hobart, Tas 7001, Australia; [Gosselin, M. -P.] Freshwater Biol Assoc, Ambleside LA22 0LP, Cumbria, England; [Kopczynska, E.] Polish Acad Sci, Inst Biochem &amp; Biophys, Dept Antarctic Biol, PL-02141 Warsaw, Poland; [Marshall, H.] Old Dominion Univ, Dept Biol Sci, Norfolk, VA 23529 USA; [Peloquin, J.] Inst Biogeochem Schadstoffdynam, CH-8092 Zurich, Switzerland; [Piontkovski, S.] Sultan Qaboos Univ, Dept Marine Sci, Muscat, Oman; [Poulton, A. J.] Natl Oceanog Ctr, Southampton SO14 3ZH, Hants, England; [Schiebel, R.] Univ Angers, Lab Bioindicateurs Actuels &amp; Fossiles BIAF, UPRES, EA 2644, F-49045 Angers 01, France; [Shipe, R.] Univ Calif Los Angeles, Los Angeles, CA 90095 USA; [Stefels, J.; van Leeuwe, M. A.] Univ Groningen, Ctr Life Sci Ecophysiol Plants, NL-9700 CC Groningen, Netherlands; [Widdicombe, C.] Plymouth Marine Lab, Plymouth PL1 3DH, Devon, England; [Yallop, M.] Univ Bristol, Sch Biol Sci, Bristol BS8 1UG, Avon, England</t>
  </si>
  <si>
    <t>Institut de Recherche pour le Developpement (IRD); Centre National de la Recherche Scientifique (CNRS); CNRS - National Institute for Earth Sciences &amp; Astronomy (INSU); Aix-Marseille Universite; Universidad de Las Palmas de Gran Canaria; Macquarie University; Norwegian Polar Institute; Centre National de la Recherche Scientifique (CNRS); CNRS - Institute of Ecology &amp; Environment (INEE); Universite de Bretagne Occidentale; Institut Universitaire Europeen de la Mer (IUEM); Ifremer; Institut de Recherche pour le Developpement (IRD); Spanish Institute of Oceanography; Universite de Lille; Universite du Littoral-Cote-d'Opale; Centre National de la Recherche Scientifique (CNRS); CNRS - National Institute for Earth Sciences &amp; Astronomy (INSU); University of Tasmania; Freshwater Biological Association (FBA); Polish Academy of Sciences; Institute of Biochemistry &amp; Biophysics - Polish Academy of Sciences; Old Dominion University; Sultan Qaboos University; NERC National Oceanography Centre; Universite d'Angers; University of California System; University of California Los Angeles; University of Groningen; Plymouth Marine Laboratory; University of Bristol</t>
  </si>
  <si>
    <t>Leblanc, K (corresponding author), Univ Sud Toulon Var, Aix Marseille Univ, CNRS, INSU,IRD,MIO,UM 110, F-13288 Marseille 09, France.</t>
  </si>
  <si>
    <t>karine.leblanc@univ-amu.fr</t>
  </si>
  <si>
    <t>Bode, Antonio/B-7949-2009; Arístegui, Javier/D-5833-2013; Piontkovski, Sergey/ABB-9334-2020; elsa, Breton/J-4996-2013; Quéguiner, Bernard/B-4060-2008; Leblanc, Karine/C-6029-2009; Widdicombe, Claire/AAC-7358-2022; , Marian/JSL-4087-2023; Armand, Leanne K/C-9004-2009; Poulton, Alex/A-9859-2012</t>
  </si>
  <si>
    <t>Bode, Antonio/0000-0002-9535-2548; Arístegui, Javier/0000-0002-7526-7741; elsa, Breton/0000-0002-9569-5436; Quéguiner, Bernard/0000-0001-5020-8297; Schiebel, Ralf/0000-0002-6252-7647; Poulton, Alex/0000-0002-5149-6961; Armand, Leanne/0000-0003-3995-308X</t>
  </si>
  <si>
    <t>Natural Environment Research Council [ceh010010] Funding Source: researchfish</t>
  </si>
  <si>
    <t>10.5194/essd-4-149-2012</t>
  </si>
  <si>
    <t>WOS:000209415300014</t>
  </si>
  <si>
    <t>Bednarsek, N; Mozina, J; Vogt, M; O'Brien, C; Tarling, GA</t>
  </si>
  <si>
    <t>Bednarsek, N.; Mozina, J.; Vogt, M.; O'Brien, C.; Tarling, G. A.</t>
  </si>
  <si>
    <t>The global distribution of pteropods and their contribution to carbonate and carbon biomass in the modern ocean</t>
  </si>
  <si>
    <t>COMMUNITY STRUCTURE; SOUTHERN-OCEAN; MESOZOOPLANKTON DISTRIBUTION; VERTICAL-DISTRIBUTION; LIMACINA-HELICINA; ROSS SEA; ZOOPLANKTON BIOMASS; GRAZING IMPACT; MCMURDO SOUND; TIME-SERIES</t>
  </si>
  <si>
    <t>Pteropods are a group of holoplanktonic gastropods for which global biomass distribution patterns remain poorly described. The aim of this study was to collect and synthesise existing pteropod (Gymnosomata, Thecosomata and Pseudothecosomata) abundance and biomass data, in order to evaluate the global distribution of pteropod carbon biomass, with a particular emphasis on temporal and spatial patterns. We collected 25 939 data points from several online databases and 41 scientific articles. These data points corresponded to observations from 15 134 stations, where 93% of observations were of shelled pteropods (Thecosomata) and 7% of non-shelled pteropods (Gymnosomata). The biomass data has been gridded onto a 360 x 180 degrees grid, with a vertical resolution of 33 depth levels. Both the raw data file and the gridded data in NetCDF format can be downloaded from PANGAEA, doi:10.1594/PANGAEA.777387. Data were collected between 19502010, with sampling depths ranging from 0-2000 m. Pteropod biomass data was either extracted directly or derived through converting abundance to biomass with pteropod-specific length to carbon biomass conversion algorithms. In the Northern Hemisphere (NH), the data were distributed quite evenly throughout the year, whereas sampling in the Southern Hemisphere (SH) was biased towards winter and summer values. 86% of all biomass values were located in the NH, most (37 %) within the latitudinal band of 30-60 degrees N. The range of global biomass values spanned over four orders of magnitude, with mean and median (non-zero) biomass values of 4.6 mg C m(-3) (SD = 62.5) and 0.015 mg C m(-3), respectively. The highest mean biomass was located in the SH within the 70-80 degrees S latitudinal band (39.71 mg C m(-3), SD = 93.00), while the highest median biomass was in the NH, between 40-50 degrees S (0.06 mg C m(-3), SD = 79.94). Shelled pteropods constituted a mean global carbonate biomass of 23.17 mg CaCO3 m(-3) (based on non-zero records). Total biomass values were lowest in the equatorial regions and equally high at both poles. Pteropods were found at least to depths of 1000 m, with the highest biomass values located in the surface layer (0-10 m) and gradually decreasing with depth, with values in excess of 100 mg C m(-3) only found above 200m depth. Tropical species tended to concentrate at greater depths than temperate or high-latitude species. Global biomass levels in the NH were relatively invariant over the seasonal cycle, but more seasonally variable in the SH. The collected database provides a valuable tool for modellers for the study of marine ecosystem processes and global biogeochemical cycles. By extrapolating regional biomass to a global scale, we established global pteropod biomass to add up to 500 Tg C.</t>
  </si>
  <si>
    <t>[Bednarsek, N.] NOAA, Pacific Marine Environm Lab, 7600 Sand Point Way NE, Seattle, WA 98115 USA; [Mozina, J.] Univ Nova Gorica, Environm Res Lab, Nova Gorica 5000, Slovenia; [Vogt, M.; O'Brien, C.] ETH, Inst Biogeochem &amp; Pollutant Dynam, CH-8092 Zurich, Switzerland; [Tarling, G. A.] British Antarctic Survey, Nat Environm Res Council, Cambridge CB3 0ET, England</t>
  </si>
  <si>
    <t>National Oceanic Atmospheric Admin (NOAA) - USA; University of Nova Gorica; Swiss Federal Institutes of Technology Domain; ETH Zurich; UK Research &amp; Innovation (UKRI); Natural Environment Research Council (NERC); NERC British Antarctic Survey</t>
  </si>
  <si>
    <t>Bednarsek, N (corresponding author), NOAA, Pacific Marine Environm Lab, 7600 Sand Point Way NE, Seattle, WA 98115 USA.</t>
  </si>
  <si>
    <t>nina.bednarsek@noaa.gov</t>
  </si>
  <si>
    <t>bednarsek, nina/AAM-7748-2021; Bednarsek, Nina/Q-8937-2017; Vogt, Meike/I-7457-2017; O'Brien, Colleen/H-7698-2015</t>
  </si>
  <si>
    <t>bednarsek, nina/0000-0002-9177-6626; O'Brien, Colleen/0000-0003-4456-8119</t>
  </si>
  <si>
    <t>Erasmus scholarship; Ecosystems core research programme at the British Antarcttic Survey; European Community [238366]; NERC [bas0100025] Funding Source: UKRI; Natural Environment Research Council [bas0100025] Funding Source: researchfish</t>
  </si>
  <si>
    <t>Erasmus scholarship; Ecosystems core research programme at the British Antarcttic Survey; European Community; NERC(UK Research &amp; Innovation (UKRI)Natural Environment Research Council (NERC)); Natural Environment Research Council(UK Research &amp; Innovation (UKRI)Natural Environment Research Council (NERC))</t>
  </si>
  <si>
    <t>The lead author is grateful to R. A. Feely (NOAA) and R. Schiebel (Universite d'Angers-BIAF) for their invaluable advice and ideas. Thanks also go to Marko Vuckovic from the University of Nova Gorica for the help with the Matlab software changes. The work at ETH for NB was partly funded through an Erasmus scholarship. GT was supported by the Ecosystems core research programme at the British Antarcttic Survey. The research leading to these results has received funding from the European Community's Seventh Framework Programme (FP7 2007-2013) under grant agreement no. 238366.</t>
  </si>
  <si>
    <t>10.5194/essd-4-167-2012</t>
  </si>
  <si>
    <t>WOS:000209415300015</t>
  </si>
  <si>
    <t>Sander, R; Bottenheim, J</t>
  </si>
  <si>
    <t>Sander, R.; Bottenheim, J.</t>
  </si>
  <si>
    <t>A compilation of tropospheric measurements of gas-phase and aerosol chemistry in polar regions</t>
  </si>
  <si>
    <t>OZONE DEPLETION EVENTS; ATMOSPHERIC BOUNDARY-LAYER; GASEOUS ELEMENTAL MERCURY; SEA-SALT SULFATE; PEROXYACETYL NITRATE PAN; DURVILLE COASTAL ANTARCTICA; LATITUDE SPRINGTIME PHOTOCHEMISTRY; GROUND-BASED MEASUREMENTS; REACTIVE NITROGEN-OXIDES; ARCTIC LOWER TROPOSPHERE</t>
  </si>
  <si>
    <t>Measurements of atmospheric chemistry in polar regions have been made for more than half a century. Probably the first Antarctic ozone data were recorded in 1958 during the International Geophysical Year. Since then, many measurement campaigns followed, and the results are now spread over many publications in several journals. Here, we have compiled measurements of tropospheric gas-phase and aerosol chemistry made in the Arctic and the Antarctic. It is hoped that this data collection is worth more than the sum of its components and serves as a basis for future analyses of spatial and temporal trends in polar atmospheric chemistry.</t>
  </si>
  <si>
    <t>[Sander, R.] Max Planck Inst Chem, Air Chem Dept, D-55020 Mainz, Germany; [Bottenheim, J.] Environm Canada, Toronto M3H 5T4, ON, Canada</t>
  </si>
  <si>
    <t>Max Planck Society; Environment &amp; Climate Change Canada</t>
  </si>
  <si>
    <t>Sander, R (corresponding author), Max Planck Inst Chem, Air Chem Dept, POB 3060, D-55020 Mainz, Germany.</t>
  </si>
  <si>
    <t>rolf.sander@mpic.de</t>
  </si>
  <si>
    <t>Sander, Rolf/A-5725-2011</t>
  </si>
  <si>
    <t>Sander, Rolf/0000-0001-6479-2092</t>
  </si>
  <si>
    <t>10.5194/essd-4-215-2012</t>
  </si>
  <si>
    <t>WOS:000209415300017</t>
  </si>
  <si>
    <t>Thiebot, JB; Cherel, Y; Trathan, PN; Bost, CA</t>
  </si>
  <si>
    <t>Thiebot, Jean-Baptiste; Cherel, Yves; Trathan, Philip N.; Bost, Charles-Andre</t>
  </si>
  <si>
    <t>Coexistence of oceanic predators on wintering areas explained by population-scale foraging segregation in space or time</t>
  </si>
  <si>
    <t>ECOLOGY</t>
  </si>
  <si>
    <t>Eudyptes filholi; Eudyptes moseleyi; geolocation; habitat use; niche theory; nonbreeding period; penguins: resource partitioning; space segregation; stable isotopes; time segregation: trophic ecology</t>
  </si>
  <si>
    <t>PENGUINS EUDYPTES-CHRYSOCOME; NORTHERN ROCKHOPPER PENGUIN; STABLE-ISOTOPES; HABITAT USE; SEABIRDS; GEOLOCATION; INFORMATION; MIGRATIONS; NUMBERS; TRENDS</t>
  </si>
  <si>
    <t>Ecological niche theory predicts segregation mechanisms that mitigate potential competition between closely related organisms. However, little is known outside the breeding season, when central-place foraging animals may move on larger scales. This study tested for segregation mechanisms within the same 2007 inter-breeding period on three neighboring populations of avian predators from the southern Indian Ocean: Eastern Rockhopper Penguins Eudyptes filholi from Crozet and Kerguelen and Northern Rockhopper Penguins E. moseleyi from Amsterdam. Using state-of-the-art geolocation tracking and stable isotope analysis techniques, we quantified and compared the ecological niches in time, space, and diet. The three populations showed large-scale movements over deep oceanic waters near the Subantarctic Front, with generally little individual variation. The two neighboring populations of Eastern Rockhopper Penguins showed strikingly distinct distribution in space, while foraging in similar habitats and at the same trophic level (crustacean-eaters). In contrast, Northern Rockhoppers showed marked spatial overlap with birds of the sibling Eastern species, but their temporal delay of two months enabled them to effectively avoid significant overlap. Our results highlight parsimonious mechanisms of resource partitioning operating at the population level that may explain how animals from neighboring localities can coexist during the nonbreeding period.</t>
  </si>
  <si>
    <t>[Thiebot, Jean-Baptiste; Cherel, Yves; Bost, Charles-Andre] CNRS, UPR 1934, Ctr Etud Biol Chize, F-79360 Beauvoir Sur Niort, France; [Trathan, Philip N.] British Antarctic Survey, Nat Environm Res Council, Cambridge CB3 0ET, England</t>
  </si>
  <si>
    <t>Centre National de la Recherche Scientifique (CNRS); UK Research &amp; Innovation (UKRI); Natural Environment Research Council (NERC); NERC British Antarctic Survey</t>
  </si>
  <si>
    <t>Thiebot, JB (corresponding author), CNRS, UPR 1934, Ctr Etud Biol Chize, F-79360 Beauvoir Sur Niort, France.</t>
  </si>
  <si>
    <t>thiebot@cebc.cnrs.fr</t>
  </si>
  <si>
    <t>ANR [07 Biodiv]; Institut Polaire Francais Paul-Emile Victor [394]; Terres Australes et Antarctiques Francaises</t>
  </si>
  <si>
    <t>ANR(Agence Nationale de la Recherche (ANR)); Institut Polaire Francais Paul-Emile Victor; Terres Australes et Antarctiques Francaises</t>
  </si>
  <si>
    <t>The Ethics Committee of IPEV (Institut Polaire Francais Paul-Emile Victor) approved the field procedure. The authors thank H. Maheo, M. Berlincourt, Q. Delorme, A. Knochel, R. Perdriat, Y. Charbonnier, and N. Mignot for their help in the field, A. Goarant and M. Authier for their advice, G. Guillou and P. Richard for stable isotope analysis, and two anonymous reviewers for their constructive comments. The present work was supported financially and logistically by the ANR 07 Biodiv GLIDES, the Institut Polaire Francais Paul-Emile Victor (programs no. 394, C.A. Bost, and 109, H. Weimerskirch), and the Terres Australes et Antarctiques Francaises.</t>
  </si>
  <si>
    <t>WILEY</t>
  </si>
  <si>
    <t>0012-9658</t>
  </si>
  <si>
    <t>1939-9170</t>
  </si>
  <si>
    <t>Ecology</t>
  </si>
  <si>
    <t>10.1890/11-0385.1</t>
  </si>
  <si>
    <t>Environmental Sciences &amp; Ecology</t>
  </si>
  <si>
    <t>915AU</t>
  </si>
  <si>
    <t>WOS:000301996100015</t>
  </si>
  <si>
    <t>Laybourn-Parry, J; Tranter, M; Hodson, A</t>
  </si>
  <si>
    <t>LaybournParry, J; Tranter, M; Hodson, AJ</t>
  </si>
  <si>
    <t>Laybourn-Parry, Johanna; Tranter, Martyn; Hodson, Andrew</t>
  </si>
  <si>
    <t>The Ecology of Snow and Ice Environments Preface</t>
  </si>
  <si>
    <t>ECOLOGY OF SNOW AND ICE ENVIRONMENTS</t>
  </si>
  <si>
    <t>Editorial Material; Book Chapter</t>
  </si>
  <si>
    <t>ANTARCTIC SEA-ICE; DISSOLVED ORGANIC-MATTER; MCMURDO DRY VALLEYS; HAUT-GLACIER-DAROLLA; FLUORESCENCE EMISSION LIFE; BACTERIOPLANKTON COMMUNITY STRUCTURE; KRILL EUPHAUSIA-SUPERBA; SUBGLACIAL LAKE VOSTOK; RIBOSOMAL-RNA GENE; HIGH ARCTIC LAKES</t>
  </si>
  <si>
    <t>[Laybourn-Parry, Johanna; Tranter, Martyn] Univ Bristol, Bristol Glaciol Ctr, Sch Geog Sci, Bristol BS8 1TH, Avon, England; [Hodson, Andrew] Univ Sheffield, Dept Geog, Sheffield S10 2TN, S Yorkshire, England</t>
  </si>
  <si>
    <t>University of Bristol; University of Sheffield</t>
  </si>
  <si>
    <t>Laybourn-Parry, J (corresponding author), Univ Bristol, Bristol Glaciol Ctr, Sch Geog Sci, Bristol BS8 1TH, Avon, England.</t>
  </si>
  <si>
    <t>Tranter, Martyn/E-3722-2010</t>
  </si>
  <si>
    <t>198 MADISON AVENUE, NEW YORK, NY 10016 USA</t>
  </si>
  <si>
    <t>978-0-19-958308-9; 978-0-19-178853-6; 978-0-19-958307-2</t>
  </si>
  <si>
    <t>10.1093/acprof:oso/9780199583072.001.0001</t>
  </si>
  <si>
    <t>Ecology; Geography, Physical; Geosciences, Multidisciplinary</t>
  </si>
  <si>
    <t>Environmental Sciences &amp; Ecology; Physical Geography; Geology</t>
  </si>
  <si>
    <t>BC5NM</t>
  </si>
  <si>
    <t>WOS:000353400000001</t>
  </si>
  <si>
    <t>Rey, AR; Pütz, K; Scioscia, G; Lüthi, B; Schiavini, A</t>
  </si>
  <si>
    <t>Rey, Andrea Raya; Puetz, Klemens; Scioscia, Gabriela; Luethi, Benno; Schiavini, Adrian</t>
  </si>
  <si>
    <t>Sexual differences in the foraging behaviour of Magellanic Penguins related to stage of breeding</t>
  </si>
  <si>
    <t>EMU-AUSTRAL ORNITHOLOGY</t>
  </si>
  <si>
    <t>Beagle Channel; diving behaviour; foraging ecology; foraging strategies; seabirds; sexual dimorphism; Tierra del Fuego</t>
  </si>
  <si>
    <t>EUDYPTES-CHRYSOCOME-CHRYSOCOME; SPHENISCUS-MAGELLANICUS; DIVING BEHAVIOR; ROCKHOPPER PENGUINS; PROVISIONING BEHAVIOR; REPRODUCTIVE SUCCESS; SEABIRDS; INCUBATION; INDICATORS; EFFICIENCY</t>
  </si>
  <si>
    <t>Understanding the foraging behaviour of seabirds and its plasticity is vital to establish their role in marine food webs and their use as indicators of change in the availability of prey. The foraging behaviour of penguins is known to differ with locality, sex, stage of breeding and between years. We studied the diving behaviour of breeding Magellanic Penguins (Spheniscus magellanicus), using time-depth recorders, during incubation and brooding in the 2003-04 and 2004-05 breeding seasons at Isla Martillo, Tierra del Fuego, Argentina. Foraging trips during the incubation period were longer than those during the brooding period for both sexes in both years of the study. Sex-related differences in foraging behaviour were observed during the incubation stage. During the incubation stage females performed longer foraging trips than males, foraging effort was lower, and did not dive as deep as males in both years. Foraging success was lower for females than males during incubation only in 2003. Our results suggest that sexual differences, expressed as differences in the foraging parameters of males and females, only develop when Fuegian Sprat (Sprattus fuegensis), the main prey in this locality, is not abundant close to the colony. Females may be extending the volume of water they can exploit by extending the duration of trips (horizontal distance), whereas males do so by diving deeper (vertical distance). Our results show the fundamental differences in foraging strategies between the sexes in Magellanic Penguin are a consequence of environmental conditions not morphological differences between sexes.</t>
  </si>
  <si>
    <t>[Rey, Andrea Raya; Scioscia, Gabriela; Schiavini, Adrian] Consejo Nacl Invest Cient &amp; Tecn, CADIC, Ushuaia, Tierra Fuego, Argentina; [Puetz, Klemens] Antarctic Res Trust, D-27432 Bremervoerde, Germany; [Luethi, Benno] Antarctic Res Trust, Zoo Zurich, CH-8044 Zurich, Switzerland; [Schiavini, Adrian] Wildlife Conservat Soc, New York, NY 10460 USA</t>
  </si>
  <si>
    <t>Consejo Nacional de Investigaciones Cientificas y Tecnicas (CONICET); Wildlife Conservation Society</t>
  </si>
  <si>
    <t>Rey, AR (corresponding author), Consejo Nacl Invest Cient &amp; Tecn, CADIC, Bernardo Houssay 200, Ushuaia, Tierra Fuego, Argentina.</t>
  </si>
  <si>
    <t>arayarey@cadic-conicet.gob.ar</t>
  </si>
  <si>
    <t>Puetz, Klemens/0000-0003-1375-2669; Raya Rey, Andrea/0000-0003-0127-6650; Schiavini, Adrian Carlos Miguel/0000-0001-6621-4827</t>
  </si>
  <si>
    <t>Consejo Nacional de Investigaciones Cientificas y Tecnicas (CONICET)(Consejo Nacional de Investigaciones Cientificas y Tecnicas (CONICET)); Wildlife Conservation Society</t>
  </si>
  <si>
    <t>This research was made possible through the support of the Consejo Nacional de Investigaciones Cientificas y Tecnicas (CONICET). Financial support was provided by the Wildlife Conservation Society and individual donations to the Antarctic Research Trust by Diane and Arthur Abbey, Olive Bavins, Lesley Baxter, Elisabeth and Franz Becksteiner, Maryana Bilski and Ruedi Baumann, Ruth and Walther Egli-Henzi, Michael Elosge, Lesley Friedsam and Peter Damish, Susanne Haab, Dr Marianne Haffner, Miriam and Donald Landsman, Urs Morgenthaler, Diana and Gerhard Muller, Eva-Maria Neugebauer, Ruedi Pauli, Hans-Ulrich Schneebeli, Karin Schneider, Carine Steiger, Eva Stettler, Stiftung Dr Carlo Fleischmann und Ursula Spalti. We thank Jorge Greco from Piratur for transportation to the island and Marcela Liljesthrom for advice with language and editing. This study was approved by the National Council of Scientific Research and the Natural Resources Agency of the province of Tierra del Fuego and complied with the legal requirements in Argentina.</t>
  </si>
  <si>
    <t>TAYLOR &amp; FRANCIS AUSTRALASIA</t>
  </si>
  <si>
    <t>MELBOURNE</t>
  </si>
  <si>
    <t>LEVEL 2, 11 QUEENS RD, MELBOURNE, VIC 3004, AUSTRALIA</t>
  </si>
  <si>
    <t>0158-4197</t>
  </si>
  <si>
    <t>1448-5540</t>
  </si>
  <si>
    <t>EMU</t>
  </si>
  <si>
    <t>Emu</t>
  </si>
  <si>
    <t>10.1071/MU11065</t>
  </si>
  <si>
    <t>Ornithology</t>
  </si>
  <si>
    <t>Zoology</t>
  </si>
  <si>
    <t>946MN</t>
  </si>
  <si>
    <t>WOS:000304356100003</t>
  </si>
  <si>
    <t>Rayner, MJ; Taylor, GA; Gummer, HD; Phillips, RA; Sagar, PM; Shaffer, SA; Thompson, DR</t>
  </si>
  <si>
    <t>Rayner, Matt J.; Taylor, Graeme A.; Gummer, Helen D.; Phillips, Richard A.; Sagar, Paul M.; Shaffer, Scott A.; Thompson, David R.</t>
  </si>
  <si>
    <t>The breeding cycle, year-round distribution and activity patterns of the endangered Chatham Petrel (Pterodroma axillaris)</t>
  </si>
  <si>
    <t>PROCELLARIA-AEQUINOCTIALIS; FORAGING ECOLOGY; PELAGIC SEABIRD; SOUTH-GEORGIA; MIGRATION; ALBATROSSES; COOKII; STRATEGIES; DYNAMICS; TRACKING</t>
  </si>
  <si>
    <t>Petrels are highly mobile seabirds that face many threats and whose conservation is frequently hampered by a lack of understanding of their biology at sea. We used a combination of data from burrow monitoring and geolocation-immersion loggers to study the intra-and inter-seasonal distribution and behaviour of the endangered Chatham Petrel (Pterodroma axillaris), breeding on Rangatira Island, New Zealand. Breeding extended from November to June with a pre-laying exodus of 35 days; an incubation period of 46 days, with up to five incubation shifts; and a chick-rearing period of 87 days, including a desertion period of 10 days. When breeding, Chatham Petrels foraged between the Subtropical Convergence and Subantarctic Fronts, moving 2000-3000 km to the south-east of the Chatham Islands, during the pre-laying exodus and incubation period, but restricting foraging to the south of the Chatham Islands, around the Bollons Seamount, during chick-rearing. Between April and June birds migrated east and north to core non-breeding distributions similar to 1000 km from the coast of Peru and Chile. Birds spent a greater proportion of time resting and nocturnally active during the non-breeding period than when breeding, when birds where active during darkness and daylight. These data contribute to the conservation management of the Chatham Petrel and to conservation initiatives to identity marine protected areas for endangered seabirds on the high seas beyond national jurisdictions.</t>
  </si>
  <si>
    <t>[Rayner, Matt J.] Univ Auckland, Sch Biol Sci, Auckland 1, New Zealand; [Taylor, Graeme A.] Dept Conservat, Wellington 6143, New Zealand; [Phillips, Richard A.] British Antarctic Survey, NERC, Cambridge CB3 0ET, England; [Sagar, Paul M.] Natl Inst Water &amp; Atmospher Res Ltd, Christchurch, New Zealand; [Shaffer, Scott A.] San Jose State Univ, Dept Biol Sci, San Jose, CA 95192 USA; [Thompson, David R.] Natl Inst Water &amp; Atmospher Res Ltd, Wellington, New Zealand</t>
  </si>
  <si>
    <t>University of Auckland; UK Research &amp; Innovation (UKRI); Natural Environment Research Council (NERC); NERC British Antarctic Survey; National Institute of Water &amp; Atmospheric Research (NIWA) - New Zealand; California State University System; San Jose State University; National Institute of Water &amp; Atmospheric Research (NIWA) - New Zealand</t>
  </si>
  <si>
    <t>Rayner, MJ (corresponding author), Univ Auckland, Sch Biol Sci, Private Bag 92019, Auckland 1, New Zealand.</t>
  </si>
  <si>
    <t>m.rayner@auckland.ac.nz</t>
  </si>
  <si>
    <t>; Shaffer, Scott/D-5015-2009</t>
  </si>
  <si>
    <t>Rayner, Matt/0000-0002-1168-6699; Shaffer, Scott/0000-0002-7751-5059</t>
  </si>
  <si>
    <t>Foundation for Research Science and Technology; DOC (Research and Development Group); Natural Environment Research Council [bas0100025] Funding Source: researchfish; NERC [bas0100025] Funding Source: UKRI</t>
  </si>
  <si>
    <t>Foundation for Research Science and Technology(New Zealand Foundation for Research, Science and Technology); DOC (Research and Development Group); Natural Environment Research Council(UK Research &amp; Innovation (UKRI)Natural Environment Research Council (NERC)); NERC(UK Research &amp; Innovation (UKRI)Natural Environment Research Council (NERC))</t>
  </si>
  <si>
    <t>We thank the Chatham Island Conservation Board and staff of the New Zealand Department of Conservation (DOC) Chatham Island Area Office (Antje Lese-berg, Dan Palmer, Abigail Liddy) for facilitating this research; Louis Ranjard (University of Auckland) for assistance with Matlab; and Wendy Rayner for support during this research. This research was funded by DOC (Research and Development Group) and the Foundation for Research Science and Technology through a Postdoctoral Scholarship provided to M. J. Rayner. All work was conducted under National Institute of Water and Atmospheric Research animal ethics approval and DOC research and banding permissions. This project represents a contribution to the BAS ecosystems program.</t>
  </si>
  <si>
    <t>TAYLOR &amp; FRANCIS AUSTRALIA</t>
  </si>
  <si>
    <t>10.1071/MU11066</t>
  </si>
  <si>
    <t>WOS:000304356100005</t>
  </si>
  <si>
    <t>Liu, XD; Jiang, S; Zhang, PF; Xu, LQ</t>
  </si>
  <si>
    <t>Liu, Xiaodong; Jiang, Shan; Zhang, Pengfei; Xu, Liqiang</t>
  </si>
  <si>
    <t>Effect of recent climate change on Arctic Pb pollution: A comparative study of historical records in lake and peat sediments</t>
  </si>
  <si>
    <t>ENVIRONMENTAL POLLUTION</t>
  </si>
  <si>
    <t>Ny-Alesund; Sediment; Pb pollution; Pb isotope; Catchment input; Climate warming</t>
  </si>
  <si>
    <t>ATMOSPHERIC LEAD POLLUTION; ISOTOPE RATIOS; ENVIRONMENTAL-CHANGE; ANTHROPOGENIC LEAD; DEPOSITION; GREENLAND; CONTAMINATION; ISLAND; BC; MILLENNIUM</t>
  </si>
  <si>
    <t>Historical changes of anthropogenic Pb pollution were reconstructed based on Pb concentrations and isotope ratios in lake and peat sediment profiles from Ny-Alesund of Arctic. The calculated excess Pb isotope ratios showed that Pb pollution largely came from west Europe and Russia. The peat profile clearly reflected the historical changes of atmospheric deposition of anthropogenic Pb into Ny-Alesund, and the result showed that anthropogenic Pb peaked at 1960s-1970s, and thereafter a significant recovery was observed by a rapid increase of Pb-206/Pb-207 Pb ratios and a remarkable decrease in anthropogenic Pb contents. In contrast to the peat record, the longer lake record showed relatively high anthropogenic Pb contents and a persistent decrease of Pb-206/Pb-207 ratios within the uppermost samples, suggesting that climate-sensitive processes such as catchment erosion and meltwater runoff might have influenced the recent change of Pb pollution record in the High Arctic lake sediments. (C) 2011 Elsevier Ltd. All rights reserved.</t>
  </si>
  <si>
    <t>[Liu, Xiaodong; Jiang, Shan; Xu, Liqiang] Univ Sci &amp; Technol China, Inst Polar Environm, Sch Earth &amp; Space Sci, Hefei 230026, Anhui, Peoples R China; [Zhang, Pengfei] CUNY City Coll, Dept Earth &amp; Atmospher Sci, New York, NY 10031 USA</t>
  </si>
  <si>
    <t>Chinese Academy of Sciences; University of Science &amp; Technology of China, CAS; City University of New York (CUNY) System; City College of New York (CUNY)</t>
  </si>
  <si>
    <t>Liu, XD (corresponding author), Univ Sci &amp; Technol China, Inst Polar Environm, Sch Earth &amp; Space Sci, Hefei 230026, Anhui, Peoples R China.</t>
  </si>
  <si>
    <t>ycx@ustc.edu.cn</t>
  </si>
  <si>
    <t>Zhang, Pengfei/C-2264-2013; Xu, Liqiang/AGX-6674-2022</t>
  </si>
  <si>
    <t>Zhang, Pengfei/0000-0002-1765-5965;</t>
  </si>
  <si>
    <t>National Natural Science Foundation [40876096, 41076123]; Fundamental Research Funds for the Central Universities [WK2080000004, WK2060190007]; State Key Lab of Environmental Chemistry and Ecotoxicology [KF2010-08]</t>
  </si>
  <si>
    <t>National Natural Science Foundation(National Natural Science Foundation of China (NSFC)); Fundamental Research Funds for the Central Universities(Fundamental Research Funds for the Central Universities); State Key Lab of Environmental Chemistry and Ecotoxicology</t>
  </si>
  <si>
    <t>We would like to thank the Chinese Antarctic and Arctic Administration of National Oceanic Bureau for the logistic support for field sampling. This study was supported by the National Natural Science Foundation (Grant Nos. 40876096 and 41076123), the Fundamental Research Funds for the Central Universities (Nos. WK2080000004 and WK2060190007), an open research fund from State Key Lab of Environmental Chemistry and Ecotoxicology (KF2010-08). We thank two anonymous reviewers for their constructive comments on this manuscript.</t>
  </si>
  <si>
    <t>ELSEVIER SCI LTD</t>
  </si>
  <si>
    <t>THE BOULEVARD, LANGFORD LANE, KIDLINGTON, OXFORD OX5 1GB, OXON, ENGLAND</t>
  </si>
  <si>
    <t>0269-7491</t>
  </si>
  <si>
    <t>1873-6424</t>
  </si>
  <si>
    <t>ENVIRON POLLUT</t>
  </si>
  <si>
    <t>Environ. Pollut.</t>
  </si>
  <si>
    <t>10.1016/j.envpol.2011.09.019</t>
  </si>
  <si>
    <t>Environmental Sciences</t>
  </si>
  <si>
    <t>859TF</t>
  </si>
  <si>
    <t>WOS:000297898000023</t>
  </si>
  <si>
    <t>Coulon, F; Brassington, KJ; Bazin, R; Linnet, PE; Thomas, KA; Mitchell, TR; Lethbridge, G; Smith, JWN; Pollard, SJT</t>
  </si>
  <si>
    <t>Coulon, F.; Brassington, K. J.; Bazin, R.; Linnet, P. E.; Thomas, K. A.; Mitchell, T. R.; Lethbridge, G.; Smith, J. W. N.; Pollard, S. J. T.</t>
  </si>
  <si>
    <t>Effect of fertilizer formulation and bioaugmentation on biodegradation and leaching of crude oils and refined products in soils</t>
  </si>
  <si>
    <t>ENVIRONMENTAL TECHNOLOGY</t>
  </si>
  <si>
    <t>bioremediation; fertilizer; bioaugmentation; crude oil; refined petroleum products; microcosm</t>
  </si>
  <si>
    <t>SUB-ANTARCTIC SOILS; PETROLEUM-HYDROCARBONS; CONTAMINATED SOILS; ORGANIC CONTAMINANTS; BIOREMEDIATION; DEGRADATION; MINERALIZATION; STERILIZATION; NUTRIENT</t>
  </si>
  <si>
    <t>The effects of soil characteristics and oil types as well as the efficacy of two fertilizer formulations and three bioaugmentation packages in improving the bioremediation of oil-contaminated soils were assessed as a means of ex situ treatment selection and optimization through seven laboratory microcosm studies. The influence of bioremediation on leaching of oil from the soil was also investigated. The studies demonstrated the benefits of biostimulation to overcome nutrient limitation, as most of the soils were nutrient depleted. The application of both liquid and pelleted slow-release N and P fertilizers increased both the hydrocarbon biodegradation rates (by a factor of 1.4 to 2.9) and the percentage of hydrocarbon mass degraded (by &gt;30% after 12 weeks and 80% after 37 weeks), when compared with the unamended soils. Slow-release fertilizers can be particularly useful when multiple liquid applications are not practical or cost-effective. Bioaugmentation products containing inoculum plus fertilizer also increased biodegradation by 20% to 37% compared with unamended biotic controls; however, there was no clear evidence of additional benefits due to the inocula, compared with fertilizer alone. Therefore biostimulation is seen as the most cost-effective bioremediation strategy for contaminated soils with the levels of crude oil and refined products used in this study. However, site-specific considerations remain essential for establishing the treatability of oil-contaminated soils.</t>
  </si>
  <si>
    <t>[Coulon, F.; Brassington, K. J.; Pollard, S. J. T.] Cranfield Univ, Sch Appl Sci, Cranfield MK43 0AL, Beds, England; [Bazin, R.; Linnet, P. E.; Thomas, K. A.; Mitchell, T. R.; Lethbridge, G.; Smith, J. W. N.] Shell Global Solut UK, Shell Technol Ctr Thornton, Chester CH1 3SH, Cheshire, England</t>
  </si>
  <si>
    <t>Cranfield University; Royal Dutch Shell</t>
  </si>
  <si>
    <t>Coulon, F (corresponding author), Cranfield Univ, Sch Appl Sci, Cranfield MK43 0AL, Beds, England.</t>
  </si>
  <si>
    <t>f.coulon@cranfield.ac.uk</t>
  </si>
  <si>
    <t>Smith, Jonathan William Neil/K-1053-2019; Coulon, Frederic/B-3227-2009; Pollard FREng, Simon/C-9848-2009</t>
  </si>
  <si>
    <t>Smith, Jonathan William Neil/0000-0002-6568-842X; Coulon, Frederic/0000-0002-4384-3222; Pollard FREng, Simon/0000-0001-8188-3324</t>
  </si>
  <si>
    <t>Department of Trade and Industry-Research Council; consortium of industrial partners (PROMISE); EPSRC; FIRSTFARADAY (Environmental Sustainability KTN) partnership; BBSRC [BB/B512432/1]; Biotechnology and Biological Sciences Research Council [BB/B512432/1] Funding Source: researchfish</t>
  </si>
  <si>
    <t>Department of Trade and Industry-Research Council; consortium of industrial partners (PROMISE); EPSRC(UK Research &amp; Innovation (UKRI)Engineering &amp; Physical Sciences Research Council (EPSRC)); FIRSTFARADAY (Environmental Sustainability KTN) partnership; BBSRC(UK Research &amp; Innovation (UKRI)Biotechnology and Biological Sciences Research Council (BBSRC)); Biotechnology and Biological Sciences Research Council(UK Research &amp; Innovation (UKRI)Biotechnology and Biological Sciences Research Council (BBSRC))</t>
  </si>
  <si>
    <t>This work was funded under a former Department of Trade and Industry-Research Council 'Bioremediation LINK' grant and supported by a consortium of industrial partners (PROMISE). KJB was funded by an EPSRC case award supported by the former FIRSTFARADAY (Environmental Sustainability KTN) partnership. FC was supported by BBSRC grant BB/B512432/1. The views expressed are the authors' alone and may not reflect the views or policies of their employing organisations.</t>
  </si>
  <si>
    <t>0959-3330</t>
  </si>
  <si>
    <t>1479-487X</t>
  </si>
  <si>
    <t>ENVIRON TECHNOL</t>
  </si>
  <si>
    <t>Environ. Technol.</t>
  </si>
  <si>
    <t>10.1080/09593330.2011.650221</t>
  </si>
  <si>
    <t>996PI</t>
  </si>
  <si>
    <t>WOS:000308103500006</t>
  </si>
  <si>
    <t>Guyot, S</t>
  </si>
  <si>
    <t>Guyot, Sylvain</t>
  </si>
  <si>
    <t>The territorial making of rival Antarctic gateways: Ushuaia (Argentina) and Punta Arenas (Chile)</t>
  </si>
  <si>
    <t>ESPACE POLITIQUE</t>
  </si>
  <si>
    <t>French</t>
  </si>
  <si>
    <t>frontier; gateway; bridgehead; nationalism; territorial control; Antarctica; Argentina; Chile</t>
  </si>
  <si>
    <t>Ushuaia and Punta Arenas are the southernmost cities in their belonging countries, Argentina and Chile. They have played the role of frontier towns in the process of consolidation and legitimation of these austral national territories located in the periphery of South America. During the last fifty years, these two port cities have emerged as the two main international gateways to Antarctica, and especially to Antarctic Peninsula. They participate in the structuring of a multifaceted Antarctic frontier conquest: military, scientific, ecological and tourism. The bridgehead is a key concept to rethink the territorial structuring and control of conquest frontier. If we recall proximity and connection as minimal criteria to define a gateway, political control and territorial reference tend to reinforce the gateway as the main bridgehead place of the conquest frontier. Are then Ushuaia and Punta Arenas becoming Antarctic-driven cities? How are they used in the antartic national policies of Argentina and Chile?</t>
  </si>
  <si>
    <t>[Guyot, Sylvain] Univ Limoges, CNRS, GEOLAB, UMR 6042, Limoges, France</t>
  </si>
  <si>
    <t>Centre National de la Recherche Scientifique (CNRS); Universite Clermont Auvergne (UCA); Universite de Limoges; CNRS - Institute of Ecology &amp; Environment (INEE)</t>
  </si>
  <si>
    <t>Guyot, S (corresponding author), Univ Limoges, CNRS, GEOLAB, UMR 6042, Limoges, France.</t>
  </si>
  <si>
    <t>sylvain.guyot@unilim.fr</t>
  </si>
  <si>
    <t>UNIV REIMS CHAMPAGNE-ARDENNES</t>
  </si>
  <si>
    <t>PARIS</t>
  </si>
  <si>
    <t>C/O MME EMMANUELLE CHAVENEAU, 191 RUE ST JACQUES, PARIS, 75005, FRANCE</t>
  </si>
  <si>
    <t>1958-5500</t>
  </si>
  <si>
    <t>ESPAC POLIT</t>
  </si>
  <si>
    <t>Espac. Polit.</t>
  </si>
  <si>
    <t>Geography</t>
  </si>
  <si>
    <t>V9C2I</t>
  </si>
  <si>
    <t>WOS:000422179500005</t>
  </si>
  <si>
    <t>Liu, TT; Zhang, LP; Li, PX; Lin, H</t>
  </si>
  <si>
    <t>Liu, Tingting; Zhang, Liangpei; Li, Pingxiang; Lin, Hui</t>
  </si>
  <si>
    <t>Remotely sensed image retrieval based on region-level semantic mining</t>
  </si>
  <si>
    <t>EURASIP JOURNAL ON IMAGE AND VIDEO PROCESSING</t>
  </si>
  <si>
    <t>content-based image retrieval; segmentation; region-level image representation; semantic mining</t>
  </si>
  <si>
    <t>SPATIAL INFORMATION; URBAN AREAS; COLOR; CLASSIFICATION; SEGMENTATION</t>
  </si>
  <si>
    <t>As satellite images are widely used in a large number of applications in recent years, content-based image retrieval technique has become important tools for image exploration and information mining; however, their performances are limited by the semantic gap between low-level features and high-level concepts. To narrow this semantic gap, a region-level semantic mining approach is proposed in this article. Because it is easier for users to understand image content by region, images are segmented into several parts using an improved segmentation algorithm, each with homogeneous spectral and textural characteristics, and then a uniform region-based representation for each image is built. Once the probabilistic relationship among image, region, and hidden semantic is constructed, the Expectation Maximization method can be applied to mine the hidden semantic. We implement this approach on a dataset consisting of thousands of satellite images and obtain a high retrieval precision, as demonstrated through experiments.</t>
  </si>
  <si>
    <t>[Zhang, Liangpei; Li, Pingxiang] Wuhan Univ, State Key Lab Informat Engn Surveying Mapping &amp; R, Wuhan 430072, Peoples R China; [Liu, Tingting] Wuhan Univ, Chinese Antarctic Ctr Surveying &amp; Mapping, Wuhan 430072, Peoples R China; [Lin, Hui] Chinese Univ Hong Kong, Inst Space &amp; Earth Informat Sci, Hong Kong, Hong Kong, Peoples R China</t>
  </si>
  <si>
    <t>Wuhan University; Wuhan University; Chinese University of Hong Kong</t>
  </si>
  <si>
    <t>Zhang, LP (corresponding author), Wuhan Univ, State Key Lab Informat Engn Surveying Mapping &amp; R, Wuhan 430072, Peoples R China.</t>
  </si>
  <si>
    <t>ltt820223@yahoo.com.cn; zlp62@public.wh.hb.cn; pxli@lmars.whu.edu.cn; huilin@cuhk.edu.hk</t>
  </si>
  <si>
    <t>Lin, Hui/AAU-7412-2020; lin, hui/HJI-4472-2023; liu, ting/GZM-3326-2022</t>
  </si>
  <si>
    <t>Chinese 863 program [2009AA12Z133]; National Nature Science Foundation of China (NSFC) [41076126/D0611]; National Basic Research Program of China [2011CB7071]</t>
  </si>
  <si>
    <t>Chinese 863 program(National High Technology Research and Development Program of China); National Nature Science Foundation of China (NSFC)(National Natural Science Foundation of China (NSFC)); National Basic Research Program of China(National Basic Research Program of China)</t>
  </si>
  <si>
    <t>This research was supported by the Chinese 863 program (No. 2009AA12Z133), the National Nature Science Foundation of China (NSFC) (No. 41076126/D0611), and the National Basic Research Program of China (No. 2011CB7071).</t>
  </si>
  <si>
    <t>SPRINGEROPEN</t>
  </si>
  <si>
    <t>CAMPUS, 4 CRINAN ST, LONDON, N1 9XW, ENGLAND</t>
  </si>
  <si>
    <t>1687-5176</t>
  </si>
  <si>
    <t>1687-5281</t>
  </si>
  <si>
    <t>EURASIP J IMAGE VIDE</t>
  </si>
  <si>
    <t>EURASIP J. Image Video Process.</t>
  </si>
  <si>
    <t>10.1186/1687-5281-2012-4</t>
  </si>
  <si>
    <t>Engineering, Electrical &amp; Electronic; Imaging Science &amp; Photographic Technology</t>
  </si>
  <si>
    <t>Engineering; Imaging Science &amp; Photographic Technology</t>
  </si>
  <si>
    <t>953MN</t>
  </si>
  <si>
    <t>WOS:000304872500001</t>
  </si>
  <si>
    <t>Osawa, T</t>
  </si>
  <si>
    <t>Lazar, M</t>
  </si>
  <si>
    <t>Osawa, Takahito</t>
  </si>
  <si>
    <t>Solar Wind Noble Gases in Micrometeorites</t>
  </si>
  <si>
    <t>EXPLORING THE SOLAR WIND</t>
  </si>
  <si>
    <t>INTERPLANETARY DUST PARTICLES; DEEP-SEA SEDIMENTS; ANTARCTIC MICROMETEORITES; EXTRATERRESTRIAL ORIGIN; TRANSANTARCTIC MOUNTAINS; STRATOSPHERIC PARTICLES; ENERGETIC PARTICLES; LUNAR ILMENITES; COSMIC DUST; EXCESS HE-3</t>
  </si>
  <si>
    <t>JAEA, Quantum Beam Sci Directorate, Naka, Ibaraki, Japan</t>
  </si>
  <si>
    <t>Japan Atomic Energy Agency</t>
  </si>
  <si>
    <t>Osawa, T (corresponding author), JAEA, Quantum Beam Sci Directorate, Naka, Ibaraki, Japan.</t>
  </si>
  <si>
    <t>INTECH EUROPE</t>
  </si>
  <si>
    <t>RIJEKA</t>
  </si>
  <si>
    <t>JANEZA TRDINE9, RIJEKA, 51000, CROATIA</t>
  </si>
  <si>
    <t>978-953-51-0339-4</t>
  </si>
  <si>
    <t>10.5772/2079</t>
  </si>
  <si>
    <t>Astronomy &amp; Astrophysics; Physics, Fluids &amp; Plasmas</t>
  </si>
  <si>
    <t>BC9KW</t>
  </si>
  <si>
    <t>WOS:000356532100007</t>
  </si>
  <si>
    <t>Troshichev, O</t>
  </si>
  <si>
    <t>Troshichev, Oleg</t>
  </si>
  <si>
    <t>Ground-Based Monitoring of the Solar Wind Geoefficiency</t>
  </si>
  <si>
    <t>INTERPLANETARY MAGNETIC-FIELD; ALIGNED CURRENTS; HIGH-LATITUDE; ELECTRIC-FIELDS; PARAMETERS; PLASMA; DISTURBANCES; FLUCTUATIONS; IONOSPHERE; GENERATION</t>
  </si>
  <si>
    <t>Arctic &amp; Antarctic Res Inst, St Petersburg, Russia</t>
  </si>
  <si>
    <t>Arctic &amp; Antarctic Research Institute</t>
  </si>
  <si>
    <t>Troshichev, O (corresponding author), Arctic &amp; Antarctic Res Inst, St Petersburg, Russia.</t>
  </si>
  <si>
    <t>WOS:000356532100016</t>
  </si>
  <si>
    <t>Bakermans, C</t>
  </si>
  <si>
    <t>Anitori, RP</t>
  </si>
  <si>
    <t>Bakermans, Corien</t>
  </si>
  <si>
    <t>Psychrophiles: Life in the Cold</t>
  </si>
  <si>
    <t>EXTREMOPHILES: MICROBIOLOGY AND BIOTECHNOLOGY</t>
  </si>
  <si>
    <t>SULFATE-REDUCING BACTERIA; 16S RIBOSOMAL-RNA; PSYCHROBACTER-ARCTICUS 273-4; ANTARCTIC SEA-ICE; FACTOR 2 PROTEINS; LOW-TEMPERATURE; METHANOCOCCOIDES-BURTONII; GROWTH TEMPERATURE; ESCHERICHIA-COLI; STRUCTURAL ADAPTATIONS</t>
  </si>
  <si>
    <t>Psychrophilic, or cold-loving, organisms actively live at low temperatures. Psychrophily is not an uncommon trait; cold-adapted organisms are found throughout the three domains of life and successfully inhabit a wide variety of low-temperature environments. The ongoing investigation of these environments continues to broaden our view of what is possible for life on Earth. Cold-adapted microorganisms have evolved mechanisms to deal with the thermodynamic constraints of low temperatures. To combat the stability and decreased flexibility of macromolecules, psychrophiles generally increase the disorder within macromolecules to maintain fluidity or flexibility and hence function at low temperatures. To contend with reduced water activity and the presence of ice crystals, cryoprotectants are produced. To counteract decreased reaction and diffusion rates, psychrophiles practice efficient growth. Currently, the functional low-temperature limits of psychrophiles are -12 degrees C for reproduction and -20 degrees C for metabolism. The availability of liquid water appears to be the major growth-limiting factor at subzero temperatures. Examination of molecular and physiological adaptations to low temperatures is increasing our comprehension and appreciation of the capabilities of psychrophiles and their contribution to nutrient cycling in low-temperature environments.</t>
  </si>
  <si>
    <t>Penn State Univ, Altoona Coll, Div Math &amp; Nat Sci, Altoona, PA 16601 USA</t>
  </si>
  <si>
    <t>Pennsylvania Commonwealth System of Higher Education (PCSHE); Pennsylvania State University</t>
  </si>
  <si>
    <t>Bakermans, C (corresponding author), Penn State Univ, Altoona Coll, Div Math &amp; Nat Sci, Altoona, PA 16601 USA.</t>
  </si>
  <si>
    <t>cub21@psu.edu</t>
  </si>
  <si>
    <t>CAISTER ACADEMIC PRESS</t>
  </si>
  <si>
    <t>WYMONDHAM</t>
  </si>
  <si>
    <t>32 HEWITTS LANE, WYMONDHAM NR 18 0JA, ENGLAND</t>
  </si>
  <si>
    <t>978-1-904455-98-1</t>
  </si>
  <si>
    <t>BYN37</t>
  </si>
  <si>
    <t>WOS:000299435800004</t>
  </si>
  <si>
    <t>Fox, WL</t>
  </si>
  <si>
    <t>Marsching, JD; Polli, A</t>
  </si>
  <si>
    <t>Fox, William L.</t>
  </si>
  <si>
    <t>Every New Thing: The Evolution of Artistic Technologies in the Antarctic - or How Land Arts Came to the Ice</t>
  </si>
  <si>
    <t>FAR FIELD: DIGITAL CULTURE, CLIMATE CHANGE, AND THE POLES</t>
  </si>
  <si>
    <t>[Fox, William L.] Nevada Museum Art, Ctr Art Environm, Reno, NV USA; [Fox, William L.] Royal Geog Soc, London, England; [Fox, William L.] Explorers Club, New York, NY USA</t>
  </si>
  <si>
    <t>Fox, WL (corresponding author), Getty Res Inst, Los Angeles, CA 90049 USA.</t>
  </si>
  <si>
    <t>INTELLECT LTD</t>
  </si>
  <si>
    <t>KENNETT HOUSE, SUITE 2 108/110 LONDON RD, OXFORD OX3 9AW, ENGLAND</t>
  </si>
  <si>
    <t>978-1-84150-659-3</t>
  </si>
  <si>
    <t>Cultural Studies; Environmental Studies; History &amp; Philosophy Of Science</t>
  </si>
  <si>
    <t>Book Citation Index – Social Sciences &amp; Humanities (BKCI-SSH)</t>
  </si>
  <si>
    <t>Cultural Studies; Environmental Sciences &amp; Ecology; History &amp; Philosophy of Science</t>
  </si>
  <si>
    <t>BJQ65</t>
  </si>
  <si>
    <t>WOS:000329728400002</t>
  </si>
  <si>
    <t>Faithfull, S</t>
  </si>
  <si>
    <t>Faithfull, Simon</t>
  </si>
  <si>
    <t>Antarctic Diaries (Excerpts)</t>
  </si>
  <si>
    <t>UCL, Slade Sch Fine Art, London WC1E 6BT, England</t>
  </si>
  <si>
    <t>University of London; University College London</t>
  </si>
  <si>
    <t>Faithfull, S (corresponding author), UCL, Slade Sch Fine Art, London WC1E 6BT, England.</t>
  </si>
  <si>
    <t>WOS:000329728400005</t>
  </si>
  <si>
    <t>Polli, A</t>
  </si>
  <si>
    <t>Polli, Andrea</t>
  </si>
  <si>
    <t>Ground Truth [Focus: The Antarctic Dry Valleys]</t>
  </si>
  <si>
    <t>[Polli, Andrea] Univ New Mexico, Albuquerque, NM 87131 USA; [Polli, Andrea] New York Soc Acoust Ecol, New York, NY USA</t>
  </si>
  <si>
    <t>University of New Mexico</t>
  </si>
  <si>
    <t>WOS:000329728400006</t>
  </si>
  <si>
    <t>Flores, JA; Filippelli, GM; Sierro, FJ; Latimer, J</t>
  </si>
  <si>
    <t>Flores, Jose-Abel; Filippelli, Gabriel M.; Sierro, Francisco J.; Latimer, Jennifer</t>
  </si>
  <si>
    <t>The White Ocean hypothesis: a late Pleistocene Southern Ocean governed by coccolithophores and driven by phosphorus</t>
  </si>
  <si>
    <t>FRONTIERS IN MICROBIOLOGY</t>
  </si>
  <si>
    <t>Southern Ocean; Pleistocene; coccolithophores; phosphorus; paleoecology; paleoproductivity; geo-chemistry; ocean drilling program</t>
  </si>
  <si>
    <t>BIOGENIC PARTICLE-FLUX; SUB-ANTARCTIC ZONE; LATE QUATERNARY; INDIAN-OCEAN; INTERGLACIAL STAGES; ATLANTIC SECTOR; ALBORAN SEA; CAPE BASIN; CIRCULATION; MARINE</t>
  </si>
  <si>
    <t>Paleoproductivity is a critical component in past ocean biogeochemistry, but accurate reconstructions of productivity are often hindered by limited integration of proxies. Here, we integrate geochemical (phosphorus) and micropaleontological proxies at millennial timescales, revealing that the coccolithophore record in the Subantarctic zone of the South Atlantic Ocean is driven largely by variations in marine phosphorus availability. A quantitative micropaleontological and geochemical analysis carried out in sediments retrieved from Ocean Drilling Program Site 1089 (Subantarctic Zone) reveals that most of the export productivity in this region over the last 0.5 my was due to coccolithophores. Glacial periods were generally intervals of high productivity, with productivity reaching a peak at terminations. Particularly high productivity was observed at Termination V and Termination IV, events that are characterized by high abundance of coccolithophores and maxima in the phosphorus/titanium and strontium/titanium records. We link the increase in productivity both to regional oceanographic phenomena, i.e., the northward displacement of the upwelling cell of the Antarctic divergence when the ice-sheet expanded, and to the increase in the inventory of phosphorus in the ocean due to enhanced transfer of this nutrient from continental margins during glacial lowstands in sea level. The Mid-Brunhes interval stands out from the rest of the record, being dominated by the small and highly calcified species Gephyrocapsa caribbeanica that provides most of the carbonate in these sediments. This likely represents higher availability of phosphorus in the surface ocean, especially in mesotrophic and oligotrophic zones. Under these condition, some coccolithophore species developed an r-strategy (opportunistic species; growth rate maximized) resulting in the bloom of G. caribbeanica. These seasonal blooms of may have induced white tides similar to those observed today in Emiliania huxleyi.</t>
  </si>
  <si>
    <t>[Flores, Jose-Abel; Sierro, Francisco J.] Univ Salamanca, Dept Earth Sci, E-37008 Salamanca, Spain; [Filippelli, Gabriel M.] Indiana Univ Purdue Univ, Dept Earth Sci, Indianapolis, IN 46202 USA; [Latimer, Jennifer] Indiana State Univ, Dept Eart &amp; Environm Syst, Terre Haute, IN USA</t>
  </si>
  <si>
    <t>University of Salamanca; Indiana University System; Indiana University-Purdue University Indianapolis; Indiana State University</t>
  </si>
  <si>
    <t>Filippelli, GM (corresponding author), Indiana Univ Purdue Univ, Dept Earth Sci, 723 West Michigan St, Indianapolis, IN 46202 USA.</t>
  </si>
  <si>
    <t>gfilippe@iupui.edu</t>
  </si>
  <si>
    <t>Filippelli, Gabriel/R-6009-2019; Sierro, Francisco/A-4714-2008; Flores, José-Abel/D-4218-2009</t>
  </si>
  <si>
    <t>Filippelli, Gabriel/0000-0003-3434-5982; Sierro, Francisco/0000-0002-8647-456X; Flores, José-Abel/0000-0003-1909-293X</t>
  </si>
  <si>
    <t>Programa de Movilidad MEC [CLI-1002-0O2, PR2006-0446, PASUR CGL2009-08651, MICINN PR2009-0179]; Programa Consolider-Ingenio GRACCIE; U.S. National Science Foundation (NSF); JOT, Inc. (Schlanger Ocean Drilling Fellowship to Latimer); JOI/USSSP (Filippelli); NSF [OCE-9711957, OCE-045248]; American Chemical Society through the Petroleum Research Fund; Joint Oceanographic Institutions (JOT), Inc.</t>
  </si>
  <si>
    <t>Programa de Movilidad MEC; Programa Consolider-Ingenio GRACCIE; U.S. National Science Foundation (NSF)(National Science Foundation (NSF)); JOT, Inc. (Schlanger Ocean Drilling Fellowship to Latimer); JOI/USSSP (Filippelli); NSF(National Science Foundation (NSF)); American Chemical Society through the Petroleum Research Fund(American Chemical Society); Joint Oceanographic Institutions (JOT), Inc.</t>
  </si>
  <si>
    <t>Research grants CLI-1002-0O2, PR2006-0446, PASUR CGL2009-08651 MICINN PR2009-0179 (Programa de Movilidad MEC) and Programa Consolider-Ingenio 2010 GRACCIE supported this study. This research used samples and data provided by the ODP. The ODP is sponsored by the U.S. National Science Foundation (NSF) and participating countries under management of Joint Oceanographic Institutions (JOT), Inc., Filippelli and Latimer acknowledge research support from JOT, Inc. (Schlanger Ocean Drilling Fellowship to Latimer), JOI/USSSP (Filippelli), NSF (grants OCE-9711957 and OCE-045248 to Filippelli), and the donors of the American Chemical Society through the Petroleum Research Fund.</t>
  </si>
  <si>
    <t>FRONTIERS MEDIA SA</t>
  </si>
  <si>
    <t>LAUSANNE</t>
  </si>
  <si>
    <t>AVENUE DU TRIBUNAL FEDERAL 34, LAUSANNE, CH-1015, SWITZERLAND</t>
  </si>
  <si>
    <t>1664-302X</t>
  </si>
  <si>
    <t>FRONT MICROBIOL</t>
  </si>
  <si>
    <t>Front. Microbiol.</t>
  </si>
  <si>
    <t>10.3389/fmicb.2012.00233</t>
  </si>
  <si>
    <t>Microbiology</t>
  </si>
  <si>
    <t>V31DF</t>
  </si>
  <si>
    <t>WOS:000208863600281</t>
  </si>
  <si>
    <t>Hassler, CS; Sinoir, M; Clementson, LA; Butler, ECV</t>
  </si>
  <si>
    <t>Hassler, Christel S.; Sinoir, Marie; Clementson, Lesley A.; Butler, Edward C. V.</t>
  </si>
  <si>
    <t>Exploring the link between micronutrients and phytoplankton in the Southern Ocean during the 2007 austral summer</t>
  </si>
  <si>
    <t>subantarctic zone; pigments; Zn; Co; SAZ-Sense; trace element; subantarctic; polar</t>
  </si>
  <si>
    <t>POLAR FRONTAL ZONES; SUB-ANTARCTIC ZONE; PHOSPHORUS RATIO; EVOLUTIONARY INHERITANCE; ELEMENTAL STOICHIOMETRY; SEASONAL EVOLUTION; DISSOLVED COBALT; ATLANTIC SECTOR; FLOW-INJECTION; ROSS SEA</t>
  </si>
  <si>
    <t>Bottle assays and large-scale fertilization experiments have demonstrated that, in the Southern Ocean, iron often controls the biomass and the biodiversity of primary producers. To grow, phytoplankton need numerous other trace metals (micronutrients) required for the activity of key enzymes and other intracellular functions. However, little is known of the potential these other trace elements have to limit the growth of phytoplankton in the Southern Ocean. This study, investigates whether micronutrients other than iron (Zn, Co, Cu, Cd, Ni) need to be considered as parameters for controlling the phytoplankton growth from the Australian Subantarctic to the Polar Frontal Zones during the austral summer 2007. Analysis of nutrient disappearance ratios, suggested differential zones in phytoplankton growth control in the study region with a most intense phytoplankton growth limitation between 49 and 50 S. Comparison of micronutrient disappearance ratios, metal distribution, and biomarker pigments used to identify dominating phytoplankton groups, demonstrated that a complex interaction between Fe, Zn, and Co might exist in the study region. Although iron remains the pivotal micronutrient for phytoplankton growth and community structure, Zn and Co are also important for the nutrition and the growth of most of the dominating phytoplankton groups in the Subantarctic Zone region. Understanding of the parameters controlling phytoplankton is paramount, as it affects the functioning of the Southern Ocean, its marine resources and ultimately the global carbon cycle.</t>
  </si>
  <si>
    <t>[Hassler, Christel S.] Univ Technol Sydney, Broadway, NSW 2007, Australia; [Hassler, Christel S.; Sinoir, Marie; Clementson, Lesley A.; Butler, Edward C. V.] Commonwealth Sci &amp; Ind Res Organisat, Hobart, Tas, Australia; [Sinoir, Marie] Univ Tasmania, Sandy Bay, Tas, Australia</t>
  </si>
  <si>
    <t>University of Technology Sydney; Commonwealth Scientific &amp; Industrial Research Organisation (CSIRO); University of Tasmania</t>
  </si>
  <si>
    <t>Hassler, CS (corresponding author), Univ Technol Sydney, POB 123, Broadway, NSW 2007, Australia.</t>
  </si>
  <si>
    <t>christel.hassler@uts.edu.au</t>
  </si>
  <si>
    <t>Clementson, Lesley A/M-6905-2013</t>
  </si>
  <si>
    <t>Hassler, Christel/0000-0002-8976-5469; Butler, Edward/0000-0002-6660-3985; Clementson, Lesley/0000-0003-4415-993X</t>
  </si>
  <si>
    <t>Australian Government Cooperative Research Centres Programme through Antarctic Climate and Ecosystems CRC (ACE CRC); Australian Antarctic Science [AAS 2720, AAS 2602]; International Polar Year - GEOTRACES project; CSIRO; UTS Chancellor Fellowships; University of Tasmania</t>
  </si>
  <si>
    <t>Australian Government Cooperative Research Centres Programme through Antarctic Climate and Ecosystems CRC (ACE CRC)(Australian GovernmentDepartment of Industry, Innovation and ScienceCooperative Research Centres (CRC) Programme); Australian Antarctic Science; International Polar Year - GEOTRACES project; CSIRO(Commonwealth Scientific &amp; Industrial Research Organisation (CSIRO)); UTS Chancellor Fellowships; University of Tasmania</t>
  </si>
  <si>
    <t>This research was supported by the Australian Government Cooperative Research Centres Programme through the Antarctic Climate and Ecosystems CRC (ACE CRC), by Australian Antarctic Science grants AAS 2720 and AAS 2602, and it was formally part of the International Polar Year - GEOTRACES project. Hassler was supported by CSIRO and UTS Chancellor Fellowships, Sinoir was supported by the Quantitative Marine Science program from the University of Tasmania. We are grateful to Andrew Bowie, Brian Griffiths, and Tom Trull for giving us the opportunity to join the SAZ-Sense voyage, the captain and crew of RSV Aurora Australis, Philip Boyd, Delphine Lannuzel, Tomas Remenyi, Veronique Schoemann, Isabelle Dumont, Thibault Wagener, and Florence Masson for their assistance at sea, Jeanette O'Sullivan and Roslyn Watson for their carrying out the FI-SPE-ICP-MS analysis, Mark Rosenberg, Neale Johnston, Alicia Navidad, and Suellen Cook for the determination of macronutrients and other hydrological parameters at sea and calibration of the CTD sensors, Simon Wright for the total Chla dataset associated with CTD operations, and Diana Davies for the maintenance of the SAZ-Sense website (www.cmar.csiro.au/datacentre/saz-sense).</t>
  </si>
  <si>
    <t>10.3389/fmicb.2012.00202</t>
  </si>
  <si>
    <t>Green Accepted, Green Published, gold</t>
  </si>
  <si>
    <t>WOS:000208863600252</t>
  </si>
  <si>
    <t>Pearce, DA; Newsham, KK; Thorne, MAS; Calvo-Bado, L; Krsek, M; Laskaris, P; Hodson, A; Wellington, EM</t>
  </si>
  <si>
    <t>Pearce, David A.; Newsham, Kevin K.; Thorne, Michael A. S.; Calvo-Bado, Leo; Krsek, Martin; Laskaris, Paris; Hodson, Andy; Wellington, Elizabeth M.</t>
  </si>
  <si>
    <t>Metagenomic analysis of a southern maritime Antarctic</t>
  </si>
  <si>
    <t>Antarctica; bacteria; metagenomics; polar; soil; 454 pyrosequencing</t>
  </si>
  <si>
    <t>MICROBIAL COMMUNITY COMPOSITION; ROSS SEA REGION; BACTERIAL DIVERSITY; DNA EXTRACTION; SOIL; QUANTIFICATION; BIAS; PATTERNS; SEQUENCE; DATABASE</t>
  </si>
  <si>
    <t>Our current understanding of Antarctic soils is derived from direct culture on selective media, biodiversity studies based on clone library construction and analysis, quantitative PCR amplification of specific gene sequences and the application of generic microarrays for microbial community analysis. Here, we investigated the biodiversity and functional potential of a soil community at Mars Oasis on Alexander Island in the southern Maritime Antarctic, by applying 454 pyrosequencing technology to a metagenomic library constructed from soil genomic DNA. The results suggest that the commonly cited range of phylotypes used in clone library construction and analysis of 78-730 OTUs (de-replicated to 30-140) provides low coverage of the major groups present (-5%). The vast majority of functional genes (&gt;77%) were for structure, carbohydrate metabolism, and DNA/RNA processing and modification. This study suggests that prokaryotic diversity in Antarctic terrestrial environments appears to be limited at the generic level, with Proteobacteria, Actinobacteria being common. Cyanobacteria were surprisingly under-represented at 3.4% of sequences, although 1% of the genes identified were involved in CO2 fixation. At the sequence level there appeared to be much greater heterogeneity, and this might be due to high divergence within the relatively restricted lineages which have successfully colonized Antarctic terrestrial environments.</t>
  </si>
  <si>
    <t>[Pearce, David A.; Newsham, Kevin K.; Thorne, Michael A. S.] British Antarctic Survey, Nat Environm Res Council, Ecosyst Programme, Cambridge CB3 0ET, England; [Calvo-Bado, Leo; Krsek, Martin; Laskaris, Paris; Wellington, Elizabeth M.] Univ Warwick, Sch Life Sci, Coventry CV4 7AL, W Midlands, England; [Hodson, Andy] Univ Sheffield, Dept Geog, Sheffield, S Yorkshire, England</t>
  </si>
  <si>
    <t>UK Research &amp; Innovation (UKRI); Natural Environment Research Council (NERC); NERC British Antarctic Survey; University of Warwick; University of Sheffield</t>
  </si>
  <si>
    <t>Pearce, DA (corresponding author), British Antarctic Survey, Nat Environm Res Council, Ecosyst Programme, Madingley Rd, Cambridge CB3 0ET, England.</t>
  </si>
  <si>
    <t>Hodson, Andrew/0000-0002-1255-7987; Pearce, David/0000-0001-5292-4596; Wellington, ELizabeth/0000-0002-4329-0699; Laskaris, Paris/0000-0003-0237-1115; Thorne, Michael/0000-0001-7759-612X</t>
  </si>
  <si>
    <t>Natural Environment Research Council through the British Antarctic Survey's Long Term Monitoring and Survey programme; Natural Environment Research Council [bas0100025] Funding Source: researchfish; NERC [bas0100025] Funding Source: UKRI</t>
  </si>
  <si>
    <t>Natural Environment Research Council through the British Antarctic Survey's Long Term Monitoring and Survey programme(UK Research &amp; Innovation (UKRI)Natural Environment Research Council (NERC)); Natural Environment Research Council(UK Research &amp; Innovation (UKRI)Natural Environment Research Council (NERC)); NERC(UK Research &amp; Innovation (UKRI)Natural Environment Research Council (NERC))</t>
  </si>
  <si>
    <t>Funding was provided by the Natural Environment Research Council through the British Antarctic Survey's Long Term Monitoring and Survey programme Mark Laidlaw provided field assistance and the BAS Operations and Logistics group arranged transport to and from Mars Oasis. We would also like to thank the reviewers for helpful comments which improved the manuscript.</t>
  </si>
  <si>
    <t>10.3389/fmicb.2012.00403</t>
  </si>
  <si>
    <t>Green Published, Green Accepted, gold</t>
  </si>
  <si>
    <t>WOS:000208863600404</t>
  </si>
  <si>
    <t>Sunda, WG</t>
  </si>
  <si>
    <t>Sunda, William G.</t>
  </si>
  <si>
    <t>Feedback interactions between trace metal nutrients and phytoplankton in the ocean</t>
  </si>
  <si>
    <t>Phytoplankton; trace metal nutrients; iron; zinc; cobalt; manganese; cadmium; trace metal chemistry</t>
  </si>
  <si>
    <t>NATURAL ORGANIC-LIGANDS; IRON-BINDING LIGANDS; SUB-ANTARCTIC WATERS; MARINE-PHYTOPLANKTON; SOUTHERN-OCEAN; SURFACE WATERS; CARBONIC-ANHYDRASE; COMPLEXING LIGANDS; PHYTOCHELATIN PRODUCTION; CELLULAR MANGANESE</t>
  </si>
  <si>
    <t>In addition to control by major nutrient elements (nitrogen, phosphorus, and silicon) the productivity and species composition of marine phytoplankton communities are also regulated by a number of trace metal nutrients (iron, zinc, cobalt, manganese, copper, and cadmium). Of these, iron is most limiting to phytoplankton growth and has the greatest effect on algal species diversity. It also plays an important role in limiting di-nitrogen (N-2) fixation rates, and thus is important in controlling ocean inventories of fixed nitrogen. Because of these effects, iron is thought to play a key role in regulating biological cycles of carbon and nitrogen in the ocean, including the biological transfer of carbon to the deep sea, the so-called biological CO2 pump, which helps regulate atmospheric CO2 and CO2-linked global warming. Other trace metal nutrients (zinc, cobalt, copper, and manganese) have lesser effects on productivity; but may exert an important influence on the species composition of algal communities because of large differences in metal requirements among species. The interactions between trace metals and ocean plankton are reciprocal: not only do the metals control the plankton, but the plankton regulate the distributions, chemical speciation, and cycling of these metals through cellular uptake and recycling processes, downward flux of biogenic particles, biological release of organic chelators, and mediation of redox reactions. This two way interaction has influenced not only the biology and chemistry of the modern ocean, but has had a profound influence on biogeochemistry of the ocean and earth system as a whole, and on the evolution of marine and terrestrial biology over geologic history.</t>
  </si>
  <si>
    <t>NOAA, Natl Ocean Serv, Beaufort, NC 28512 USA</t>
  </si>
  <si>
    <t>National Oceanic Atmospheric Admin (NOAA) - USA; National Ocean Service, NOAA</t>
  </si>
  <si>
    <t>Sunda, WG (corresponding author), NOAA, Natl Ocean Serv, 101 Pivers Isl Rd, Beaufort, NC 28512 USA.</t>
  </si>
  <si>
    <t>bill.sunda@noaa.gov</t>
  </si>
  <si>
    <t>10.3389/fmicb.2012.00204</t>
  </si>
  <si>
    <t>WOS:000208863600254</t>
  </si>
  <si>
    <t>Zhalnina, K; de Quadros, PD; Camargo, FAO; Triplett, EW</t>
  </si>
  <si>
    <t>Zhalnina, Kateryna; de Quadros, Patricia Doerr; Camargo, Flavio A. O.; Triplett, Eric W.</t>
  </si>
  <si>
    <t>Drivers of archaeal ammonia-oxidizing communities in soil</t>
  </si>
  <si>
    <t>ammonia-oxidizing archaea; ammonia monooxygenase; soil</t>
  </si>
  <si>
    <t>AMOA GENES; MESOPHILIC CRENARCHAEOTA; MICROBIAL COMMUNITIES; QUANTITATIVE-ANALYSES; BACTERIA; NITRIFICATION; OXIDATION; ABUNDANCE; TEMPERATURE; DIVERSITY</t>
  </si>
  <si>
    <t>Soil ammonia-oxidizing archaea (AOA) are highly abundant and play an important role in the nitrogen cycle. In addition, AOA have a significant impact on soil quality. Nitrite produced by AOA and further oxidized to nitrate can cause nitrogen loss from soils, surface and groundwater contamination, and water eutrophication. The AOA discovered to date are classified in the phylum Thaumarchaeota. Only a few archaeal genomes are available in databases. As a result, AOA genes are not well annotated, and it is difficult to mine and identify archaeal genes within metagenomic libraries. Nevertheless, 16S rRNA and comparative analysis of ammonia monooxygenase sequences show that soils can vary greatly in the relative abundance of AOA. In some soils, AOA can comprise more than 10% of the total prokaryotic community. In other soils, AOA comprise less than 0.5% of the community. Many approaches have been used to measure the abundance and diversity of this group including DGGE, T-RFLP q-PCR, and DNA sequencing. AOA have been studied across different soil types and various ecosystems from the Antarctic dry valleys to the tropical forests of South America to the soils near Mount Everest. Different studies have identified multiple soil factors that trigger the abundance of AOA. These factors include pH, concentration of available ammonia, organic matter content, moisture content, nitrogen content, clay content, as well as other triggers. Land use management appears to have a major effect on the abundance of AOA in soil, which may be the result of nitrogen fertilizer used in agricultural soils. This review summarizes the published results on this topic and suggests future work that will increase our understanding of how soil management and edaphoclimatic factors influence AOA.</t>
  </si>
  <si>
    <t>[Zhalnina, Kateryna; Triplett, Eric W.] Univ Florida, Inst Food &amp; Agr Sci, Dept Microbiol &amp; Cell Sci, Gainesville, FL 32611 USA; [de Quadros, Patricia Doerr; Camargo, Flavio A. O.] Univ Fed Rio Grande do Sul, Dept Soil Sci, Porto Alegre, RS, Brazil</t>
  </si>
  <si>
    <t>State University System of Florida; University of Florida; Universidade Federal do Rio Grande do Sul</t>
  </si>
  <si>
    <t>Triplett, EW (corresponding author), Univ Florida, Inst Food &amp; Agr Sci, Dept Microbiol &amp; Cell Sci, 1052 Museum Rd, Gainesville, FL 32611 USA.</t>
  </si>
  <si>
    <t>ewt@ufl.edu</t>
  </si>
  <si>
    <t>Camargo, Flavio A O/J-6914-2013; de Quadros, Patricia Dorr/X-4347-2019</t>
  </si>
  <si>
    <t>de Quadros, Patricia Dorr/0000-0002-7742-5723; camargo, flavio/0000-0003-1080-0549; Zhalnina, Kateryna/0000-0002-1893-1888</t>
  </si>
  <si>
    <t>University of Florida Open-Access Publishing Fund</t>
  </si>
  <si>
    <t>Publication of this article was funded in part by the University of Florida Open-Access Publishing Fund.</t>
  </si>
  <si>
    <t>10.3389/fmicb.2012.00210</t>
  </si>
  <si>
    <t>WOS:000208863600260</t>
  </si>
  <si>
    <t>Chanthy, P; Martin, RJ; Gunning, RV; Andrew, NR</t>
  </si>
  <si>
    <t>Chanthy, Pol; Martin, Robert J.; Gunning, Robin V.; Andrew, Nigel R.</t>
  </si>
  <si>
    <t>The effects of thermal acclimation on lethal temperatures and critical thermal limits in the green vegetable bug, Nezara viridula (L.) (Henniptera: Pentatonnidae)</t>
  </si>
  <si>
    <t>FRONTIERS IN PHYSIOLOGY</t>
  </si>
  <si>
    <t>Nezara viridula; thermal tolerance; lethal temperature; critical thermal limits; acclimation temperature</t>
  </si>
  <si>
    <t>SUB-ANTARCTIC CATERPILLAR; COLD SHOCK INJURY; DROSOPHILA-MELANOGASTER; HEAT-RESISTANCE; PHYSIOLOGICAL VARIATION; DESICCATION RESISTANCE; DIAPAUSE INDUCTION; METABOLIC-RATE; TOLERANCE; LEPIDOPTERA</t>
  </si>
  <si>
    <t>According to geographical distribution, Nezara viridula (Heteroptera: Pentatomidae) can be found across tropical, subtropical, and temperate regions and this pattern is assumed to reflect differences in thermal adaptation, particularly in cold tolerance. Here the lethal temperature (LT) and critical thermal limits (CTL) (thermal tolerance) are examined for N. viridula. The upper LT for N. virldula at two contrasting climate locations (Breeza and Grafton, New South Wales, Australia) was 40.3 degrees C with 20% survival under the stress of high temperature. The lower LT did not differ between these two populations and was -8.0 degrees C with 20% survival under low temperature stress. Survival of N. viridula increased after acclimation at high temperature for 7 days. In contrast, when acclimated at lower temperatures (10 and 15 degrees C), survival of Breeza and Grafton N. viridula was lower than 20% at 8.0 degrees C. Control-reared N. viridula adults (25 C) had a mean CTminOnset (cold stupor) of 1.3 +/- 2.1 degrees C and a mean CTMax (heat coma) of 45.9 +/- 0.9 degrees C. After 7 days of acclimation at 10, 20, 30, or 35 degrees C, N. viridula adults exhibited a 1 degrees C change in CTMax and a similar to 1.5 degrees C change in CTMinonset. CTMax and CTMinOnset of Breeza and Grafton N. viridula populations did not differ across acclimation temperatures. These results suggest that short-term temperature acclimation is more important than provenance for determining LTs and CTL in N. viridula.</t>
  </si>
  <si>
    <t>[Chanthy, Pol; Andrew, Nigel R.] Univ New England, Fac Arts &amp; Sci, Ctr Behav &amp; Physiol Ecol, Dept Zool,Sch Environm &amp; Rural Sci, Armidale, NSW 2351, Australia; [Chanthy, Pol] Cambodian Agr Res &amp; Dev Inst, Phnom Penh, Cambodia; [Martin, Robert J.] Agr Syst Res Cambodia Co Ltd, Battambang, Cambodia; [Martin, Robert J.] Maddox Jolie Pitt Fdn, Battambang, Cambodia; [Gunning, Robin V.] Tamworth Agr Inst, NSW Dept Primary Ind, Calala, NSW, Australia</t>
  </si>
  <si>
    <t>University of New England; NSW Department of Primary Industries</t>
  </si>
  <si>
    <t>Andrew, NR (corresponding author), Univ New England, Fac Arts &amp; Sci, Ctr Behav &amp; Physiol Ecol, Dept Zool,Sch Environm &amp; Rural Sci, Armidale, NSW 2351, Australia.</t>
  </si>
  <si>
    <t>nandrew@une.edu.au</t>
  </si>
  <si>
    <t>Andrew, Nigel/B-7162-2008</t>
  </si>
  <si>
    <t>Andrew, Nigel/0000-0002-2850-2307</t>
  </si>
  <si>
    <t>Pol Chanthy by Australian Centre for international Agricultural Research (ACIAR); John Allwright Fellowship (JAF) Award through Australian Agency for International Development (AusAID); UNE</t>
  </si>
  <si>
    <t>Financial support was given to Pol Chanthy by Australian Centre for international Agricultural Research (ACIAR) who provided John Allwright Fellowship (JAF) Award through Australian Agency for International Development (AusAID), and UNE.</t>
  </si>
  <si>
    <t>1664-042X</t>
  </si>
  <si>
    <t>FRONT PHYSIOL</t>
  </si>
  <si>
    <t>Front. Physiol.</t>
  </si>
  <si>
    <t>10.3389/fphys.2012.00465</t>
  </si>
  <si>
    <t>Physiology</t>
  </si>
  <si>
    <t>V35UH</t>
  </si>
  <si>
    <t>gold, Green Published</t>
  </si>
  <si>
    <t>WOS:000209173000455</t>
  </si>
  <si>
    <t>Trumble, SJ; Kanatous, SB</t>
  </si>
  <si>
    <t>Trumble, Stephen J.; Kanatous, Shane B.</t>
  </si>
  <si>
    <t>Fatty acid use in diving mammals: more than merely fuel</t>
  </si>
  <si>
    <t>fatty acids; diving mammals; PUFA; ontogeny; lipids</t>
  </si>
  <si>
    <t>Diving mammals, are under extreme pressure to conserve oxygen as well as produce adequate energy through aerobic pathways during breath-hold diving. Typically a major source of energy, lipids participate in structural and regulatory roles and have an important influence on the physiological functions of an organism. At the stoichiometric level, the metabolism of polyunsaturated fatty acids (PUFAs) utilizes less oxygen than metabolizing either monounsaturated fatty acids or saturated fatty acids (SFAs) and yields fewer ATP per same length fatty acid. However, there is evidence that indicates the cellular metabolic rate is directly correlated to the lipid composition of the membranes such that the greater the PUFA concentration in the membranes the greater the metabolic rate. These findings appear to be incompatible with diving mammals that ingest and metabolize high levels of unsaturated fatty acids while relying on stored oxygen. Growing evidence from birds to mammals including recent evidence in Weddell seals also indicates that at the whole animal level the utilization of PUFAs to fuel their metabolism actually conserves oxygen. In this paper, we make an initial attempt to ascertain the beneficial adaptations or limitations of lipids constituents and potential trade-offs in diving mammals. We discuss how changes in Antarctic climate are predicted to have numerous different environmental effects; such potential shifts in the availability of certain prey species or even changes in the lipid composition (increased SFA) of numerous fish species with increasing water temperatures and how this may impact the diving ability of Weddell seals.</t>
  </si>
  <si>
    <t>[Trumble, Stephen J.] Baylor Univ, Dept Biol, Waco, TX 76798 USA; [Kanatous, Shane B.] Colorado State Univ, Dept Biol, Ft Collins, CO 80523 USA</t>
  </si>
  <si>
    <t>Baylor University; Colorado State University</t>
  </si>
  <si>
    <t>Trumble, SJ (corresponding author), Baylor Univ, Dept Biol, One Bear Pl 97388, Waco, TX 76798 USA.</t>
  </si>
  <si>
    <t>stephen_trumble@baylor.edu</t>
  </si>
  <si>
    <t>Trumble, Stephen/0000-0001-6319-9633</t>
  </si>
  <si>
    <t>NSF [OPP-0125475, OPP-0440713]; MMPA [10751788-00]; personnel at Raytheon Polar services</t>
  </si>
  <si>
    <t>NSF(National Science Foundation (NSF)); MMPA; personnel at Raytheon Polar services</t>
  </si>
  <si>
    <t>The authors would like to thanks A. Fahlman for the invitation to publish in the Scholan der Legacy. This work was supported by NSF Office of Polar Programs grants (OPP-0125475 and OPP-0440713) awarded to Shane B. Kanatous. All samples were collected under MMPA #10751788-00. We wish to thank all the personnel at Raytheon Polar services for their outstanding support as well as several colleagues for their field and lab assistance; T. Hawke, S. Noren, R. Watson, and J. Davis.</t>
  </si>
  <si>
    <t>FRONTIERS RESEARCH FOUNDATION</t>
  </si>
  <si>
    <t>PO BOX 110, LAUSANNE, 1015, SWITZERLAND</t>
  </si>
  <si>
    <t>UNSP 184</t>
  </si>
  <si>
    <t>10.3389/fphys.2012.00184</t>
  </si>
  <si>
    <t>WOS:000209173000181</t>
  </si>
  <si>
    <t>Molina-Montenegro, MA; Torres-Díaz, C; Carrasco-Urra, F; González-Silvestre, LA; Gianoli, E</t>
  </si>
  <si>
    <t>Molina-Montenegro, Marco A.; Torres-Diaz, Cristian; Carrasco-Urra, Fernando; Gonzalez-Silvestre, Leticia A.; Gianoli, Ernesto</t>
  </si>
  <si>
    <t>Phenotypic plasticity in two antarctic populations of Colobanthus quitensis (Caryophyllaceae) under a simulated global change scenario</t>
  </si>
  <si>
    <t>GAYANA BOTANICA</t>
  </si>
  <si>
    <t>Spanish</t>
  </si>
  <si>
    <t>Antarctic; water stress; reproductive effort; Fv / Fm; Shetland Islands</t>
  </si>
  <si>
    <t>VASCULAR PLANTS; CLIMATE-CHANGE; WATER-CONTENT; EVOLUTION; HISTORY; STRESS; LIFE; DIFFERENTIATION; MORPHOLOGY; VEGETATION</t>
  </si>
  <si>
    <t>Antarctica is characterized by extreme environmental conditions, which limit the establishment of vascular plants. These environmental conditions include low temperatures, short growing season and shortage of water and nutrients. Low water availability has been suggested as the main constraint to successful establishment, because it adversely affects the reproductive and physiological responses of plants. Colobanthus quitensis (Kunth) Bartl. (Caryophyllaceae) is one of the two native vascular plants that inhabit the Maritime Antarctic and its physiological performance and recruitment have been shown to be negatively affected by soil water stress in the Antarctica. Phenotypic plasticity and local adaptation would be two of the main strategies of C. quitensis to cope with adverse environmental conditions prevailing in the Antarctic continent. It has been suggested that, under a future climate change scenario, water availability will increase by 30-40%, improving the conditions for plant establishment. In this study we evaluated in a common garden experiment, conducted in growth chambers, the morpho-physiological plasticity and reproductive effort in C. quitensis individuals from two sites located in the Shetland Islands, under a simulated scenario of climate change (40% increase in water availability) and under the current situation (water availability recorded in the sites of origin). Overall, individuals of C. quitensis of both sites showed a plastic response, increasing the photochemical efficiency, leaf width and length and reproductive effort under increased water availability. Plasticity was greater in those individuals from the more arid site as compared to con-specifics from a mesic site. If current climate change patterns are maintained, abiotic conditions could become more favorable for C. quitensis, improving ecophysiological performance and allowing the spread of its range in the Antarctic.</t>
  </si>
  <si>
    <t>[Molina-Montenegro, Marco A.] Univ Catolica Norte, Fac Ciencias Mar, CEAZA, Larrondo 1281, Coquimbo, Chile; [Torres-Diaz, Cristian] Univ Bio Bio, Fac Ciencias, Dept Ciencias Basicas, LGB, Concepcion, Chile; [Carrasco-Urra, Fernando; Gianoli, Ernesto] Univ Concepcion, Fac Ciencias Nat &amp; Oceanog, Dept Bot, Concepcion, Chile; [Gonzalez-Silvestre, Leticia A.] CEAZA, La Serena, Chile; [Gianoli, Ernesto] Univ La Serena, Dept Biol, La Serena, Chile; [Gianoli, Ernesto] Pontificia Univ Catolica Chile, CASEB, Santiago, Chile</t>
  </si>
  <si>
    <t>Universidad Catolica del Norte; Universidad del Bio-Bio; Universidad de Concepcion; Universidad de La Serena; Pontificia Universidad Catolica de Chile</t>
  </si>
  <si>
    <t>Molina-Montenegro, MA (corresponding author), Univ Catolica Norte, Fac Ciencias Mar, CEAZA, Larrondo 1281, Coquimbo, Chile.</t>
  </si>
  <si>
    <t>marco.molina@ceaza.cl</t>
  </si>
  <si>
    <t>Gianoli, Ernesto/A-7984-2015</t>
  </si>
  <si>
    <t>Gianoli, Ernesto/0000-0003-4246-8640; Torres Diaz, Cristian/0000-0002-5741-5288; Molina-Montenegro, Marco/0000-0001-6801-8942</t>
  </si>
  <si>
    <t>EDICIONES UNIV, CONCEPCION</t>
  </si>
  <si>
    <t>CONCEPCION</t>
  </si>
  <si>
    <t>COMITE DE PUBLICACION, CASILLA 2407, CONCEPCION, 00000, CHILE</t>
  </si>
  <si>
    <t>0717-6643</t>
  </si>
  <si>
    <t>GAYANA BOT</t>
  </si>
  <si>
    <t>Gayana Bot.</t>
  </si>
  <si>
    <t>10.4067/S0717-66432012000100015</t>
  </si>
  <si>
    <t>Plant Sciences</t>
  </si>
  <si>
    <t>975SX</t>
  </si>
  <si>
    <t>WOS:000306532900015</t>
  </si>
  <si>
    <t>Crossin, GT; Dawson, A; Phillips, RA; Trathan, PN; Gorman, KB; Adlard, S; Williams, TD</t>
  </si>
  <si>
    <t>Crossin, Glenn T.; Dawson, Alistair; Phillips, Richard A.; Trathan, Phil N.; Gorman, Kristen B.; Adlard, Stacey; Williams, Tony D.</t>
  </si>
  <si>
    <t>Seasonal patterns of prolactin and corticosterone secretion in an Antarctic seabird that moults during reproduction</t>
  </si>
  <si>
    <t>GENERAL AND COMPARATIVE ENDOCRINOLOGY</t>
  </si>
  <si>
    <t>Prolactin; Corticosterone; Physiological conflict; Incubation; Chick rearing; Giant petrel; Macronectes; Life-history; Foraging behaviour; Parental care</t>
  </si>
  <si>
    <t>GIANT PETRELS MACRONECTES; ADRENOCORTICAL-RESPONSE; POSTNUPTIAL MOLT; CLUTCH SIZE; BIRDS; BEHAVIOR; STRESS; PLASMA; PHOTOREFRACTORINESS; ALLOSTASIS</t>
  </si>
  <si>
    <t>In avian species that have evolved life-history strategies wherein molt and breeding overlap, there are potential conflicts between the regulatory roles of baseline prolactin and corticosterone in parental care (positive) and moult (negative). We describe seasonal patterns of hormonal secretion, moult, and parental behaviour in sibling species of giant petrels (Macronectes spp.) which begin moult during the incubation/early chick-rearing stage of reproduction. With the exception of male Southern giant petrels (Macronectes giganteus), prolactin secretion and moult in Northern (Macronectes halli) and female Southern giant petrels conformed to those observed in all other avian species, with the initiation of moult coincident with decreases from peak prolactin levels. However, male Southern giant petrels began moulting early in incubation when prolactin was increasing and had not yet peaked, which suggests a requirement of prolactin for incubation behaviour and a dissociation of prolactin from moult. Corticosterone showed little seasonal variation and no relationship with moult. When comparing prolactin, corticosterone, and moult in failed vs. active breeders, we found that failed breeding enabled a more rapid down-regulation of prolactin, thus facilitating a more rapid moult. We present specific examples of the behavioural ecology of giant petrels which we conclude help mediate any potential hormonal conflicts between parental care and moult. Crown Copyright (C) 2011 Published by Elsevier Inc. All rights reserved.</t>
  </si>
  <si>
    <t>[Crossin, Glenn T.; Gorman, Kristen B.; Williams, Tony D.] Simon Fraser Univ, Dept Biol Sci, Burnaby, BC V5A 1S6, Canada; [Crossin, Glenn T.; Dawson, Alistair] Ctr Ecol &amp; Hydrol, Nat Environm Res Council, Penicuik EH26 0QB, Midlothian, Scotland; [Phillips, Richard A.; Trathan, Phil N.; Adlard, Stacey] British Antarctic Survey, NERC, Cambridge CB3 0ET, England</t>
  </si>
  <si>
    <t>Simon Fraser University; UK Centre for Ecology &amp; Hydrology (UKCEH); UK Research &amp; Innovation (UKRI); Natural Environment Research Council (NERC); NERC British Antarctic Survey</t>
  </si>
  <si>
    <t>Crossin, GT (corresponding author), Simon Fraser Univ, Dept Biol Sci, Burnaby, BC V5A 1S6, Canada.</t>
  </si>
  <si>
    <t>crossin@interchange.ubc.ca</t>
  </si>
  <si>
    <t>Dawson, Alistair/B-4221-2012</t>
  </si>
  <si>
    <t>Dawson, Alistair/0000-0001-6492-872X; Gorman, Kristen B./0000-0002-0258-9264; Crossin, Glenn/0000-0003-1080-1189</t>
  </si>
  <si>
    <t>British Antarctic Survey through an Antarctic Funding Initiative; National Science and Engineering Research Council of Canada (NSERC); NSERC; NSERC E-BIRD; NERC [bas0100025] Funding Source: UKRI; Natural Environment Research Council [bas0100025, CEH010021] Funding Source: researchfish; Directorate For Geosciences; Office of Polar Programs (OPP) [0823101] Funding Source: National Science Foundation</t>
  </si>
  <si>
    <t>British Antarctic Survey through an Antarctic Funding Initiative; National Science and Engineering Research Council of Canada (NSERC)(Natural Sciences and Engineering Research Council of Canada (NSERC)); NSERC(Natural Sciences and Engineering Research Council of Canada (NSERC)); NSERC E-BIRD;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</si>
  <si>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Many thanks to Fabrice Le Bouard and Dickie Hall at the British Antarctic Survey for their kind assistance on Bird Island. Thanks too to Peter Sharp at the Roslin Institute for assistance with the prolactin assay. Oliver Love, Eunice Chin, Katrina Salvante, and members of the Soma Lab at the University of British Columbia provided helpful advice concerning corticosterone radio-immunoassay. Financial support for this work was provided by the British Antarctic Survey through an Antarctic Funding Initiative Collaborative Gearing Scheme awarded to AD, PNT, and RAP. Additional support was provided through a National Science and Engineering Research Council of Canada (NSERC) Post-doctoral Fellowship and NSERC E-BIRD funding to GTC, and through an NSERC Discovery Grant to TDW.</t>
  </si>
  <si>
    <t>ACADEMIC PRESS INC ELSEVIER SCIENCE</t>
  </si>
  <si>
    <t>525 B ST, STE 1900, SAN DIEGO, CA 92101-4495 USA</t>
  </si>
  <si>
    <t>0016-6480</t>
  </si>
  <si>
    <t>1095-6840</t>
  </si>
  <si>
    <t>GEN COMP ENDOCR</t>
  </si>
  <si>
    <t>Gen. Comp. Endocrinol.</t>
  </si>
  <si>
    <t>10.1016/j.ygcen.2011.10.003</t>
  </si>
  <si>
    <t>Endocrinology &amp; Metabolism; Zoology</t>
  </si>
  <si>
    <t>875WL</t>
  </si>
  <si>
    <t>WOS:000299065800010</t>
  </si>
  <si>
    <t>Chu, YH; Li, JC</t>
  </si>
  <si>
    <t>Chu Yonghai; Li Jiancheng</t>
  </si>
  <si>
    <t>Ice-sheet surface elevation change from crossover of ENVISAT data</t>
  </si>
  <si>
    <t>GEO-SPATIAL INFORMATION SCIENCE</t>
  </si>
  <si>
    <t>satellite altimetry; ice sheet; time series</t>
  </si>
  <si>
    <t>Understanding the current state of the polar ice sheets is critical for determining their contribution to sea-level rise and predicting their response to climate change. Surface elevation time series especially can be used to study ice-sheet dynamics and the mass or volume balance of the ice sheets, which are relevant to global climate change and sea-level rise. During the last two decades, satellite radar altimetry or airborne laser altimetry could obtain accuracy by an order of magnitude greater than the traditional airborne barometric altimetry, which has a precision of typically several tens of meters at best and only a limited coverage. The widest coverage comes from satellites, especially from the ERS1/2 and ENVISAT, which extends to 81.5 degrees of latitude, covering almost all of Greenland and most of Antarctica. In this paper, an algorithm for time series analysis based on crossover was used to obtain 4-year (September 2002-March 2007) ice-sheet elevation changes from ENVISAT data. The height of the whole Antarctic ice sheet has a decline of about 0.4 +/- 0.43 cm from September 2002 to March 2007. The time series data present clearly a seasonal and annual signal feature; that the ice sheet thickens in March. From the time series data, the seasonal and annual signal can be observed clearly.</t>
  </si>
  <si>
    <t>[Chu Yonghai; Li Jiancheng] Wuhan Univ, Sch Geodesy &amp; Geomat, 129 Luoyu Rd, Wuhan 430079, Hubei, Peoples R China; [Chu Yonghai; Li Jiancheng] Minist Educ, Key Lab Geospace Environm &amp; Geodesy, Wuhan 430079, Hubei, Peoples R China; [Chu Yonghai; Li Jiancheng] State Bur Surveying &amp; Mapping, Geophys Geodesy Lab, Wuhan 430079, Hubei, Peoples R China</t>
  </si>
  <si>
    <t>Chu, YH (corresponding author), Wuhan Univ, Sch Geodesy &amp; Geomat, 129 Luoyu Rd, Wuhan 430079, Hubei, Peoples R China.</t>
  </si>
  <si>
    <t>yhchu@sgg.whu.edu.cn</t>
  </si>
  <si>
    <t>Natural Science Foundation of China [40804003]; National 863 Program of China [2009AA121402]</t>
  </si>
  <si>
    <t>Natural Science Foundation of China(National Natural Science Foundation of China (NSFC)); National 863 Program of China(National High Technology Research and Development Program of China)</t>
  </si>
  <si>
    <t>Supported by the Natural Science Foundation of China (No. 40804003); the National 863 Program of China (No. 2009AA121402).</t>
  </si>
  <si>
    <t>1009-5020</t>
  </si>
  <si>
    <t>1993-5153</t>
  </si>
  <si>
    <t>GEO-SPAT INF SCI</t>
  </si>
  <si>
    <t>Geo-Spat. Inf. Sci.</t>
  </si>
  <si>
    <t>10.1080/10095020.2012.708160</t>
  </si>
  <si>
    <t>Remote Sensing</t>
  </si>
  <si>
    <t>VA5VH</t>
  </si>
  <si>
    <t>WOS:000410116100010</t>
  </si>
  <si>
    <t>Brandon, AD; Puchtel, IS; Walker, RJ; Day, JMD; Irving, AJ; Taylor, LA</t>
  </si>
  <si>
    <t>Brandon, Alan D.; Puchtel, Igor S.; Walker, Richard J.; Day, James M. D.; Irving, Anthony J.; Taylor, Lawrence A.</t>
  </si>
  <si>
    <t>Evolution of the martian mantle inferred from the 187Re-187Os isotope and highly siderophile element abundance systematics of shergottite meteorites</t>
  </si>
  <si>
    <t>CORE FORMATION; U-PB; EARLY DIFFERENTIATION; SNC METEORITES; TRACE-ELEMENT; RB-SR; OSMIUM ISOTOPE; LATE ACCRETION; CONSTRAINTS; OS</t>
  </si>
  <si>
    <t>Shergottite meteorites are a suite of mafic to ultramafic igneous rocks whose parental magmas probably derived from the martian mantle. In this study, a suite of 23 shergottites, spanning their known range in bulk compositions, Rb-Sr, Sm-Nd, and Lu-Hf isotopes, were measured for Re-187-Os-187 isotopic systematics and highly siderophile element abundances (HSE: including Os, Ir, Ru, Pt, Pd, Re). The chief objective was to gain new insight on the chemical evolution of the martian mantle by unraveling the long-term HSE budget of its derivative melts. Possible effects upon HSEs related to crustal contamination, as well as terrestrial and/or martian surface alteration are also examined. Some of the shergottites are hot arid-desert finds. Their respective acetic acid leachates and residues show that both Re and Os display open-system behavior during sample residence at or near the martian and/or terrestrial surfaces. In some meteorites, the alteration effects can be circumvented by analysis of the leached residues. For those shergottites believed to record robust Re-Os isotopic systematics, calculated initial Os-187/Os-188 are well correlated with the initial Nd-143/Nd-144. Shergottites from mantle sources with long-term melt-depleted characteristics (initial epsilon Nd-143 of + 36 to + 40) have chondritic initial gamma Os-187 ranging from -0.5 to + 2.5. Shergottites with intermediate initial epsilon Nd-143 of + 8 to + 17 have a range in initial gamma Os-187 of -0.6 to + 2.3, which overlaps the range for depleted shergottites. Shergottites from long-term enriched sources, with initial epsilon Nd-143 of similar to-7, are characterized by suprachondritic gamma Os-187 values of + 5 to + 15. The initial gamma Os-187 variations for the shergottites do not show a correlation with indices of magmatic differentiation, such as MgO, or any systematic differences between hot arid-desert finds, Antarctic finds, or observed falls. The strong correlation between the initial epsilon Nd-143 and gamma Os-187 in shergottites from approximately + 40 and 0 to -7 and + 15, respectively, is assessed in models for mixing depleted mantle-derived melts with ancient crust (modeled to be similar to evolved shergottite in composition), and with assimilation-fractional crystallization. These models show that the correlation is unlikely to result from participation of martian crust. More likely, this correlation relates to contributions from depleted and enriched reservoirs formed in a martian magma ocean at ca. 4.5 Ga. These models indicate that the shergottite endmember sources were generated by mixing between residual melts and cumulates that formed at variable stages during solidification of a magma ocean. The expanded database for the HSE abundances in shergottites suggests that their martian mantle sources have similar HSE abundances to the terrestrial mantle, consistent with prior studies. The relatively high HSE abundances in both planetary mantles likely cannot be accounted for by high pressure-temperature metal-silicate partitioning at the bases of magma oceans, as has been suggested for Earth. If the HSE were instead supplied by late accretion, this event must have occurred prior to the crystallization of the last martian magma ocean. (C) 2011 Elsevier Ltd. All rights reserved.</t>
  </si>
  <si>
    <t>[Brandon, Alan D.] Univ Houston, Dept Earth &amp; Atmospher Sci, Houston, TX 77204 USA; [Puchtel, Igor S.; Walker, Richard J.; Day, James M. D.] Univ Maryland, Dept Geol, College Pk, MD 20742 USA; [Day, James M. D.] Univ Calif San Diego, Scripps Inst Oceanog, Geosci Res Div, La Jolla, CA 92093 USA; [Irving, Anthony J.] Univ Washington, Dept Earth &amp; Space Sci, Seattle, WA 98195 USA; [Taylor, Lawrence A.] Univ Tennessee, Dept Earth &amp; Planetary Sci, Planetary Geosci Inst, Knoxville, TN 37996 USA</t>
  </si>
  <si>
    <t>University of Houston System; University of Houston; University System of Maryland; University of Maryland College Park; University of California System; University of California San Diego; Scripps Institution of Oceanography; University of Washington; University of Washington Seattle; University of Tennessee System; University of Tennessee Knoxville</t>
  </si>
  <si>
    <t>Brandon, AD (corresponding author), Univ Houston, Dept Earth &amp; Atmospher Sci, Houston, TX 77204 USA.</t>
  </si>
  <si>
    <t>abrandon@uh.edu</t>
  </si>
  <si>
    <t>, Igor/ABA-2434-2020; Day, James/A-5099-2010; Walker, Richard/K-6869-2016</t>
  </si>
  <si>
    <t>Day, James/0000-0001-9520-3465; Walker, Richard/0000-0003-0348-2407</t>
  </si>
  <si>
    <t>NASA [NNX10AB37G, NNX10AG94G]; NASA [133561, NNX10AG94G, 124596, NNX10AB37G] Funding Source: Federal RePORTER</t>
  </si>
  <si>
    <t>NASA(National Aeronautics &amp; Space Administration (NASA)); NASA(National Aeronautics &amp; Space Administration (NASA))</t>
  </si>
  <si>
    <t>This work was supported by NASA Cosmochemistry grant NNX10AB37G to A.D.B. and NNX10AG94G to R.J.W. The NASA Antarctic Meteorite Collection and Curation group, the Department of Antarctic Meteorites, National Institute of Polar Research, Japan, the Center for Meteorite Studies, Arizona State University, the U. S. National Museum of Natural History, Smithsonian Institution, the Department of Earth and Planetary Sciences, the American Museum of Natural History, Vernadsky Institute of Moscow, the Polar Research Institute of China, the Swiss Natural History Museum, are thanked for providing samples. D. Mittlefehldt is thanked for separating A and B lithologies from EETA 79001. The GCA Associate Editor Mark Rehkamper, and three reviewers are thanked for their efforts that strongly improved this paper.</t>
  </si>
  <si>
    <t>10.1016/j.gca.2011.09.047</t>
  </si>
  <si>
    <t>WOS:000298148700014</t>
  </si>
  <si>
    <t>Marchenko, DA</t>
  </si>
  <si>
    <t>Marchenko, D. A.</t>
  </si>
  <si>
    <t>FAST FOURIER TRANSFORMATION IN THE EARTH GRAVITY FIELD ANALUCIS AT THE ANTARCTIC REGION</t>
  </si>
  <si>
    <t>GEODYNAMICS</t>
  </si>
  <si>
    <t>Russian</t>
  </si>
  <si>
    <t>quasigeoid; gravity anomalies; terrain correction; FFT; Antarctica</t>
  </si>
  <si>
    <t>Fast Fourier transformation (FFT) was considered which substantially saves time when processing large data arrays due to the summation in the spectral domain instead of the multiplication in the space ones. With using of space, aerial, terrestrial and marine gravimetric data the spatial distribution of gravity anomalies in Antarctic region territory on a uniform grid 2'x2' was constructed and a terrain correction was introduced. Using of FFT-method the regional model of quasigeoid of Antarctic continent and adjoining water areas was constructed.</t>
  </si>
  <si>
    <t>Marchenko, Dmytro/HJI-7657-2023</t>
  </si>
  <si>
    <t>Marchenko, Dmytro/0000-0002-5321-0189</t>
  </si>
  <si>
    <t>LVIV POLYTECHNIC NATL UNIV</t>
  </si>
  <si>
    <t>LVIV</t>
  </si>
  <si>
    <t>ST S BANDERA, 12, LVIV, 13, UKRAINE</t>
  </si>
  <si>
    <t>1992-142X</t>
  </si>
  <si>
    <t>2519-2663</t>
  </si>
  <si>
    <t>Geodynamics</t>
  </si>
  <si>
    <t>VF2GH</t>
  </si>
  <si>
    <t>WOS:000442273300004</t>
  </si>
  <si>
    <t>Kulcynckyy, AY</t>
  </si>
  <si>
    <t>Kulcynckyy, A. Ya.</t>
  </si>
  <si>
    <t>SURFACE AND DEEP EARTH DYNAMICS BY RESULTS OF PROCESSING OF GNSS-MEASUREMENT AND GEOLOGICAL-GEOPHYSICAL DATA (METHODOLOGICAL ASPECT)</t>
  </si>
  <si>
    <t>GNNS-measures; geodynamics; comparative GPS-tectonics method</t>
  </si>
  <si>
    <t>A method of comparative GPS-tectonics for study and modeling of surface and deep Earth dynamics by comparing of revealed on the results of GPS-measurements the recent tectonic activity with revealed on geological and geophysical data the paleotectonic reconstructions was proposed. A model of geodynamics of Antarctic lithospheric plate with linkage of deformations to Euler rotation pole was build.</t>
  </si>
  <si>
    <t>WOS:000442273300006</t>
  </si>
  <si>
    <t>Levashov, SP; Yakymchuk, NA; Korchagin, IN; Bakhmutov, VG; Solovyov, VD; Bozhezha, DM</t>
  </si>
  <si>
    <t>Levashov, S. P.; Yakymchuk, N. A.; Korchagin, I. N.; Bakhmutov, V. G.; Solovyov, V. D.; Bozhezha, D. M.</t>
  </si>
  <si>
    <t>NEW DATA ABOUT THE DEEP HETEROGENEITIES OF DRAKE PASSAGE STRUCTURES AND THE HYDROCARBON POTENTIAL OF THE ANTARCTIC PENINSULA CONTINENTAL MARGIN</t>
  </si>
  <si>
    <t>Antarctics; Drake Passage; South Shetland Trench; geoelectric methods; remote data processing; hydrocarbon deposit</t>
  </si>
  <si>
    <t>The results of investigations obtained during the seasonal geophysical works of the 17th Ukrainian Antarctic Expedition (March 2012) are given. The marine geoelectric researches by methods of forming a short-pulsed electromagnetic field (FSPEF) and vertical electric-resonance sounding (VERS) had been conducted in this region. In the vicinity of the Ukrainian Antarctic station (UAS) Academician Vernadsky, in the Drake Passage and Bransfield, as well as in the western Scotia Sea made more than 85 deep-sounding VERS (to a depth of 24300 m). The total length of tacks taken by the VERS was 2424 km. According to the results of geoelectric studies four deep profile sections and a schematic map of Moho boundary were created. The deep geoelectric boundaries and large mantle heterogeneities distribution in different segments of the Drake Passage can be interpreted as large-scale processes of formation and deep transformation of the continental crust fragments under the influence of sufficiently large diapirs of partially molten upper mantle rocks. Four hydrocarbon deposit type anomalies were detected on Antarctic margin in the region of UAS Academician Vernadsky due the special technology of satellite data processing and interpretation using. Some anomalous parameters of polarized layers were chosen by VERS sounding within these anomalies. The total area of these anomalies previously identified from satellite data is about 900 km(2). These data confirm the assumption about the possible existence of the new oil and gas area in this part of the Antarctic continental margin.</t>
  </si>
  <si>
    <t>[Levashov, S. P.; Yakymchuk, N. A.] Inst Appl Problems Ecol Geophys &amp; Geochem, Kiev, Ukraine; [Korchagin, I. N.; Bozhezha, D. M.] NAS Ukraine, Ctr Management &amp; Mkt Field Earth Sci IGN, Kiev, Ukraine; [Bakhmutov, V. G.; Solovyov, V. D.] Natl Acad Sci Ukraine, Inst Geophys, Kiev, Ukraine</t>
  </si>
  <si>
    <t>National Academy of Sciences Ukraine; Institute of Telecommunications &amp; Global Information Space; National Academy of Sciences Ukraine; Subbotin Institute of Geophysics, National Academy of Sciences of Ukraine</t>
  </si>
  <si>
    <t>Levashov, SP (corresponding author), Inst Appl Problems Ecol Geophys &amp; Geochem, Kiev, Ukraine.</t>
  </si>
  <si>
    <t>Volodymyr, Bakhmutov/A-8508-2019</t>
  </si>
  <si>
    <t>VF2GM</t>
  </si>
  <si>
    <t>WOS:000442276200011</t>
  </si>
  <si>
    <t>Goncharov, MA; Raznitsin, YN; Barkin, YV</t>
  </si>
  <si>
    <t>Goncharov, M. A.; Raznitsin, Yu. N.; Barkin, Yu. V.</t>
  </si>
  <si>
    <t>SPECIFIC FEATURES OF DEFORMATION OF THE CONTINENTAL AND OCEANIC LITHOSPHERE AS A RESULT OF THE EARTH CORE NORTHERN DRIFT</t>
  </si>
  <si>
    <t>GEODYNAMICS &amp; TECTONOPHYSICS</t>
  </si>
  <si>
    <t>convective geodynamic system; continental and oceanic lithosphere; meridional convection; the northern drift of the lithosphere and the Earth core; submeridional compression</t>
  </si>
  <si>
    <t>GEODYNAMIC SYSTEMS; EVOLUTION; ATLANTIC; GRAVITY; SUPERCONTINENT; COMPRESSION; TECTONICS; PACIFIC; STRESS; CYCLES</t>
  </si>
  <si>
    <t>Drifting and submeridional compression of the continental and oceanic lithosphere, both with the northward vector (Figure 1) are revealed at the background of various directions of horizontal displacement combined with deformations of horizontal extension, compression and shear of the lithosphere (Figures 7-14). Among various structural forms and their paragenezises, indicators of such compression, the north vergence thrusts play the leading role (Figures 15-17, 19, and 22-24). This process was discontinuous, manifested discretely in time, and superimposed on processes of collisional orogenesis and platform deformations of the continental lithosphere and accretion of the oceanic lithosphere in spreading zones. Three main stages of submeridional compression of the oceanic lithosphere are distinguished as follows: Late Jurassic-Late Cretaceous, Late Miocene, and the contemporary stages. Based on the concept of balanced tectonic flow in the Earth's body, a model of meridional convection (Figure 25) is proposed. In this case, meridional convection is considered as an integral element of the overglobal convective geodynamic system of the largest-scale rank, which also includes the western component of the lithosphere drift (Figure 6) and the Earth's 'wrenching'. At the background of this system, geodynamic systems of smaller scale ranks are functioning (Table 1; Figures 2, and 3). The latters are responsible for the periodic creation and break-up of supercontinents, plate tectonics and regional geodynamical processes; they also produce the 'structural background', in the presence of which it is challenging to reveal the above mentioned submeridional compression structures. Formation of such structures is caused by the upper horizontal flow of meridional convection. Meridional convection occurs due to drifting of the Earth core towards the North Pole (which is detected by a number of independent methods) and resistance of the mantle to drifting (Figures 26, and 27). By comparing the equations that describe the model of the northern drift of the lithosphere and the model of the core drift towards the North Pole, it is possible to establish a quantitative 'bridge' between the structures of meridional compression of the lithosphere and the core drifting structures. Conclusions based on the model of the northern drift of the lithosphere conform to many independent data and concepts, such as disturbance of the isostatic equilibrium of the Antarctica lithosphere and its high standing; the anomalously wide shelf of the Arctic ocean (Figure 28.) and the increased thickness of the sediment cover, that is rich in hydrocarbons, in combination with the ultralow velocity of spreading in Gakkel Ridge; the approximately equal areas of Antarctica and the Arctic ocean as antipodes (Figure 28.); elongation (according to GPS data) of the parallels in the Southern hemisphere, and their shortening in the Northern hemisphere (Figure 26); radial (relative to the South Pole) rifts and other lineaments in Antarctica (Figures 29, and 30); the sub-concentric (relative to the same pole) system of spreading around Antarctica, which develops northward into the submeridional system including three 'trunks' at a distance of about 90 degrees (Figure 31). Due to the higher velocity of the northern drift of the lithosphere within the band with the middle meridian 100 degrees E -80 degrees W, wherein the main mass of the continental lithosphere is concentrated and whose two 'poles' are marked by the axes of the African and Pacific superplumes (Figures 3, 4, 5, and 32), the following specific features have developed: maximum elongation of the Antarctic continent in the Southern ('stretched') hemisphere (Figure 28.); maximum shortening of the Arctic ocean in the Northern ('compressed') hemisphere (Figure 28.); maximum spreading velocity in the South-Eastern Indian Ridge (Figure 33); maximum northern component of the horizontal displacements velocity (according to GPS data) (Figure 34); the mantle Sunda diapir of maximum width and depth (to 400 km); the Himalayas as an orogen of maximum height; Tibet as a plateau of maximum width and height; and Baikal as a rift of maximum length and depth. The Hindustan indenter is neighboring this meridional band (Figure 20). The Himalayas, Tibet and more remote Baikal are located at its front, and the zone of intra-plate deformations (also caused by the meridional compression) is revealed in the rear. Also associated with this band is the Taimyr Peninsula (Figure 28.), in the direction of which the Earth core drifts.</t>
  </si>
  <si>
    <t>[Goncharov, M. A.] Lomonosov State Univ Moscow, Geol Fac, Belousov Lab Tectonophys &amp; Geotecton, Vorobievy Gory GSP-1, Moscow 119992, Russia; [Raznitsin, Yu. N.] RAS, Geol Inst, Moscow 119017, Russia; [Barkin, Yu. V.] Lomonosov State Univ Moscow Auspices, Sternberg Astron Inst, Moscow 119992, Russia</t>
  </si>
  <si>
    <t>Lomonosov Moscow State University; Russian Academy of Sciences; Geological Institute, Russian Academy of Sciences; Lomonosov Moscow State University</t>
  </si>
  <si>
    <t>Goncharov, MA (corresponding author), Lomonosov State Univ Moscow, Geol Fac, Belousov Lab Tectonophys &amp; Geotecton, Vorobievy Gory GSP-1, Moscow 119992, Russia.</t>
  </si>
  <si>
    <t>m.a.gonch@mail.ru; razn46@mail.ru; barkin@inbox.ru</t>
  </si>
  <si>
    <t>RUSSIAN ACAD SCIENCES, SIBERIAN BRANCH, INST EARTHS CRUST</t>
  </si>
  <si>
    <t>IRKUTSK</t>
  </si>
  <si>
    <t>UL LERMONTOVA 128, IRKUTSK, 664033, RUSSIA</t>
  </si>
  <si>
    <t>2078-502X</t>
  </si>
  <si>
    <t>GEODYN TECTONOPHYS</t>
  </si>
  <si>
    <t>Geeodyn. Tectonophys.</t>
  </si>
  <si>
    <t>10.5800/GT-2012-3-1-0060</t>
  </si>
  <si>
    <t>VA1OM</t>
  </si>
  <si>
    <t>WOS:000409677700003</t>
  </si>
  <si>
    <t>Logvinov, IM; Tarasov, VN; Chulkov, SS</t>
  </si>
  <si>
    <t>Logvinov, I. M.; Tarasov, V. N.; Chulkov, S. S.</t>
  </si>
  <si>
    <t>The experience of two-dimensional magnetovariance modeling in the area of UAAS Academician Vernadsky (West Antarctic Peninsula)</t>
  </si>
  <si>
    <t>GEOFIZICHESKIY ZHURNAL-GEOPHYSICAL JOURNAL</t>
  </si>
  <si>
    <t>For the first time for the waters of the Antarctic Peninsula, quantitative assessment of the distribution of geoelectric parameters of sea water, both in space and depth, as well as of a layer of sediment presumably of Cenozoic era, lying directly under the water has been given. This layer according to the seismic method of reflected waves is widespread in the continental shelf waters. Availability under the top layer of the older sedimentary rocks is still quite unknown. According to seismic and geo-electric methods at the present level of knowledge the existence of such sediments is expected both in shelf zone of the Bellingshausen Sea, and in the Larsen sedimentary basin. Based on the estimates of geoelectric parameters a map of the total longitudinal conductivity of sedimentary cover of M 1 : 10 000 000 of the region has been compiled for the first time. Magnetovariational parameters on the profile, crossing the Antarctic archipelago of islands have been given, which have shown that the conductive structures, which determine their behavior have a strike, coinciding with the strike of isobaths. To determine the capacity of geoelectrical methods for studying the deep structure of the region calculations have been made of interpretational parameters of magnetotelluric field by numerical simulation of two-dimensional model along the profile of the valley of the Bellingshausen Sea to the kettle of the Weddell Sea, in which the distribution of geoelectric parameters of the sedimentary cover has been specified with the highest adequacy. Calculations have shown that the observed experimental data do not completely satisfy the model calculations. This fact gives grounds to hope that at least in the areas adjacent to Graham Land, geoelectrical investigations will facilitate studies of the deep structure of the regions.</t>
  </si>
  <si>
    <t>S I SUBBOTIN INST GEOPHYSICS NATL ACAD</t>
  </si>
  <si>
    <t>KIEV</t>
  </si>
  <si>
    <t>PR PALLADINA 32, KIEV, 252142, UKRAINE</t>
  </si>
  <si>
    <t>0203-3100</t>
  </si>
  <si>
    <t>2524-1052</t>
  </si>
  <si>
    <t>GEOFIZ ZHURNAL</t>
  </si>
  <si>
    <t>Geofiz. Zhurnal</t>
  </si>
  <si>
    <t>VE5QE</t>
  </si>
  <si>
    <t>WOS:000439613400005</t>
  </si>
  <si>
    <t>Kozlenko, YV; Kozlenko, MV</t>
  </si>
  <si>
    <t>Kozlenko, Yu. V.; Kozlenko, M. V.</t>
  </si>
  <si>
    <t>Paleostroenie of the northwestern extremity of Antarctica and the evolution of the Bransfield Strait</t>
  </si>
  <si>
    <t>PENINSULA; SEISMICITY; TECTONICS; BASIN</t>
  </si>
  <si>
    <t>In order to study evolution of the Bransfield Straight, reconstruction of paleostructure of northwestern extremity of Antarctica has been conducted on the base of analysis of batimetric and seismologic data as well as results of mapping of DSS and GPS observations. As a result of conducted studies the limits of the Earth's crust blocks of the northern extremity of the Antarctic Peninsula, the North Shetland Islands and adjacent water area, which are different by their characteristics and history of development have been found. A scheme has been proposed for the mechanism of formation of up to-date structure of the region. It has been shown that earlier in this region a single geomorphologic mega-structure existed. Expansion of the Earth's crust in the central part of the rift resulted in creation of the passive rift in the western sub-depression. The results obtained testify to the fact that the leading role in formation of the North Shetland trough was played by the thrust of the South-Shetland block to the Phenix Plate as a result of spreading in the Bransfield Straight. In such a way the concept of arising of this structure as a result of subduction of the Plate Phenix under the Antarctic Peninsula is denied.</t>
  </si>
  <si>
    <t>[Kozlenko, Yu. V.; Kozlenko, M. V.] Natl Acad Sci Ukraine, Inst Geophys, Kiev, Ukraine</t>
  </si>
  <si>
    <t>National Academy of Sciences Ukraine; Subbotin Institute of Geophysics, National Academy of Sciences of Ukraine</t>
  </si>
  <si>
    <t>Kozlenko, YV (corresponding author), Natl Acad Sci Ukraine, Inst Geophys, Kiev, Ukraine.</t>
  </si>
  <si>
    <t>VE5QM</t>
  </si>
  <si>
    <t>WOS:000439616300005</t>
  </si>
  <si>
    <t>Kozlenko, Yu, V; Kozlenko, M., V</t>
  </si>
  <si>
    <t>Origin and history of development of the Bransfield Straight (based on DSS data interpretation)</t>
  </si>
  <si>
    <t>Essential difference in the structure of the earth's crust of the northwestern continental margins of the Trinity peninsula (suboceanic) and Graham Coast (subcontinental) has been shown on the base of DSS data analysis. In agreement with similarity of geomorphologic elements on both sides of Bransfield Trough it has been shown that the Antarctic Peninsula and South-Shetland islands could be a single structure that was a reason to come to conclusion on the probable origin of the straight as a result of spreading motion apart of the bottom as a result of riftogenesis. Using GPS observations data it was calculated that the opening of the Bransfield Straight could begin within the interval of 26-37 mil years ago, i.e. in the Late Paleogene - Early Neogene. A scheme of the history of the Bransfield Straight development has been proposed on the base of seismic models interpretation.</t>
  </si>
  <si>
    <t>VE5PZ</t>
  </si>
  <si>
    <t>WOS:000439611300007</t>
  </si>
  <si>
    <t>Angiel, PJ; Dabski, M</t>
  </si>
  <si>
    <t>Angiel, Piotr Jan; Dabski, Maciej</t>
  </si>
  <si>
    <t>LICHENOMETRIC AGES OF THE LITTLE ICE AGE MORAINES ON KING GEORGE ISLAND AND OF THE LAST VOLCANIC ACTIVITY ON PENGUIN ISLAND (WEST ANTARCTICA)</t>
  </si>
  <si>
    <t>GEOGRAFISKA ANNALER SERIES A-PHYSICAL GEOGRAPHY</t>
  </si>
  <si>
    <t>Antarctica; geomorphology; glaciers; lichenometry; Little Ice Age; Rhizocarpon geographicum</t>
  </si>
  <si>
    <t>SOUTH-SHETLAND ISLANDS; CLIMATE-CHANGE; LATE-HOLOCENE; GLACIER FLUCTUATIONS; ARCTOWSKI-STATION; SIZE-FREQUENCY; GROWTH-RATES; PENINSULA; VICINITY; SEDIMENTATION</t>
  </si>
  <si>
    <t>The recently observed recession of glaciers on King George Island is associated with decades of climate warming in the Antarctic Peninsula region. However, with only 60 years of glaciological observations in the study area ages of the oldest moraines are still uncertain. The goal of the study was to estimate ages of lichen colonization on the oldest moraines of the Ecology and White Eagle Glaciers on King George Island and on the Principal Cone of Penguin Island volcano. The first lichenometric studies on these islands from the late 1970s used rates that had about four to five times slower Rhizocarpon growth rates. We re-examined the sites and measured 996 thalli diameters to establish the surface ages. To estimate the age we used (1) long-term Rhizocarpon lichen group growth rates established by authors using data from a previous lichenometric study on King George Island, and (2) previous data of lichen growth rates from other sub-Antarctic islands. Our results suggest growth rates between 0.5 and 0.8 mm yr1. According to these rates the ages of the oldest moraine ridges are of the Little Ice Age and were colonized at the beginning of the twentieth century. The mid-twentieth century age of lichen colonization on the historically active Penguin Island volcano might support the date of the last eruption reported by whalers in the end of the nineteenth and the beginning of the twentieth century.</t>
  </si>
  <si>
    <t>[Angiel, Piotr Jan] Univ Western Ontario, Dept Earth Sci, London, ON N6G 5B7, Canada; [Angiel, Piotr Jan] Polish Acad Sci, Dept Antarctic Biol, PL-02141 Warsaw, Poland; [Dabski, Maciej] Univ Warsaw, Fac Geog &amp; Reg Studies, Dept Geomorphol, PL-00927 Warsaw, Poland</t>
  </si>
  <si>
    <t>Western University (University of Western Ontario); Polish Academy of Sciences; University of Warsaw</t>
  </si>
  <si>
    <t>Angiel, PJ (corresponding author), Univ Western Ontario, Dept Earth Sci, 1151 Richmond St N, London, ON N6G 5B7, Canada.</t>
  </si>
  <si>
    <t>piotr@angiel.pl; mfdbski@uw.edu.pl</t>
  </si>
  <si>
    <t>Dąbski, Maciej/AAY-7184-2020</t>
  </si>
  <si>
    <t>Dabski, Maciej/0000-0003-1018-9639</t>
  </si>
  <si>
    <t>[102/IPY/2007/01 CLICOPEN (ID-34)]</t>
  </si>
  <si>
    <t>The authors would like to thank: Maria Olech for her help, field consultations and support during the field work; Anna Gasek for her assistance at the Ecology Glacier moraines; the Captain of 'Slon Morski' Tadeusz Ciesluk for safe journeys during the stormy weather on the Bransfield Strait, and to all zodiac drivers for safe landings. We are thankful to all members of summer and winter groups of the 33rd Polish Antarctic Expedition for their support. We would also like to thank Anna Angiel and Meriem Grifi for their help with editing the English manuscript of this paper. Extended thanks to Stephen R. Hicock and Brian Luckman for their valuable comments on early version of manuscript, and to Nick Golledge and an anonymous reviewer for their comments on the formal review. This research was supported by grant number 102/IPY/2007/01 CLICOPEN (ID-34).</t>
  </si>
  <si>
    <t>0435-3676</t>
  </si>
  <si>
    <t>1468-0459</t>
  </si>
  <si>
    <t>GEOGR ANN A</t>
  </si>
  <si>
    <t>Geogr. Ann. Ser. A-Phys. Geogr.</t>
  </si>
  <si>
    <t>94A</t>
  </si>
  <si>
    <t>10.1111/j.1468-0459.2012.00460.x</t>
  </si>
  <si>
    <t>Geography, Physical; Geology</t>
  </si>
  <si>
    <t>993YZ</t>
  </si>
  <si>
    <t>WOS:000307898000008</t>
  </si>
  <si>
    <t>Vionnet, V; Brun, E; Morin, S; Boone, A; Faroux, S; Le Moigne, P; Martin, E; Willemet, JM</t>
  </si>
  <si>
    <t>Vionnet, V.; Brun, E.; Morin, S.; Boone, A.; Faroux, S.; Le Moigne, P.; Martin, E.; Willemet, J. -M.</t>
  </si>
  <si>
    <t>The detailed snowpack scheme Crocus and its implementation in SURFEX v7.2</t>
  </si>
  <si>
    <t>GEOSCIENTIFIC MODEL DEVELOPMENT</t>
  </si>
  <si>
    <t>LAND-SURFACE MODEL; PART I; SIMULATION; COVER; VALIDATION; ENERGY; PARAMETERIZATION; TEMPERATURE; ENVIRONMENT; INTERFACE</t>
  </si>
  <si>
    <t>Detailed studies of snow cover processes require models that offer a fine description of the snow cover properties. The detailed snowpack model Crocus is such a scheme, and has been run operationally for avalanche forecasting over the French mountains for 20 yr. It is also used for climate or hydrological studies. To extend its potential applications, Crocus has been recently integrated within the framework of the externalized surface module SURFEX. SURFEX computes the exchanges of energy and mass between different types of surface and the atmosphere. It includes in particular the land surface scheme ISBA (Interactions between Soil, Biosphere, and Atmosphere). It allows Crocus to be run either in stand-alone mode, using a time series of forcing meteorological data or in fully coupled mode (explicit or fully implicit numerics) with atmospheric models ranging from meso-scale models to general circulation models. This approach also ensures a full coupling between the snow cover and the soil beneath. Several applications of this new simulation platform are presented. They range from a 1-D stand-alone simulation (Col de Porte, France) to fully-distributed simulations in complex terrain over a whole mountain range (Massif des Grandes Rousses, France), or in coupled mode such as a surface energy balance and boundary layer simulation over the East Antarctic Ice Sheet (Dome C).</t>
  </si>
  <si>
    <t>[Vionnet, V.; Brun, E.; Boone, A.; Faroux, S.; Le Moigne, P.; Martin, E.] CNRM GAME URA 1357, Meteo France CNRS, Toulouse, France; [Morin, S.; Willemet, J. -M.] CEN, Meteo France CNRS, CNRM GAME URA 1357, St Martin Dheres, France</t>
  </si>
  <si>
    <t>Centre National de la Recherche Scientifique (CNRS); Meteo France; Centre National de la Recherche Scientifique (CNRS); Meteo France</t>
  </si>
  <si>
    <t>Brun, E (corresponding author), CNRM GAME URA 1357, Meteo France CNRS, Toulouse, France.</t>
  </si>
  <si>
    <t>eric.brun@meteo.fr; samuel.morin@meteo.fr</t>
  </si>
  <si>
    <t>Le+Moigne, Patrick/AAU-9622-2020; Morin, Samuel/E-8005-2011; Vionnet, Vincent/F-5446-2018</t>
  </si>
  <si>
    <t>Morin, Samuel/0000-0002-1781-687X; boone, aaron/0000-0003-1901-7024; Martin, Eric/0000-0002-1491-9590; Vionnet, Vincent/0000-0002-9142-9739</t>
  </si>
  <si>
    <t>1991-959X</t>
  </si>
  <si>
    <t>1991-9603</t>
  </si>
  <si>
    <t>GEOSCI MODEL DEV</t>
  </si>
  <si>
    <t>Geosci. Model Dev.</t>
  </si>
  <si>
    <t>10.5194/gmd-5-773-2012</t>
  </si>
  <si>
    <t>968GG</t>
  </si>
  <si>
    <t>WOS:000305964700004</t>
  </si>
  <si>
    <t>Dolan, AM; Koenig, SJ; Hill, DJ; Haywood, AM; DeConto, RM</t>
  </si>
  <si>
    <t>Dolan, A. M.; Koenig, S. J.; Hill, D. J.; Haywood, A. M.; DeConto, R. M.</t>
  </si>
  <si>
    <t>Pliocene Ice Sheet Modelling Intercomparison Project (PLISMIP) - experimental design</t>
  </si>
  <si>
    <t>PLIOMIP EXPERIMENTAL-DESIGN; SEA-LEVEL FLUCTUATIONS; MID-PLIOCENE; BIOME RECONSTRUCTION; ATMOSPHERIC CO2; GREENLAND; CLIMATE; SENSITIVITY; TEMPERATURE; OCEAN</t>
  </si>
  <si>
    <t>During the mid-Pliocene warm period (3.264 to 3.025 million years ago), global mean temperature was similar to that predicted for the next century and atmospheric carbon dioxide concentrations were slightly higher than today. Sea level was also higher than today, implying a reduction in the extent of the ice sheets. Thus, the mid-Pliocene warm period (mPWP) provides a unique testing ground to investigate the stability of the Earth's ice sheets and their contribution to sea level in a warmer-than-modern world. Climate models and ice sheet models can be used to enhance our understanding of ice sheet stability; however, uncertainties associated with different ice-sheet modelling frameworks mean that a rigorous comparison of numerical ice sheet model simulations for the Pliocene is essential. As an extension to the Pliocene Model Intercomparison Project (PlioMIP; Haywood et al., 2010, 2011a), the Pliocene Ice Sheet Modelling Intercomparison Project (PLISMIP) will provide the first assessment as to the ice sheet model dependency of ice sheet predictions for the mPWP. Here we outline the PLISMIP experimental design and initialisation conditions that have been adopted to simulate the Greenland and Antarctic ice sheets under present-day and warm mid-Pliocene conditions. Not only will this project provide a new benchmark in the simulation of ice sheets in a past warm period, but the analysis of model sensitivity to various uncertainties could directly inform future predictions of ice sheet and sea level change.</t>
  </si>
  <si>
    <t>[Dolan, A. M.; Hill, D. J.; Haywood, A. M.] Univ Leeds, Sch Earth &amp; Environm, Leeds LS2 9JT, W Yorkshire, England; [Koenig, S. J.; DeConto, R. M.] Univ Massachusetts, Dept Geosci, Amherst, MA 01003 USA; [Hill, D. J.] British Geol Survey, Nottingham NG12 5GG, England</t>
  </si>
  <si>
    <t>University of Leeds; University of Massachusetts System; University of Massachusetts Amherst; UK Research &amp; Innovation (UKRI); Natural Environment Research Council (NERC); NERC British Geological Survey</t>
  </si>
  <si>
    <t>Dolan, AM (corresponding author), Univ Leeds, Sch Earth &amp; Environm, Leeds LS2 9JT, W Yorkshire, England.</t>
  </si>
  <si>
    <t>eeamd@leeds.ac.uk; koenig@geo.umass.edu</t>
  </si>
  <si>
    <t>Dolan, Aisling M/D-2625-2012</t>
  </si>
  <si>
    <t>Dolan, Aisling/0000-0002-9585-9648; Hill, Daniel/0000-0001-5492-3925</t>
  </si>
  <si>
    <t>The Natural Environment Research Council (NERC); The US National Science Foundation [ATM-0513402]; Leverhulme Trust; Leverhulme Early Career Fellowship [ECF-2011-205]; British Geological Survey; National Centre for Atmospheric Science; NERC; Leverhulme Trust for the award of a Philip Leverhulme Prize; NERC [bgs05002] Funding Source: UKRI; Natural Environment Research Council [bgs05002, ncas10009] Funding Source: researchfish</t>
  </si>
  <si>
    <t>The Natural Environment Research Council (NERC)(UK Research &amp; Innovation (UKRI)Natural Environment Research Council (NERC)); The US National Science Foundation(National Science Foundation (NSF)); Leverhulme Trust(Leverhulme Trust); Leverhulme Early Career Fellowship(Leverhulme Trust); British Geological Survey; National Centre for Atmospheric Science; NERC(UK Research &amp; Innovation (UKRI)Natural Environment Research Council (NERC)); Leverhulme Trust for the award of a Philip Leverhulme Prize(Leverhulme Trust); NERC(UK Research &amp; Innovation (UKRI)Natural Environment Research Council (NERC)); Natural Environment Research Council(UK Research &amp; Innovation (UKRI)Natural Environment Research Council (NERC))</t>
  </si>
  <si>
    <t>This work is a product of the Pliocene Model Intercomparison Project (PlioMIP), which is part of the international Palaeoclimate Modelling Intercomparison Project (PMIP). The Natural Environment Research Council (NERC) is acknowledged for its support to AMD. The US National Science Foundation under the award ATM-0513402 is acknowledged for its support to SJK and RMD. DJH acknowledges the Leverhulme Trust for their support through the funding of a Leverhulme Early Career Fellowship (ECF-2011-205), financially co-supported by the British Geological Survey and National Centre for Atmospheric Science. AMH also acknowledges NERC and the Leverhulme Trust for the award of a Philip Leverhulme Prize (2008). We also thank Bas de Boer for his helpful comments on the draft manuscript and Daniel Lunt for providing the HadAM3 climatologies.</t>
  </si>
  <si>
    <t>10.5194/gmd-5-963-2012</t>
  </si>
  <si>
    <t>998MW</t>
  </si>
  <si>
    <t>WOS:000308244900003</t>
  </si>
  <si>
    <t>Mathiot, P; Beatty, CK; Fichefet, T; Goosse, H; Massonnet, F; Vancoppenolle, M</t>
  </si>
  <si>
    <t>Mathiot, P.; Beatty, C. Koenig; Fichefet, T.; Goosse, H.; Massonnet, F.; Vancoppenolle, M.</t>
  </si>
  <si>
    <t>Better constraints on the sea-ice state using global sea-ice data assimilation</t>
  </si>
  <si>
    <t>ENSEMBLE KALMAN FILTER; OCEAN MODEL; REPRESENTATION; LOCALIZATION</t>
  </si>
  <si>
    <t>Short-term and decadal sea-ice prediction systems need a realistic initial state, generally obtained using ice-ocean model simulations with data assimilation. However, only sea-ice concentration and velocity data are currently assimilated. In this work, an ensemble Kalman filter system is used to assimilate observed ice concentration and freeboard (i.e. thickness of emerged) data into a global coupled ocean-sea-ice model. The impact and effectiveness of our data assimilation system is assessed in two steps: firstly, through the use of synthetic data (i.e. model-generated data), and secondly, through the assimilation of real satellite data. While ice concentrations are available daily, freeboard data used in this study are only available during six one-month periods spread over 2005-2007. Our results show that the simulated Arctic and Antarctic sea-ice extents are improved by the assimilation of synthetic ice concentration data. Assimilation of synthetic ice freeboard data improves the simulated sea-ice thickness field. Using real ice concentration data enhances the model realism in both hemispheres. Assimilation of ice concentration data significantly improves the total hemispheric sea-ice extent all year long, especially in summer. Combining the assimilation of ice freeboard and concentration data leads to better ice thickness, but does not further improve the ice extent. Moreover, the improvements in sea-ice thickness due to the assimilation of ice freeboard remain visible well beyond the assimilation periods.</t>
  </si>
  <si>
    <t>[Mathiot, P.; Beatty, C. Koenig; Fichefet, T.; Goosse, H.; Massonnet, F.; Vancoppenolle, M.] Catholic Univ Louvain, Earth &amp; Life Inst, Georges Lemaitre Ctr Earth &amp; Climate Res, Louvain, Belgium; [Mathiot, P.] British Antarctic Survey, Nat Environm Res Council, Cambridge CB3 0ET, England; [Vancoppenolle, M.] Inst Pierre Simon Laplace, Lab Oceanog Climat, Paris, France</t>
  </si>
  <si>
    <t>Universite Catholique Louvain; UK Research &amp; Innovation (UKRI); Natural Environment Research Council (NERC); NERC British Antarctic Survey; Universite Paris Cite; Centre National de la Recherche Scientifique (CNRS); CNRS - National Institute for Earth Sciences &amp; Astronomy (INSU); Universite Paris Saclay; Sorbonne Universite</t>
  </si>
  <si>
    <t>Mathiot, P (corresponding author), Catholic Univ Louvain, Earth &amp; Life Inst, Georges Lemaitre Ctr Earth &amp; Climate Res, Louvain, Belgium.</t>
  </si>
  <si>
    <t>pierre.mathiot@bas.ac.uk</t>
  </si>
  <si>
    <t>Vancoppenolle, Martin/B-3750-2011; Vancoppenolle, Martin/AAA-7711-2022; Massonnet, Francois/J-5315-2014</t>
  </si>
  <si>
    <t>Vancoppenolle, Martin/0000-0002-7573-8582; Vancoppenolle, Martin/0000-0002-7573-8582; Mathiot, Pierre/0000-0002-2001-0762; Massonnet, Francois/0000-0002-4697-5781</t>
  </si>
  <si>
    <t>F.R.S. FNRS; Belgian Federal Science Policy Office; Research Program on Science for a Sustainable Development; Fonds Special de la Recherche of the Universite Catholique de Louvain; European Commission's 7th Framework Programme [226520]; FRS-FNRS; Natural Environment Research Council [bas0100028] Funding Source: researchfish; NERC [bas0100028] Funding Source: UKRI</t>
  </si>
  <si>
    <t>F.R.S. FNRS(Fonds de la Recherche Scientifique - FNRS); Belgian Federal Science Policy Office(Belgian Federal Science Policy Office); Research Program on Science for a Sustainable Development; Fonds Special de la Recherche of the Universite Catholique de Louvain; European Commission's 7th Framework Programme(European Union (EU)); FRS-FNRS(Fonds de la Recherche Scientifique - FNRS); Natural Environment Research Council(UK Research &amp; Innovation (UKRI)Natural Environment Research Council (NERC)); NERC(UK Research &amp; Innovation (UKRI)Natural Environment Research Council (NERC))</t>
  </si>
  <si>
    <t>H. Goosse is Senior Research Associate with the Fonds de la Recherche Scientifique (F. R. S. FNRS-Belgium). F. Massonnet is a Research Associate with the F. R. S. FNRS-Belgium. This work is partly supported by the F.R.S. FNRS, the Belgian Federal Science Policy Office, Research Program on Science for a Sustainable Development, and the Fonds Special de la Recherche of the Universite Catholique de Louvain. It is also funded by the European Commission's 7th Framework Programme, under Grant Agreement number 226520, COMBINE project. Computational ressources have been provided by the supercomputing facilities of the Universite Catholique de Louvain (CISM/UCL) and the Consortium des Equipements de Calcul Intensif en Federation Wallonie Bruxelles (CECI) funded by the FRS-FNRS. The authors acknowledge the constructive and precise comments of the two reviewers L. Bertino and M. Bocquet.</t>
  </si>
  <si>
    <t>10.5194/gmd-5-1501-2012</t>
  </si>
  <si>
    <t>059HW</t>
  </si>
  <si>
    <t>WOS:000312696000011</t>
  </si>
  <si>
    <t>Aitken, ARA; Wilson, GS; Jordan, T; Tinto, K; Blakemore, H</t>
  </si>
  <si>
    <t>Aitken, Alan R. A.; Wilson, Gary S.; Jordan, Thomas; Tinto, Kirsty; Blakemore, Hamish</t>
  </si>
  <si>
    <t>Flexural controls on late Neogene basin evolution in southern McMurdo Sound, Antarctica</t>
  </si>
  <si>
    <t>GLOBAL AND PLANETARY CHANGE</t>
  </si>
  <si>
    <t>flexure; Neogene; basin evolution; volcanic load; McMurdo Sound</t>
  </si>
  <si>
    <t>WESTERN ROSS SEA; MARIE-BYRD-LAND; TRANSANTARCTIC MOUNTAINS; CONTINENTAL LITHOSPHERE; GRAVITY-ANOMALIES; VOLCANIC-GROUP; VICTORIA LAND; RIFT SYSTEM; BROWN-PENINSULA; ICE SHELF</t>
  </si>
  <si>
    <t>The basins of southern McMurdo Sound have evolved under the influence of lithospheric flexure induced by the loads of the Erebus Volcanic Province. To characterise these basins, it is important to investigate the lithosphere's flexural properties, and estimate their influence on basin architecture and evolution. Seismic and gravity data are used to constrain 3D forward modelling of the progressive development of accommodation space within the flexural basins. Elastic plate flexure was calculated for a range of effective elastic thicknesses (T-e) from 0.5 to 25 km using a spectral method. Models with low, but nonzero. T-e values (2 km&lt;5 km) produce the best fit to the gravity data, although uncertainty is high due to inaccuracies in the Digital Elevation Model. The slopes of flexural horizons revealed in seismic reflection lines are consistent with this, indicating a T-e of 2 km to 5 km, although the depths to these horizons are not consistent, perhaps due to a northwards slope, or step, in the pre-flexural surface. These results indicate that the lithospheric strength of southern McMurdo Sound is significantly less than estimates of the regional average (T-e - 20 km). This low strength may reflect the weakening effects of the Terror Rift, and perhaps also the Discovery Accommodation Zone, a region of major transverse faulting. A low T-e model (T-e = 3) for southern McMurdo Sound predicts the development of two discrete flexural depressions, each 2-2.5 km deep. The predicted stratigraphy of the northern basin reflects flexure due to Ross Island, predominantly erupted since ca. 1.8 Ma. The predicted stratigraphy of the southern basin reflects more gradual flexure from ca. 10 Ma to ca. 2 Ma, due to the more dispersed volcanoes of the Discovery subprovince. Collectively, these two basins have the potential to preserve a remarkable stratigraphic record of Antarctic climate change through the late Neogene. (C) 2011 Elsevier B.V. All rights reserved.</t>
  </si>
  <si>
    <t>[Wilson, Gary S.] Univ Otago, Dept Marine Sci, Dunedin, New Zealand; [Aitken, Alan R. A.; Wilson, Gary S.; Jordan, Thomas; Tinto, Kirsty; Blakemore, Hamish] Univ Otago, Dept Geol, Dunedin, New Zealand</t>
  </si>
  <si>
    <t>University of Otago; University of Otago</t>
  </si>
  <si>
    <t>Wilson, GS (corresponding author), Univ Otago, Dept Marine Sci, POB 56, Dunedin, New Zealand.</t>
  </si>
  <si>
    <t>gary.wilson@otago.ac.nz</t>
  </si>
  <si>
    <t>Wilson, Gary S/B-3803-2010</t>
  </si>
  <si>
    <t>Wilson, Gary/0000-0003-0025-3641; Aitken, Alan/0000-0002-6375-2504; Jordan, Tom/0000-0003-2780-1986</t>
  </si>
  <si>
    <t>New Zealand Foundation for Research [UOOX0207, C05X0410]; University of Otago Research Committee; NERC [bas0100026] Funding Source: UKRI; Natural Environment Research Council [bas0100026] Funding Source: researchfish</t>
  </si>
  <si>
    <t>New Zealand Foundation for Research(New Zealand Foundation for Research, Science and Technology); University of Otago Research Committee; NERC(UK Research &amp; Innovation (UKRI)Natural Environment Research Council (NERC)); Natural Environment Research Council(UK Research &amp; Innovation (UKRI)Natural Environment Research Council (NERC))</t>
  </si>
  <si>
    <t>Logistic support for gravity data collection was provided by Antarctica New Zealand as part of ANDRILL site survey events K114 and K001. Financial support for the research was supplied by New Zealand Foundation for Research contracts UOOX0207 and C05X0410 and by the University of Otago Research Committee. We thank all members of the ANDRILL site survey field teams for their assistance in the field gravity data collection programme. The constructive comments of the reviewers helped improve the manuscript and are greatly appreciated.</t>
  </si>
  <si>
    <t>0921-8181</t>
  </si>
  <si>
    <t>1872-6364</t>
  </si>
  <si>
    <t>GLOBAL PLANET CHANGE</t>
  </si>
  <si>
    <t>Glob. Planet. Change</t>
  </si>
  <si>
    <t>80-81</t>
  </si>
  <si>
    <t>10.1016/j.gloplacha.2011.08.003</t>
  </si>
  <si>
    <t>883BC</t>
  </si>
  <si>
    <t>WOS:000299606600008</t>
  </si>
  <si>
    <t>Krueger, S; Leuschner, DC; Ehrmann, W; Schmiedl, G; Mackensen, A</t>
  </si>
  <si>
    <t>Krueger, S.; Leuschner, D. C.; Ehrmann, W.; Schmiedl, G.; Mackensen, A.</t>
  </si>
  <si>
    <t>North Atlantic Deep Water and Antarctic Bottom Water variability during the last 200 ka recorded in an abyssal sediment core off South Africa</t>
  </si>
  <si>
    <t>NADW; AABW; Weddell sea; Polynya; ice shelf water; deep water formation; kaolinite/chlorite ratio; sortable silt</t>
  </si>
  <si>
    <t>OCEAN THERMOHALINE CIRCULATION; TOTAL GEOSTROPHIC CIRCULATION; WEDDELL SEA; ICE-SHEET; CONTINENTAL-MARGIN; GLACIAL MAXIMUM; FLOW PATTERNS; CARBON; DELTA-C-13; TRANSPORT</t>
  </si>
  <si>
    <t>Benthic delta C-13 values (F. wuellerstorfi), kaolinite/chlorite ratios and sortable silt median grain sizes in sediments of a core from the abyssal Agulhas Basin record the varying impact of North Atlantic Deep Water (NADW) and Antarctic Bottom Water (AABW) during the last 200 ka. The data indicate that NADW influence decreased during glacials and increased during interglacials, in concert with the global climatic changes of the late Quaternary. In contrast, AABW displays a much more complex behaviour. Two independent modes of deep-water formation contributed to the AABW production in the Weddell Sea: 1) brine rejection during sea ice formation in polynyas and in the sea ice zone (Polynya Mode) and 2) super-cooling of Ice Shelf Water (ISW) beneath the Antarctic ice shelves (Ice Shelf Mode). Varying contributions of the two modes lead to a high millennial-scale variability of AABW production and export to the Agulhas Basin. Highest rates of AABW production occur during early glacials when increased sea ice formation and an active ISW production formed substantial amounts of deep water. Once full glacial conditions were reached and the Antarctic ice sheet grounded on the shelf, ISW production shut down and only brine rejection generated moderate amounts of deep water. AABW production rates dropped to an absolute minimum during Terminations I and II and the Marine Isotope Transition (MIS) 4/3 transition. Reduced sea ice formation concurrent with an enhanced fresh water influx from melting ice lowered the density of the surface water in the Weddell Sea, thus further reducing deep water formation via brine rejection, while the ISW formation was not yet operating again. During interglacials and the moderate interglacial MIS 3 both brine formation and ISW production were operating, contributing various amounts to AABW formation in the Weddell Sea. (C) 2011 Elsevier B.V. All rights reserved.</t>
  </si>
  <si>
    <t>[Krueger, S.; Leuschner, D. C.; Ehrmann, W.] Univ Leipzig, Inst Geol &amp; Geophys, D-04103 Leipzig, Germany; [Schmiedl, G.] Univ Hamburg, Dept Geosci, D-20146 Hamburg, Germany; [Mackensen, A.] Alfred Wegener Inst Polar &amp; Marine Res, D-27568 Bremerhaven, Germany</t>
  </si>
  <si>
    <t>Leipzig University; University of Hamburg; Helmholtz Association; Alfred Wegener Institute, Helmholtz Centre for Polar &amp; Marine Research</t>
  </si>
  <si>
    <t>Krueger, S (corresponding author), Univ Leipzig, Inst Geol &amp; Geophys, Talstr 35, D-04103 Leipzig, Germany.</t>
  </si>
  <si>
    <t>skrueger@uni-leipzig.de</t>
  </si>
  <si>
    <t>Mackensen, Andreas/J-8600-2013; Schmiedl, Gerhard/E-6644-2017</t>
  </si>
  <si>
    <t>Mackensen, Andreas/0000-0002-5024-4455; Schmiedl, Gerhard/0000-0002-2177-6858</t>
  </si>
  <si>
    <t>Deutsche Forschungsgemeinschaft</t>
  </si>
  <si>
    <t>We thank the ship crews and scientists of R.V. Polarstern for good collaboration during various expeditions and S. Dorn for assisting with the laboratory work. This study was supported by the Deutsche Forschungsgemeinschaft. We also thank C.-D. Hillenbrand and and Pierre Giresse for their very helpful suggestions and recomendations for improvement of the manuscript.</t>
  </si>
  <si>
    <t>ELSEVIER SCIENCE BV</t>
  </si>
  <si>
    <t>PO BOX 211, 1000 AE AMSTERDAM, NETHERLANDS</t>
  </si>
  <si>
    <t>10.1016/j.gloplacha.2011.10.001</t>
  </si>
  <si>
    <t>WOS:000299606600014</t>
  </si>
  <si>
    <t>Clarke, LJ; Robinson, SA; Hua, Q; Ayre, DJ; Fink, D</t>
  </si>
  <si>
    <t>Clarke, Laurence J.; Robinson, Sharon A.; Hua, Quan; Ayre, David J.; Fink, David</t>
  </si>
  <si>
    <t>Radiocarbon bomb spike reveals biological effects of Antarctic climate change</t>
  </si>
  <si>
    <t>GLOBAL CHANGE BIOLOGY</t>
  </si>
  <si>
    <t>Antarctic moss; climate change; growth rate; ozone depletion; radiocarbon; stable isotopes; Vestfold Hills; water availability; Windmill Islands</t>
  </si>
  <si>
    <t>AGE CALIBRATION; OZONE DEPLETION; PLANTS; RESPONSES; MOSS; VEGETATION; TERRESTRIAL; TEMPERATURE; POPULATION; TOLERANCE</t>
  </si>
  <si>
    <t>The Antarctic has experienced major changes in temperature, wind speed and stratospheric ozone levels during the last 50 years. However, until recently continental Antarctica appeared to be little impacted by climate warming, thus biological changes were predicted to be relatively slow. Detecting the biological effects of Antarctic climate change has been hindered by the paucity of long-term data sets, particularly for organisms that have been exposed to these changes throughout their lives. We show that radiocarbon signals are preserved along shoots of the dominant Antarctic moss flora and use these to determine accurate growth rates over a period of several decades, allowing us to explore the influence of environmental variables on growth and providing a dramatic demonstration of the effects of climate change. We have generated detailed 50-year growth records for Ceratodon purpureus and three other Antarctic moss species using the 1960s radiocarbon bomb spike. Our growth rate and stable carbon isotope (d13C) data show that C. purpureus growth rates are correlated with key climatic variables, and furthermore that the observed effects of climate variation on growth are mediated through changes in water availability. Our results indicate the timing and balance between warming, high-wind speeds and elevated UV fluxes may determine the fate of these mosses and the associated communities that form oases of Antarctic biodiversity.</t>
  </si>
  <si>
    <t>[Clarke, Laurence J.; Robinson, Sharon A.; Ayre, David J.] Univ Wollongong, Inst Conservat Biol &amp; Environm Management, Wollongong, NSW 2522, Australia; [Clarke, Laurence J.] Univ Adelaide, Sch Earth &amp; Environm Sci, Adelaide, SA 5001, Australia; [Hua, Quan; Fink, David] Australian Nucl Sci &amp; Technol Org ANSTO, Kirrawee Dc, NSW 2232, Australia</t>
  </si>
  <si>
    <t>University of Wollongong; University of Adelaide; Australian Nuclear Science &amp; Technology Organisation</t>
  </si>
  <si>
    <t>Clarke, LJ (corresponding author), Univ Wollongong, Inst Conservat Biol &amp; Environm Management, Wollongong, NSW 2522, Australia.</t>
  </si>
  <si>
    <t>laurence.clarke@adelaide.edu.au</t>
  </si>
  <si>
    <t>Ayre, David J/A-8761-2008; fink, David/A-9518-2012; Clarke, Laurence/N-3579-2017; Robinson, Sharon/B-2683-2008; Hua, Quan/F-9593-2014</t>
  </si>
  <si>
    <t>fink, David/0000-0001-7156-4602; Clarke, Laurence/0000-0002-0844-4453; Robinson, Sharon/0000-0002-7130-9617;</t>
  </si>
  <si>
    <t>AINSE [05142P, 06155]; Australian Antarctic Science [2542]; ANSTO CcASH (Cosmogenic climate Archives of the Southern Hemisphere) [0203v]; Australian Research Council [DP110101714]; Australian Postgraduate Award</t>
  </si>
  <si>
    <t>AINSE; Australian Antarctic Science; ANSTO CcASH (Cosmogenic climate Archives of the Southern Hemisphere); Australian Research Council(Australian Research Council); Australian Postgraduate Award(Australian Government)</t>
  </si>
  <si>
    <t>Funding for this research was provided through AINSE grants 05142P and 06155, Australian Antarctic Science grant 2542 and ANSTO CcASH (Cosmogenic climate Archives of the Southern Hemisphere) project 0203v and Australian Research Council DP110101714. Laurence Clarke was in receipt of an Australian Postgraduate Award. We thank Joe Berry for inspiring us to perform these experiments and for helpful discussions of the results, Ken Russell for assistance with the statistical analysis, Diana King for help preparing Figs 1 and 7, Joe Berry, Terry Hughes and Mats Olsson for critical reading of the manuscript, and Linda Barry for delta13C measurements.</t>
  </si>
  <si>
    <t>1354-1013</t>
  </si>
  <si>
    <t>1365-2486</t>
  </si>
  <si>
    <t>GLOBAL CHANGE BIOL</t>
  </si>
  <si>
    <t>Glob. Change Biol.</t>
  </si>
  <si>
    <t>10.1111/j.1365-2486.2011.02560.x</t>
  </si>
  <si>
    <t>Biodiversity Conservation; Ecology; Environmental Sciences</t>
  </si>
  <si>
    <t>Biodiversity &amp; Conservation; Environmental Sciences &amp; Ecology</t>
  </si>
  <si>
    <t>869LG</t>
  </si>
  <si>
    <t>WOS:000298598900025</t>
  </si>
  <si>
    <t>Direen, NG</t>
  </si>
  <si>
    <t>Direen, N. G.</t>
  </si>
  <si>
    <t>Comment on Antarctica - Before and after Gondwana by SD Boger Gondwana Research, Volume 19, Issue 2, March 2011, Pages 335-371</t>
  </si>
  <si>
    <t>GONDWANA RESEARCH</t>
  </si>
  <si>
    <t>Antarctica; Australia; Continental breakup; Gondwanaland; India; Rifting; Southern Rift System</t>
  </si>
  <si>
    <t>WILKES LAND; AUSTRALIA; MARGIN; ANOMALIES; BREAKUP; BASIN; RIDGE</t>
  </si>
  <si>
    <t>[Direen, N. G.] Univ Tasmania, Inst Marine &amp; Antarctic Studies, Sandy Bay, Tas 7005, Australia; [Direen, N. G.] FrOG Tech Pty Ltd, Blackmans Bay, Tas 7052, Australia</t>
  </si>
  <si>
    <t>Direen, NG (corresponding author), Univ Tasmania, Inst Marine &amp; Antarctic Studies, Sandy Bay, Tas 7005, Australia.</t>
  </si>
  <si>
    <t>ndireen@frogtech.com.au</t>
  </si>
  <si>
    <t>Direen, Nicholas/P-5949-2019; Direen, Nicholas G/C-5466-2013</t>
  </si>
  <si>
    <t>Direen, Nicholas/0000-0002-4466-7064; Direen, Nicholas G/0000-0002-4466-7064</t>
  </si>
  <si>
    <t>1342-937X</t>
  </si>
  <si>
    <t>1878-0571</t>
  </si>
  <si>
    <t>GONDWANA RES</t>
  </si>
  <si>
    <t>Gondwana Res.</t>
  </si>
  <si>
    <t>10.1016/j.gr.2011.08.008</t>
  </si>
  <si>
    <t>891GE</t>
  </si>
  <si>
    <t>WOS:000300204400023</t>
  </si>
  <si>
    <t>Li, XY; Wang, DX; Xu, LZ; Zhao, JL; Du, FJ; Zhang, Y</t>
  </si>
  <si>
    <t>Stepp, LM; Gilmozzi, R; Hall, HJ</t>
  </si>
  <si>
    <t>Li, Xiaoyan; Wang, Daxing; Xu, Lingzhe; Zhao, Jianlin; Du, Fujia; Zhang, Yue</t>
  </si>
  <si>
    <t>Control system for the first three Antarctic Survey Telescopes (AST3-1)</t>
  </si>
  <si>
    <t>GROUND-BASED AND AIRBORNE TELESCOPES IV</t>
  </si>
  <si>
    <t>Conference on Ground-Based and Airborne Telescopes IV</t>
  </si>
  <si>
    <t>AST3; DOME A; telescope control system; software</t>
  </si>
  <si>
    <t>The first Three Antarctic Survey Telescope (AST3-1), a 50/68cm Schmidt-like equatorial-mount telescope, is the first automated Chinese telescope operating on the Antarctic plateau. It is planned to be in operations at Dome A, the highest peak on the Antarctic plateau, in 2012. The telescope is unmanned during night-time operations in the Austral winter. The telescope optics and mechanics, as well as the motors and position sensors, are exposed to a very harsh environment. The mechanics is enclosed with a foldable tent-like dome to prevent snow, diamond dust and ice. While the drive boxes, most circuit, power supply and computers are located inside the warm instrumental cabin. This article describes the challenges the telescope control system encountered in night-time operations, such as the power supply limit, the harsh meteorological condition, unattended testing, automatic operation, remote control and telemetry, etc. Some solutions are also discussed in this paper, which are applied on the AST3-1 and waiting for validation. AST3-1 is also an exploration of a larger telescope on the Antarctic.</t>
  </si>
  <si>
    <t>[Li, Xiaoyan; Wang, Daxing; Xu, Lingzhe; Zhao, Jianlin; Du, Fujia; Zhang, Yue] Chinese Acad Sci, Natl Astron Observ, Nanjing Inst Astron Opt &amp; Technol, Nanjing 210042, Jiangsu, Peoples R China</t>
  </si>
  <si>
    <t>Chinese Academy of Sciences; Nanjing Institute of Astronomical Optics &amp; Technology, NAOC, CAS; National Astronomical Observatory, CAS</t>
  </si>
  <si>
    <t>Li, XY (corresponding author), Chinese Acad Sci, Natl Astron Observ, Nanjing Inst Astron Opt &amp; Technol, Nanjing 210042, Jiangsu, Peoples R China.</t>
  </si>
  <si>
    <t>xyli@niaot.ac.cn</t>
  </si>
  <si>
    <t>Cui, Wei/Y-3279-2019</t>
  </si>
  <si>
    <t>Cui, Wei/0000-0002-6324-5772</t>
  </si>
  <si>
    <t>978-0-8194-9145-9</t>
  </si>
  <si>
    <t>84445M</t>
  </si>
  <si>
    <t>10.1117/12.924960</t>
  </si>
  <si>
    <t>Astronomy &amp; Astrophysics; Optics</t>
  </si>
  <si>
    <t>BDA16</t>
  </si>
  <si>
    <t>WOS:000312276100179</t>
  </si>
  <si>
    <t>Yang, DH; Wang, H; Zhang, Y; Chen, Y; Zhou, GH; Cheng, JQ; Li, GP</t>
  </si>
  <si>
    <t>Yang, Dehua; Wang, Hai; Zhang, Yong; Chen, Yi; Zhou, Guohua; Cheng, Jingquan; Li, Guoping</t>
  </si>
  <si>
    <t>Conceptual design of a 5-m terahertz telescope at Dome A</t>
  </si>
  <si>
    <t>terahertz telescope; Dome A; optical design; structural design; control electronics; low temperature</t>
  </si>
  <si>
    <t>A 5-meter terahertz telescope is proposed by the Chinese Center for Antarctic Astronomy (CCAA) for the East Antarctica site of the Dome A plateau. The Dome A 5-m terahertz telescope (DATE 5) will be operated at sub-millimeter waveband taking the unique advantage of the transparent atmospheric windows between 200 and 350 mu m wavelengths at Dome A. A preliminary design has been conducted according to the given technical requirements and the special environmental conditions at Dome A. A symmetric R-C Cassegrain optical system is designed for the telescope, with a primary f-ratio of 0.4 and a wide field of view of 10 arcmin. The magnification of the sub-reflector is 9.4, leading to the final focal ratio of 3.76 and the focus 0.2 m below the vertex of the primary reflector. To ensure surface accuracy of the reflectors precise as small as 10 um RMS, we consider using Carbon Fiber Reinforced Plastics (CFRP) to build the backup structure (BUS) of the primary reflector and the sub-reflector itself. An alt-azimuthal mounting is adopted and a tall base structure beneath the telescope is set up to lift the telescope above the low atmosphere turbulent layer. All the mechanics, as well as control electronics, are strictly designed to fit the lower temperature operation in the Dome A environment. This paper is to generally present the mentioned systematic optical, structural and electronic design of the DATE 5 telescope.</t>
  </si>
  <si>
    <t>[Yang, Dehua; Wang, Hai; Zhang, Yong; Chen, Yi; Zhou, Guohua; Li, Guoping] Chinese Acad Sci, Natl Astron Observ, Nanjing Inst Astron Opt &amp; Technol, 188 Bancang Str, Nanjing 210042, Jiangsu, Peoples R China; [Yang, Dehua; Wang, Hai; Zhang, Yong; Chen, Yi; Zhou, Guohua; Li, Guoping] Chinese Acad Sci, Nanjing Inst Astron Opt &amp; Technol, Key Lab Astron Opt &amp; Technol, Nanjing 210042, Jiangsu, Peoples R China; [Cheng, Jingquan] Natl Radio Astron Observ, Charlottesville, VA 22903 USA</t>
  </si>
  <si>
    <t>Chinese Academy of Sciences; National Astronomical Observatory, CAS; Nanjing Institute of Astronomical Optics &amp; Technology, NAOC, CAS; Chinese Academy of Sciences; Nanjing Institute of Astronomical Optics &amp; Technology, NAOC, CAS; National Radio Astronomy Observatory (NRAO)</t>
  </si>
  <si>
    <t>Yang, DH (corresponding author), Chinese Acad Sci, Natl Astron Observ, Nanjing Inst Astron Opt &amp; Technol, 188 Bancang Str, Nanjing 210042, Jiangsu, Peoples R China.</t>
  </si>
  <si>
    <t>dhyang@NIAOT.ac.cn</t>
  </si>
  <si>
    <t>Zhang, 张勇/E-5267-2013; Li, Guoping/D-1654-2017</t>
  </si>
  <si>
    <t>Zhang, 张勇/0000-0003-2179-3698;</t>
  </si>
  <si>
    <t>National Natural Science Foundation of China [10973025, 10833004]</t>
  </si>
  <si>
    <t>National Natural Science Foundation of China(National Natural Science Foundation of China (NSFC))</t>
  </si>
  <si>
    <t>The research is sponsored by the  National Natural Science Foundation of China under Grant No. 10973025 and Grand No. 10833004.</t>
  </si>
  <si>
    <t>1996-756X</t>
  </si>
  <si>
    <t>84445B</t>
  </si>
  <si>
    <t>10.1117/12.925778</t>
  </si>
  <si>
    <t>WOS:000312276100169</t>
  </si>
  <si>
    <t>Kasemir, HW</t>
  </si>
  <si>
    <t>Mazur, V; Ruhnke, LH</t>
  </si>
  <si>
    <t>Kasemir, Heinz W.</t>
  </si>
  <si>
    <t>Atmospheric Electric Measurements in the Arctic and Antarctic (Reprinted from PURE AND APPLIED GEOPHYSICS (PAGEOPH), vol 100, pg 70-80, 1972)</t>
  </si>
  <si>
    <t>HEINZ-WOLFRAM KASEMIR: HIS COLLECTED WORKS</t>
  </si>
  <si>
    <t>American Geophysical Union Special Publications</t>
  </si>
  <si>
    <t>Reprint; Book Chapter</t>
  </si>
  <si>
    <t>During the International Geophysical Year, 1958, and extending into 1959, the atmospheric electric field, current, and conductivity were recorded at Thule, Greenland (78 degrees N). During the International Year of the Quiet Sun, 1964, records of the atmospheric electric field were obtained at the Amundsen-Scott Station at the South Pole (90 degrees S). The diurnal variation averaged over the year of the normalized current at Thule and the normalized field at the South Pole show a surprisingly good agreement. These two curves combined into one represent the world time variation of the air-earth current (or field) in the Polar regions. Compared with the oceanic diurnal field variation obtained at the Carnegie ship cruises, the Polar curve shows a very similar shape but a much reduced amplitude. The maximum and minimum in the Polar regions are 1.07 and 0.92. The corresponding values on the oceans are 1.20 and 0.85. The difference is greater than the measuring error or statistical scatter and has to be accepted as real. No conclusive explanation of the deviation of the two curves can be offered. The diurnal variation of the Polar data averaged over a season displays very smooth and similar curves during Northern autumn and winter. The spring and summer curves show a much more detailed structure with several maxima and minima. It is somewhat unexpected that the summer curve with a variety of fine structure is the flattest curve of all seasons. The minimum never drops below 0.95, and the maximum does not exceed 1.06. If the data are broken down into hourly means averaged over one month and split into an Arctic and Antarctic part, the similarity between corresponding curves of the same month vanishes for the months of January to July. This may partly be due to the fact that the number of fair-weather days of the individual month is too small to obtain a representative statistical average. Usually averaging over seven or more days is necessary for the oceanic pattern to emerge. However, there is a strong possibility that another agent besides the worldwide thunderstorm activity modulates the global circuit. The seasonal differences, and especially the difference between Arctic and Antarctic pattern, point to such a conclusion.</t>
  </si>
  <si>
    <t>NOAA, APCL, Boulder, CO 80302 USA</t>
  </si>
  <si>
    <t>National Oceanic Atmospheric Admin (NOAA) - USA</t>
  </si>
  <si>
    <t>Kasemir, HW (corresponding author), NOAA, APCL, R 31, Boulder, CO 80302 USA.</t>
  </si>
  <si>
    <t>978-1-118-70481-3; 978-0-87590-737-6</t>
  </si>
  <si>
    <t>AM GEOPHYS UNION SP</t>
  </si>
  <si>
    <t>10.1029/SP066</t>
  </si>
  <si>
    <t>BA5PX</t>
  </si>
  <si>
    <t>WOS:000336936500005</t>
  </si>
  <si>
    <t>Ho, M; Kiem, AS; Verdon-Kidd, DC</t>
  </si>
  <si>
    <t>Ho, M.; Kiem, A. S.; Verdon-Kidd, D. C.</t>
  </si>
  <si>
    <t>The Southern Annular Mode: a comparison of indices</t>
  </si>
  <si>
    <t>HYDROLOGY AND EARTH SYSTEM SCIENCES</t>
  </si>
  <si>
    <t>ANTARCTIC OSCILLATION INDEX; MULTI-DECADAL VARIABILITY; AUSTRALIAN RAINFALL; CLIMATE VARIABILITY; EL-NINO; EASTERN AUSTRALIA; INDIAN-OCEAN; PART I; HEMISPHERE; CIRCULATION</t>
  </si>
  <si>
    <t>The Southern Annular Mode (SAM) has been identified as a climate mechanism with potentially significant impacts on the Australian hydroclimate. However, despite the identification of relationships between SAM and Australia's hydroclimate using certain data sets, and focussed on certain time periods, the association has not been extensively explored and significant uncertainties remain. One reason for this is the existence of numerous indices, methods and data sets by which SAM has been approximated. In this paper, the various SAM definitions and indices are reviewed and the similarities and discrepancies are discussed, along with the strengths and weaknesses of each index development approach. Further, the sensitivity of the relationship between SAM and Australian rainfall to choice of SAM index is quantified and recommendations are given as to the most appropriate index to use when assessing the impacts of the SAM on Australia's hydroclimate. Importantly this study highlights the need to consider the impact that the choice of SAM index, and data set used to calculate the index, has on the outcomes of any SAM attribution study.</t>
  </si>
  <si>
    <t>[Ho, M.; Kiem, A. S.; Verdon-Kidd, D. C.] Univ Newcastle, Environm &amp; Climate Change Res Grp, Sch Environm &amp; Life Sci, Fac Sci &amp; Informat Technol, Newcastle, NSW 2300, Australia</t>
  </si>
  <si>
    <t>University of Newcastle</t>
  </si>
  <si>
    <t>Ho, M (corresponding author), Univ Newcastle, Environm &amp; Climate Change Res Grp, Sch Environm &amp; Life Sci, Fac Sci &amp; Informat Technol, Newcastle, NSW 2300, Australia.</t>
  </si>
  <si>
    <t>michelle.ho@uon.edu.au</t>
  </si>
  <si>
    <t>Kiem, Anthony/D-9307-2013; Verdon-Kidd, Danielle/G-7688-2013</t>
  </si>
  <si>
    <t>Kiem, Anthony/0000-0002-3994-6958; Ho, Michelle/0000-0002-1513-8016; Verdon-Kidd, Danielle/0000-0001-5334-4251</t>
  </si>
  <si>
    <t>Australian Postgraduate Award; CSIRO Land Water Flagship; NCCARF Water Network</t>
  </si>
  <si>
    <t>Australian Postgraduate Award(Australian Government); CSIRO Land Water Flagship; NCCARF Water Network</t>
  </si>
  <si>
    <t>MH is supported by the Australian Postgraduate Award with additional assistance from a CSIRO Land &amp; Water Flagship Scholarship and a NCCARF Water Network Scholarship. The authors would like to thank Julie Jones from the University of Sheffield for her provision of her reconstructed SAM index and Martin Visbeck from IFM-GEOMAR, Kiel, Germany for data clarifications, calculation software and provision of the monthly Visbeck index. We would like to thank the two anonymous reviewers and the handling editor for their constructive comments and suggestions that have improved this paper.</t>
  </si>
  <si>
    <t>1027-5606</t>
  </si>
  <si>
    <t>HYDROL EARTH SYST SC</t>
  </si>
  <si>
    <t>Hydrol. Earth Syst. Sci.</t>
  </si>
  <si>
    <t>10.5194/hess-16-967-2012</t>
  </si>
  <si>
    <t>Geosciences, Multidisciplinary; Water Resources</t>
  </si>
  <si>
    <t>Geology; Water Resources</t>
  </si>
  <si>
    <t>917LD</t>
  </si>
  <si>
    <t>WOS:000302176600022</t>
  </si>
  <si>
    <t>Stenhouse, IJ; Egevang, C; Phillips, RA</t>
  </si>
  <si>
    <t>Stenhouse, Iain J.; Egevang, Carsten; Phillips, Richard A.</t>
  </si>
  <si>
    <t>Trans-equatorial migration, staging sites and wintering area of Sabine's Gulls Larus sabini in the Atlantic Ocean</t>
  </si>
  <si>
    <t>IBIS</t>
  </si>
  <si>
    <t>annual cycle; Benguela Upwelling; geolocators; hotspots; Larus sabini; Xema sabini</t>
  </si>
  <si>
    <t>TERNS STERNA-PARADISAEA; XEMA-SABINI; PAGOPHILA-EBURNEA; TRACKING; SEABIRDS; BEHAVIOR; FOOD; GEOLOCATION; MOVEMENTS; PATTERNS</t>
  </si>
  <si>
    <t>The migrations and winter distributions of most seabirds, particularly small pelagic species, remain poorly understood despite their potential as indicators of marine ecosystem health. Here we report the use of miniature archival light loggers (geolocators) to track the annual migration of Sabines Gull Larus sabini, a small (c. 200 g) Arctic-breeding larid. We describe their migratory routes and identify previously unknown staging sites in the Atlantic Ocean, as well as their main Atlantic wintering area in the southern hemisphere. Sabines Gulls breeding in northeast Greenland displayed an average annual migration of almost 32 000 km (n = 6), with the longest return journey spanning close to 39 000 km (not including local movements at staging sites or within the wintering area). On their southern migration, they spent an average of 45 days in the Bay of Biscay and Iberian Sea, off the coasts of France, Spain and Portugal. They all wintered in close association with the cold waters of the Benguela Upwelling, spending an average of 152 days in that area. On their return north, Sabines Gulls staged off the west African coast (Morocco, Mauritania, Senegal), spending on average 19 days at this site. This leg of migration was particularly rapid, birds travelling an average of 813 km/day, assisted by the prevailing winds. Sabines Gulls generally followed a similar path on their outbound and return migrations, and did not exhibit the broad figure-of-eight pattern (anti clockwise in the southern hemisphere and clockwise in the northern hemisphere) seen in other trans-equatorial seabirds in the Atlantic and Pacific oceans.</t>
  </si>
  <si>
    <t>[Stenhouse, Iain J.] BioDivers Res Inst, Gorham, ME 04038 USA; [Egevang, Carsten] Greenland Inst Nat Resources, Dept Mammals &amp; Birds, Nuuk 3900, Greenland; [Phillips, Richard A.] British Antarctic Survey, Nat Environm Res Council, Cambridge CB3 0ET, England</t>
  </si>
  <si>
    <t>Greenland Institute of Natural Resources; UK Research &amp; Innovation (UKRI); Natural Environment Research Council (NERC); NERC British Antarctic Survey</t>
  </si>
  <si>
    <t>Stenhouse, IJ (corresponding author), BioDivers Res Inst, 652 Main St, Gorham, ME 04038 USA.</t>
  </si>
  <si>
    <t>iain.stenhouse@briloon.org</t>
  </si>
  <si>
    <t>Commission for Scientific Research in Greenland (KVUG); Greenland Institute of Natural Resources (GINR); British Antarctic Survey (BAS); National Environmental Research Institute, Aarhus University (NERI); NERC [bas0100025] Funding Source: UKRI; Natural Environment Research Council [bas0100025] Funding Source: researchfish</t>
  </si>
  <si>
    <t>Commission for Scientific Research in Greenland (KVUG); Greenland Institute of Natural Resources (GINR); British Antarctic Survey (BAS); National Environmental Research Institute, Aarhus University (NERI); NERC(UK Research &amp; Innovation (UKRI)Natural Environment Research Council (NERC)); Natural Environment Research Council(UK Research &amp; Innovation (UKRI)Natural Environment Research Council (NERC))</t>
  </si>
  <si>
    <t>We thank the Commission for Scientific Research in Greenland (KVUG), Greenland Institute of Natural Resources (GINR), British Antarctic Survey (BAS) and the National Environmental Research Institute, Aarhus University (NERI), for funding and support. We are grateful to L. M. Rasmussen (GINR), Fernando Ugarte (GINR) and M. W. Kristensen (University of Copenhagen) for field assistance, Helene Schledermann (NERI) for GIS assistance, and the Danish Polar Centre, Polog, and Sledge patrol Sirius for logistical assistance. We are indebted to James Fox (BAS) and Vsevolod Afanasyev (BAS) for device development and Janet Silk (BAS) for help with geolocation analyses. We also thank Borge Moe and an anonymous reviewer for their extremely helpful comments and editorial suggestions. This study represents a contribution to the British Antarctic Survey Ecosystems Programme.</t>
  </si>
  <si>
    <t>0019-1019</t>
  </si>
  <si>
    <t>1474-919X</t>
  </si>
  <si>
    <t>Ibis</t>
  </si>
  <si>
    <t>10.1111/j.1474-919X.2011.01180.x</t>
  </si>
  <si>
    <t>865TO</t>
  </si>
  <si>
    <t>WOS:000298333400006</t>
  </si>
  <si>
    <t>Suominen, M; Kujala, P</t>
  </si>
  <si>
    <t>Li, Z; Lu, P</t>
  </si>
  <si>
    <t>Suominen, Mikko; Kujala, Pentti</t>
  </si>
  <si>
    <t>Ice Model Tests in Compressive Ice</t>
  </si>
  <si>
    <t>ICE RESEARCH FOR A SUSTAINABLE ENVIRONMENT, VOLS I &amp; II</t>
  </si>
  <si>
    <t>21st IAHR International Symposium on Ice</t>
  </si>
  <si>
    <t>JUN 11-15, 2012</t>
  </si>
  <si>
    <t>Dalian Univ Technol, Dalian, PEOPLES R CHINA</t>
  </si>
  <si>
    <t>Dalian Univ Technol</t>
  </si>
  <si>
    <t>Dynamic and compressive ice fields cause difficulties for ships operating in ice. Ships might get stuck or even get damaged in a compressive ice field due to the compressive forces. Especially ships with a long parallel midship are vulnerable to compressive ice forces. In the EU FP7 project called SAFEWIN the risks and impacts of compressive ice fields on ships are investigated. Ice model tests are conducted in the ice basin of Aalto University within the project with a tanker model in compressive ice fields. The aim of the tests is to determine the increase of ice resistance resulting from compression in the ice field. In addition, ice loads and ice pressures are measured on the bow shoulder and the parallel midship areas simultaneously with load sensors and tactile pressure sensor sheets. In order to determine the increase of ice resistance and ice loads resulting from different compressive situations, the tests are conducted in compressive level ice fields and in closing channels with different ice thicknesses and different compression levels. The resistance and ice loads are measured with and without compression in the same ice sheet and the measurements are compared between. The compressive force in the ice field and closing channel are created with pushing plates mounted on the testing rig and the compressive force is measured from the plates with load sensors. Test procedures and set-up are described in this paper and the measurements of the rig-imposed ice forces are given. The preliminary assessments of the added resistance and ice loads are presented.</t>
  </si>
  <si>
    <t>[Suominen, Mikko; Kujala, Pentti] Aalto Univ, Dept Appl Mech, Aalto, Finland</t>
  </si>
  <si>
    <t>Aalto University</t>
  </si>
  <si>
    <t>Suominen, M (corresponding author), Aalto Univ, Dept Appl Mech, Aalto, Finland.</t>
  </si>
  <si>
    <t>mikko.suominen@aalto.fi</t>
  </si>
  <si>
    <t>Kujala, Pentti JS/B-3780-2011; Suominen, Mikko/D-6571-2012</t>
  </si>
  <si>
    <t>Suominen, Mikko/0000-0001-9758-9365</t>
  </si>
  <si>
    <t>European Commission; VTT personnel Kari Kolari</t>
  </si>
  <si>
    <t>European Commission(European Union (EU)European Commission Joint Research Centre); VTT personnel Kari Kolari</t>
  </si>
  <si>
    <t>The model tests presented in this paper were conducted within EU FP7 project called SAFEWIN. The funding came from European Commission, which is here gratefully acknowledged. The line drawings of the ship model were received from FKAB, which enabled to conduct the model tests with a ship model of an existing ship. Their contribution is also gratefully acknowledged. The support from VTT personnel Kari Kolari and Pieti Marjavaara is also recognized. Furthermore the writers want to thank all the project partners AS2CON, Arctic and Antarctic Research Institute, Finnish Meteorological Institute, Finnish Transport Agency, ILS Oy, Stena Rederi AB, Swedish Maritime Administration, Swedish Meteorological and Hydrological Institute, Tallinn University of Technology and AS Tallink Group. Special thanks to Jonathan Howell and Andrew Manuel for processing the collected data and the staff of Aalto University.</t>
  </si>
  <si>
    <t>DALIAN UNIV TECHNOL PRESS</t>
  </si>
  <si>
    <t>DALIAN</t>
  </si>
  <si>
    <t>2 LINGGONG RD, DALIAN 116024, PEOPLES R CHINA</t>
  </si>
  <si>
    <t>978-7-89437-020-4</t>
  </si>
  <si>
    <t>Green &amp; Sustainable Science &amp; Technology; Engineering, Environmental; Water Resources</t>
  </si>
  <si>
    <t>Science &amp; Technology - Other Topics; Engineering; Water Resources</t>
  </si>
  <si>
    <t>BH0XA</t>
  </si>
  <si>
    <t>WOS:000396804100100</t>
  </si>
  <si>
    <t>Tolstikov, A; Sharov, A</t>
  </si>
  <si>
    <t>Tolstikov, Alexey; Sharov, Andrey</t>
  </si>
  <si>
    <t>Seasonal Variability of Antarctic Ice-covered Lakes Ecosystems, Eastern Antarctica</t>
  </si>
  <si>
    <t>Features of the hydrological (temperature, conductivity, solar radiation) and biological (phytoplankton, zooplankton and bottom communities) regimes of 27 diverse lakes in the oases of Eastern Antarctica: The Thala Hills, Schirmacher and Larsemann Hills in the summer period 2010-2011 are investigated. The main aim was to compare the dynamics of hydrological regime and biological components of lakes related to changes in environmental conditions and comparing the data with the results obtained by other authors. Appearance of ice-free period in the deep lakes of East Antarctica is accompanied by a decrease in biological activity of organisms. Effect of warming is marked in some lakes of Schirmacher Oasis.</t>
  </si>
  <si>
    <t>[Tolstikov, Alexey; Sharov, Andrey] RAS, Karelian Res Ctr, Northern Water Problems Inst, Petrozavodsk, Russia</t>
  </si>
  <si>
    <t>Russian Academy of Sciences; Karelian Research Centre of the Russian Academy of Sciences; Northern Water Problems Institute, Karelian Scientific Center, RAS</t>
  </si>
  <si>
    <t>Tolstikov, A (corresponding author), RAS, Karelian Res Ctr, Northern Water Problems Inst, Petrozavodsk, Russia.</t>
  </si>
  <si>
    <t>alexeytolstikov@mail.ru</t>
  </si>
  <si>
    <t>Tolstikov, Alexey/J-4579-2018; Sharov, Andrey/K-4222-2013</t>
  </si>
  <si>
    <t>Tolstikov, Alexey/0000-0002-7690-3404; Sharov, Andrey/0000-0001-7581-2538</t>
  </si>
  <si>
    <t>Russian Foundation for Basic Research [10-05-00963]</t>
  </si>
  <si>
    <t>Russian Foundation for Basic Research(Russian Foundation for Basic Research (RFBR)Spanish Government)</t>
  </si>
  <si>
    <t>The study was supported by grants from the Russian Foundation for Basic Research (grant 10-05-00963). The authors thank the chief of Molodezhnaya station V.V. Kiselev for assistance with our work.</t>
  </si>
  <si>
    <t>WOS:000396804100117</t>
  </si>
  <si>
    <t>Hanifah, NA; Shah, RM; Hashim, R</t>
  </si>
  <si>
    <t>Dan, Y</t>
  </si>
  <si>
    <t>Hanifah, Norha A.; Shah, Rohani M.; Hashim, Rugayah</t>
  </si>
  <si>
    <t>Impact of Human Activities in Antarctica: Dissecting the Concepts of Ecologically Sustainable Development and Natural Reserve for Peace and Science</t>
  </si>
  <si>
    <t>INTERNATIONAL CONFERENCE ON ENVIRONMENTAL SCIENCE AND DEVELOPMENT (ICESD 2012)</t>
  </si>
  <si>
    <t>APCBEE Procedia</t>
  </si>
  <si>
    <t>3rd International Conference on Environmental Science and Development (ICESD)</t>
  </si>
  <si>
    <t>JAN 05-07, 2012</t>
  </si>
  <si>
    <t>Hong Kong, PEOPLES R CHINA</t>
  </si>
  <si>
    <t>Human activities in Antarctica; natural reserve; ecologically sustainable development</t>
  </si>
  <si>
    <t>Based on International Association of Antarctica Tour Operations (IAATO) survey from 1991 until 2006, the Antarctic tourist season that runs from October to April has grown from around 6,000 visitors in the mid-1990s to 35,000 in 2006. In 1991, there is a recognition of the potential environmental impact on the Antarctic that has supports immense marine biodiversity, including numerous species of seabirds, penguins as well as seals, whales and countless billions of marine invertebrates. Through the 1959 Antarctic Treaty and the adoption of the Environmental Protocol 1991, Antarctica is recognized as a natural reserve devoted to peace and science. The aim of this paper is to highlight the importance of conserving Antarctica by complying with the two concepts below. Concepts on sustainable development such as the Ecologically Sustainable Development need to be revisited to enhance the concept of 'natural reserve, devoted to peace and science' for the Antarctica. Using the qualitative methodology, questions that need to be answered are - whether the national operating agencies take into consideration the qualitative growth as compared to quantitative growth in Antarctica. Also whether the increase in human population in Antarctica (number of tourists and visitors) has adverse effects to the natural reserve? (C) 2012 The Authors. Published by Elsevier B. V. Selection and/or peer review under responsibility of Asia-Pacific Chemical, Biological &amp; Environmental Engineering Society</t>
  </si>
  <si>
    <t>[Hanifah, Norha A.; Shah, Rohani M.] Univ Teknol MARA, Fac Law, Shah Alam, Malaysia; [Hashim, Rugayah] Univ Teknologi MARA, Res Management Inst, Shah Alam, Malaysia</t>
  </si>
  <si>
    <t>Universiti Teknologi MARA; Universiti Teknologi MARA</t>
  </si>
  <si>
    <t>Hanifah, NA (corresponding author), Univ Teknol MARA, Fac Law, Shah Alam, Malaysia.</t>
  </si>
  <si>
    <t>norha99@yahoo.com</t>
  </si>
  <si>
    <t>Hashim, Rugayah Gy/C-9708-2010</t>
  </si>
  <si>
    <t>Hashim, Rugayah Gy/0000-0002-4807-9024</t>
  </si>
  <si>
    <t>Malaysian Antarctic Research Program [LRGS 2011]</t>
  </si>
  <si>
    <t>Malaysian Antarctic Research Program</t>
  </si>
  <si>
    <t>This is a partial research for the research grant on Antarctica from the Malaysian Antarctic Research Program ( LRGS 2011).</t>
  </si>
  <si>
    <t>SARA BURGERHARTSTRAAT 25, PO BOX 211, 1000 AE AMSTERDAM, NETHERLANDS</t>
  </si>
  <si>
    <t>2212-6708</t>
  </si>
  <si>
    <t>APCBEE PROC</t>
  </si>
  <si>
    <t>10.1016/j.apcbee.2012.03.028</t>
  </si>
  <si>
    <t>Engineering, Environmental; Environmental Sciences</t>
  </si>
  <si>
    <t>Engineering; Environmental Sciences &amp; Ecology</t>
  </si>
  <si>
    <t>BDQ59</t>
  </si>
  <si>
    <t>WOS:000314466700027</t>
  </si>
  <si>
    <t>Dahl, E</t>
  </si>
  <si>
    <t>Dahl, Eilif</t>
  </si>
  <si>
    <t>Acute abdominal pain during an Antarctic cruise - a case report</t>
  </si>
  <si>
    <t>INTERNATIONAL MARITIME HEALTH</t>
  </si>
  <si>
    <t>acute appendicitis; conservative treatment; cruise medicine; pre-employment medical examination</t>
  </si>
  <si>
    <t>A 21-year-old female crew member experienced a number of medical conditions during a summer cruise to the Antarctic Peninsula. At one point symptoms and signs strongly suggested acute appendicitis. She was monitored and treated conservatively on board and recovered uneventfully without surgery. Later she had a biliary colic attack and then an allergic reaction to the pain medication given. The pre-employment medical fitness certificate cannot always be trusted regarding previous history of allergies and medical conditions.</t>
  </si>
  <si>
    <t>[Dahl, Eilif] Univ Bergen, Inst Med, Bergen, Norway; [Dahl, Eilif] Haukeland Hosp, Norwegian Ctr Maritime Med, Bergen, Norway</t>
  </si>
  <si>
    <t>University of Bergen; University of Bergen; Haukeland University Hospital</t>
  </si>
  <si>
    <t>Dahl, E (corresponding author), Dahls Gate 50A, N-0260 Oslo, Norway.</t>
  </si>
  <si>
    <t>eilifdahl@hotmail.com</t>
  </si>
  <si>
    <t>VIA MEDICA</t>
  </si>
  <si>
    <t>GDANSK</t>
  </si>
  <si>
    <t>UL SWIETOKRZYSKA 73, 80-180 GDANSK, POLAND</t>
  </si>
  <si>
    <t>1641-9251</t>
  </si>
  <si>
    <t>2081-3252</t>
  </si>
  <si>
    <t>INT MARIT HEALTH</t>
  </si>
  <si>
    <t>Int. Marit. Health</t>
  </si>
  <si>
    <t>Public, Environmental &amp; Occupational Health</t>
  </si>
  <si>
    <t>V1F3A</t>
  </si>
  <si>
    <t>WOS:000216851300005</t>
  </si>
  <si>
    <t>Czechowski, P; Sands, CJ; Adams, BJ; D'Haese, CA; Gibson, JAE; McInnes, SJ; Stevens, MI</t>
  </si>
  <si>
    <t>Czechowski, Paul; Sands, Chester J.; Adams, Byron J.; D'Haese, Cyrille A.; Gibson, John A. E.; McInnes, Sandra J.; Stevens, Mark I.</t>
  </si>
  <si>
    <t>Antarctic Tardigrada: a first step in understanding molecular operational taxonomic units (MOTUs) and biogeography of cryptic meiofauna</t>
  </si>
  <si>
    <t>INVERTEBRATE SYSTEMATICS</t>
  </si>
  <si>
    <t>DRONNING-MAUD-LAND; MAXIMUM-LIKELIHOOD-ESTIMATION; VICTORIA LAND; SUBSTITUTION RATES; GLACIAL HISTORY; TERRESTRIAL; NEMATODES; DNA; DISPERSAL; MOUNTAINS</t>
  </si>
  <si>
    <t>Recent studies have suggested that some resident Antarctic biota are of ancient origin and may have been isolated for millions of years. The phylum Tardigrada, which is part of the Antarctic terrestrial meiofauna, is of particular interest due to an impressive array of biochemical abilities to withstand harsh environmental conditions. Tardigrades are one of the few widespread Antarctic terrestrial animals that have the potential to be used as a model for evolution and biogeography on the Antarctic continent. We isolated 126 individual tardigrades from four geographically isolated soil samples from two remote nunataks in the Sor Rondane Mountains, Dronning Maud Land, Antarctica. We examined genetic variation among individuals utilising three gene regions: cytochrome c oxidase subunit I gene (COI), 18S rDNA (18S), and the wingless (Wg) gene. Comparison of sequences from worldwide and Antarctic tardigrades indicated long-term survival and isolation over glacially dominated periods in ice-free habitats in the Sor Rondane Mountains.</t>
  </si>
  <si>
    <t>[Czechowski, Paul; Stevens, Mark I.] Univ Adelaide, Sch Earth &amp; Environm Sci, Adelaide, SA 5005, Australia; [Czechowski, Paul] Univ Leipzig, D-04103 Leipzig, Germany; [Czechowski, Paul; Sands, Chester J.; McInnes, Sandra J.] British Antarctic Survey, NERC, Cambridge CB3 0ET, England; [Adams, Byron J.] Brigham Young Univ, Dept Biol, Provo, UT 84602 USA; [D'Haese, Cyrille A.] Museum Natl Hist Nat, Dept Systemat &amp; Evolut, CNRS, UMR Origine Struct &amp; Evolut Biodiversite 7205, F-75231 Paris 05, France; [Gibson, John A. E.] Univ Tasmania, Inst Marine &amp; Antarct Studies, Hobart, Tas 7001, Australia; [Stevens, Mark I.] S Australian Museum, Adelaide, SA 5000, Australia</t>
  </si>
  <si>
    <t>University of Adelaide; Leipzig University; UK Research &amp; Innovation (UKRI); Natural Environment Research Council (NERC); NERC British Antarctic Survey; Brigham Young University; Museum National d'Histoire Naturelle (MNHN); Centre National de la Recherche Scientifique (CNRS); University of Tasmania</t>
  </si>
  <si>
    <t>Stevens, MI (corresponding author), Univ Adelaide, Sch Earth &amp; Environm Sci, Adelaide, SA 5005, Australia.</t>
  </si>
  <si>
    <t>mark.stevens@samuseum.sa.gov.au</t>
  </si>
  <si>
    <t>D'HAESE, Cyrille A./D-4896-2012; Czechowski, Paul/M-4749-2019; McInnes, Sandra/AAN-4773-2020; Adams, Byron/C-3808-2009</t>
  </si>
  <si>
    <t>Czechowski, Paul/0000-0001-7894-4042; McInnes, Sandra/0000-0003-3403-9379; Sands, Chester/0000-0003-1028-0328; Adams, Byron/0000-0002-7815-3352</t>
  </si>
  <si>
    <t>Australian Antarctic Division project [ASAC 2355]; United States National Science Foundation [ANT-0840979]; European Commission for Education and Training from the ERASMUS Program; NERC [bas0100025] Funding Source: UKRI; Natural Environment Research Council [bas0100025] Funding Source: researchfish</t>
  </si>
  <si>
    <t>Australian Antarctic Division project; United States National Science Foundation(National Science Foundation (NSF)); European Commission for Education and Training from the ERASMUS Program; NERC(UK Research &amp; Innovation (UKRI)Natural Environment Research Council (NERC)); Natural Environment Research Council(UK Research &amp; Innovation (UKRI)Natural Environment Research Council (NERC))</t>
  </si>
  <si>
    <t>We thank two anonymous reviewers for helpful comments on the manuscript. We are indebted to Annick Wilmotte for her invitation to join the Belgium BELDIVA (2009) expedition to the Sor Rondane Mountains and for her assistance in the field, and to Jeremy Whiting for DNA sequencing, Peter Fretwell (BAS) for assistance with Fig. 1, and Professor Dr Martin Schlegel (University of Leipzig) for assistance (to PC) throughout the study. All laboratory work was undertaken at the British Antarctic Survey within the Coastal and Terrestrial monitoring workpackage (CJS), in collaboration with Australian Antarctic Division project ASAC 2355 (MIS and BJA) and at Brigham Young University with the support of the United States National Science Foundation ANT-0840979 (BJA). Support was provided by the European Commission for Education and Training for funding from the ERASMUS Program to PC. This paper contributes to the SCAR EBA research programs.</t>
  </si>
  <si>
    <t>CSIRO PUBLISHING</t>
  </si>
  <si>
    <t>CLAYTON</t>
  </si>
  <si>
    <t>UNIPARK, BLDG 1, LEVEL 1, 195 WELLINGTON RD, LOCKED BAG 10, CLAYTON, VIC 3168, AUSTRALIA</t>
  </si>
  <si>
    <t>1445-5226</t>
  </si>
  <si>
    <t>1447-2600</t>
  </si>
  <si>
    <t>INVERTEBR SYST</t>
  </si>
  <si>
    <t>Invertebr. Syst.</t>
  </si>
  <si>
    <t>5-6</t>
  </si>
  <si>
    <t>10.1071/IS12034</t>
  </si>
  <si>
    <t>Evolutionary Biology; Zoology</t>
  </si>
  <si>
    <t>056JG</t>
  </si>
  <si>
    <t>WOS:000312483900010</t>
  </si>
  <si>
    <t>Spolaor, A; Vallelonga, P; Gabrieli, J; Cozzi, G; Boutron, C; Barbante, C</t>
  </si>
  <si>
    <t>Spolaor, Andrea; Vallelonga, Paul; Gabrieli, Jacopo; Cozzi, Giulio; Boutron, Claude; Barbante, Carlo</t>
  </si>
  <si>
    <t>Determination of Fe2+ and Fe3+ species by FIA-CRC-ICP-MS in Antarctic ice samples</t>
  </si>
  <si>
    <t>JOURNAL OF ANALYTICAL ATOMIC SPECTROMETRY</t>
  </si>
  <si>
    <t>CATHODIC STRIPPING VOLTAMMETRY; PLASMA-MASS SPECTROMETRY; SOUTHERN-OCEAN; PHYTOPLANKTON BLOOM; CHEMICAL SPECIATION; IRON FERTILIZATION; FE(II) OXIDATION; CHELATING RESIN; SEAWATER; PRECONCENTRATION</t>
  </si>
  <si>
    <t>Iron is an element of great interest due to its role in primary production and in oceanic carbon cycle regulation, such that past changes in iron deposition may have influenced oceanic sequestration of atmospheric CO2 on millennial time scales. The behavior of iron in biological and environmental contexts depends strongly on its oxidation state. Solubility in water and the capacity to form complexes are just two important characteristics that are species dependent. Distinguishing between the two iron species, Fe(II) and Fe(III), is necessary to evaluate bioavailability, as Fe(II) is more soluble and therefore more readily available for phytoplankton uptake and growth. Here, we present a novel analytical method for iron speciation analysis using Collision Reaction Cell-Inductively Coupled Plasma-Mass Spectrometry (CRC-ICP-MS) and apply it to ice core samples from Talos Dome, Antarctica. The method detection limit is 0.01 ng g(-1). A chelating resin, Ni-NTA Superflow, was used to separate the Fe species. At pH 2 the resin is capable of retaining Fe3+ with no retention of Fe2+. After the initial separation, we oxidized the Fe2+ using H2O2, and determined the Fe2+ concentration as the difference between the two measurements. Our preliminary results demonstrate higher Fe2+ concentrations during glacial periods than during interglacial periods. This elevated concentration of Fe2+ suggests that more iron was available for phytoplankton growth during the Last Glacial Maximum, than would be expected from measurements of proxies such as dust mass or total Fe.</t>
  </si>
  <si>
    <t>[Spolaor, Andrea; Barbante, Carlo] Univ Ca Foscari Venice, Dept Environm Sci Informat &amp; Stat, I-30123 Venice, Italy; [Spolaor, Andrea] Univ Siena, Dept Earth Sci, I-53100 Siena, Italy; [Vallelonga, Paul] Niels Bohr Inst, Ctr Ice &amp; Climate, DK-2100 Copenhagen, Denmark; [Vallelonga, Paul; Gabrieli, Jacopo; Cozzi, Giulio; Barbante, Carlo] Univ Venice, Inst Dynam Environm Proc CNR, I-30123 Venice, Italy; [Barbante, Carlo] Accademia Nazl Lincei, Ctr Beniamino Segre, I-00165 Rome, Italy; [Boutron, Claude] Lab Glaciol &amp; Geophys Environm UMR UJF CNRS 5183, F-38402 St Martin Dheres, France</t>
  </si>
  <si>
    <t>Universita Ca Foscari Venezia; University of Siena; University of Copenhagen; Niels Bohr Institute; Universita Ca Foscari Venezia; Consiglio Nazionale delle Ricerche (CNR); Istituto per la Dinamica dei Processi Ambientali (IDPA-CNR); Centre National de la Recherche Scientifique (CNRS); Communaute Universite Grenoble Alpes; Universite Grenoble Alpes (UGA)</t>
  </si>
  <si>
    <t>Barbante, C (corresponding author), Univ Ca Foscari Venice, Dept Environm Sci Informat &amp; Stat, Dorsoduro 2137, I-30123 Venice, Italy.</t>
  </si>
  <si>
    <t>barbante@unive.it</t>
  </si>
  <si>
    <t>Cozzi, Giulio/R-4554-2019; Spolaor, Andrea/AAX-8808-2020; Barbante, Carlo/B-3195-2011; Cozzi, Giulio/F-6473-2010; Vallelonga, Paul/I-9650-2016</t>
  </si>
  <si>
    <t>Cozzi, Giulio/0000-0001-8796-4176; Spolaor, Andrea/0000-0001-8635-9193; Vallelonga, Paul/0000-0003-1055-7235; Jacopo, Gabrieli/0009-0001-7005-7390; Barbante, Carlo/0000-0003-4177-2288</t>
  </si>
  <si>
    <t>University of Siena; IDPA-CNR (Institute for the Dynamics of Environmental Processes, National Research Council); EU [MIF1-CT-2006-039529, TDI-COSO]; European Commission [243908]</t>
  </si>
  <si>
    <t>University of Siena; IDPA-CNR (Institute for the Dynamics of Environmental Processes, National Research Council); EU(European Union (EU)); European Commission(European Union (EU)European Commission Joint Research Centre)</t>
  </si>
  <si>
    <t>This work was supported by University of Siena and IDPA-CNR (Institute for the Dynamics of Environmental Processes, National Research Council). PV acknowledges the support of an EU Marie Curie IIF Fellowship (MIF1-CT-2006-039529, TDI-COSO). We thank all colleagues in the University of Venice Environmental Analytical Chemistry Laboratory for instrumental assistance, technical information and English corrections. Roberto Zuliani is especially thanked for technical assistance and development of the software used for the manifold control. The Talos Dome Ice core Project (TALDICE), a joint European programme, is funded by national contributions from Italy, France, Germany, Switzerland and the United Kingdom. Primary logistical support was provided by PNRA at Talos Dome. This is TALDICE publication number 14. This work was supported by funding to the Past4Future project from the European Commission's 7th Framework Programme, grant number 243908, and is Past4Future contribution number 13.</t>
  </si>
  <si>
    <t>0267-9477</t>
  </si>
  <si>
    <t>1364-5544</t>
  </si>
  <si>
    <t>J ANAL ATOM SPECTROM</t>
  </si>
  <si>
    <t>J. Anal. At. Spectrom.</t>
  </si>
  <si>
    <t>10.1039/c1ja10276a</t>
  </si>
  <si>
    <t>Chemistry, Analytical; Spectroscopy</t>
  </si>
  <si>
    <t>Chemistry; Spectroscopy</t>
  </si>
  <si>
    <t>878YG</t>
  </si>
  <si>
    <t>WOS:000299292900013</t>
  </si>
  <si>
    <t>Anderson, C; Figa, J; Bonekamp, H; Wilson, JJW; Verspeek, J; Stoffelen, A; Portabella, M</t>
  </si>
  <si>
    <t>Anderson, C.; Figa, J.; Bonekamp, H.; Wilson, J. J. W.; Verspeek, J.; Stoffelen, A.; Portabella, M.</t>
  </si>
  <si>
    <t>Validation of Backscatter Measurements from the Advanced Scatterometer on MetOp-A</t>
  </si>
  <si>
    <t>JOURNAL OF ATMOSPHERIC AND OCEANIC TECHNOLOGY</t>
  </si>
  <si>
    <t>CALIBRATION; ASCAT</t>
  </si>
  <si>
    <t>The Advanced Scatterometer (ASCAT) on the Meteorological Operational (MetOp) series of satellites is designed to provide data for the retrieval of ocean wind fields. Three transponders were used to give an absolute calibration and the worst-case calibration error is estimated to be 0.15-0.25 dB. In this paper the calibrated data are validated by comparing the backscatter from a range of naturally distributed targets against models developed from European Remote Sensing Satellite (ERS) scatterometer data. For the Amazon rainforest it is found that the isotropic backscatter decreases from -6.2 to -6.8 dB over the incidence angle range. The ERS value is around -6.5 dB. All ASCAT beams are within 0.1 dB of each other. Rainforest backscatter over a 3-yr period is found to be very stable with annual changes of approximately 0.02 dB. ASCAT ocean backscatter is compared against values from the C-band geophysical model function (CMOD-5) using ECMWF wind fields. A difference of approximately 0.2 dB below 55 degrees incidence is found. Differences of over 1 dB above 55 degrees are likely due to inaccuracies in CMOD-5, which has not been fully validated at large incidence angles. All beams are within 0.1 dB of each other. Backscatter from regions of stable Antarctic sea ice is found to be consistent with model backscatter except at large incidence angles where the model has not been validated. The noise in the ice backscatter indicates that the normalized standard deviation of the backscatter values K-p is around 4.5%, which is consistent with the expected value. These results agree well with the expected calibration accuracy and give confidence that the calibration has been successful and that ASCAT products are of high quality.</t>
  </si>
  <si>
    <t>[Anderson, C.; Figa, J.; Bonekamp, H.; Wilson, J. J. W.] EUMETSAT, D-64295 Darmstadt, Germany; [Verspeek, J.; Stoffelen, A.] KNMI, De Bilt, Netherlands; [Portabella, M.] Unitat Tecnol Marina UTM CSIC, Barcelona, Spain</t>
  </si>
  <si>
    <t>European Organisation for the Exploitation of Meteorological Satellites; Royal Netherlands Meteorological Institute; Consejo Superior de Investigaciones Cientificas (CSIC); CSIC - Centro Mediterraneo de Investigaciones Marinas y Ambientales (CMIMA); CSIC - Unidad de Tecnologia Marina (UTM)</t>
  </si>
  <si>
    <t>Anderson, C (corresponding author), EUMETSAT, EUMETSAT Allee 1, D-64295 Darmstadt, Germany.</t>
  </si>
  <si>
    <t>craig.anderson@eumetsat.int</t>
  </si>
  <si>
    <t>Portabella, Marcos/JCO-4052-2023; Stoffelen, Ad/AAF-3524-2020; Portabella, Marcos/A-9511-2015</t>
  </si>
  <si>
    <t>Portabella, Marcos/0000-0002-9972-9090; Stoffelen, Ad/0000-0002-4018-4073; Portabella, Marcos/0000-0002-9972-9090</t>
  </si>
  <si>
    <t>AMER METEOROLOGICAL SOC</t>
  </si>
  <si>
    <t>BOSTON</t>
  </si>
  <si>
    <t>45 BEACON ST, BOSTON, MA 02108-3693 USA</t>
  </si>
  <si>
    <t>0739-0572</t>
  </si>
  <si>
    <t>1520-0426</t>
  </si>
  <si>
    <t>J ATMOS OCEAN TECH</t>
  </si>
  <si>
    <t>J. Atmos. Ocean. Technol.</t>
  </si>
  <si>
    <t>10.1175/JTECH-D-11-00020.1</t>
  </si>
  <si>
    <t>Engineering, Ocean; Meteorology &amp; Atmospheric Sciences</t>
  </si>
  <si>
    <t>Engineering; Meteorology &amp; Atmospheric Sciences</t>
  </si>
  <si>
    <t>881PA</t>
  </si>
  <si>
    <t>Green Submitted, Bronze</t>
  </si>
  <si>
    <t>WOS:000299497400006</t>
  </si>
  <si>
    <t>Kosugi, T; Hayashi, S</t>
  </si>
  <si>
    <t>Kosugi, Takahiro; Hayashi, Shigehiko</t>
  </si>
  <si>
    <t>QM/MM Reweighting Free Energy SCF for Geometry Optimization on Extensive Free Energy Surface of Enzymatic Reaction</t>
  </si>
  <si>
    <t>JOURNAL OF CHEMICAL THEORY AND COMPUTATION</t>
  </si>
  <si>
    <t>MEAN-FIELD APPROXIMATION; ALPHA-AMYLASE; GRADIENT-METHOD; PROTON-TRANSFER; QUANTUM; DYNAMICS; SIMULATIONS; STABILITY; ENZYMES; SYSTEMS</t>
  </si>
  <si>
    <t>We developed a quantum mechanical/molecular mechanical (QM/MM) free energy geometry optimization method by which the geometry of a quantum chemically treated (QM) molecule is optimized on a free energy surface defined with thermal distribution of the surrounding molecular environment obtained by molecular dynamics simulation with a molecular mechanics (MM) force field. The method called QM/MM reweighting free energy self-consistent field combines a mean field theory of QM/MM free energy geometry optimization developed by Yamamoto (Yamamoto, T. J. Chem. Phys. 2008, 129, 244104) with a reweighting scheme for updating the MM distribution introduced by Hu et al. (Hu, H, et al. J. Chem. Phys. 2008, 128, 034105) and features high computational efficiency suitable for exploring the reaction free energy surface of extensive protein conformational space. The computational efficiency with improved treatment of a long-range electrostatic (ES) interaction using the Ewald summation technique permits one to take into account global conformational relaxation of an entire protein of an enzyme in the free energy geometry optimization of its reaction center. We applied the method to an enzymatic reaction of a substrate complex of psychrophilic a-amylase from Antarctic bacterium Pseudoalteromonas haloplanktis and succeeded in geometry optimizations of the reactant and the product of the catalytic reaction that involve large conformational changes of protein loops adjacent to the reaction center on time scales reaching sub-microseconds. We found that the adjacent loops in the reactant and the product form in different conformations and produce catalytic ES potentials on the reaction center.</t>
  </si>
  <si>
    <t>[Kosugi, Takahiro; Hayashi, Shigehiko] Kyoto Univ, Dept Chem, Grad Sch Sci, Kyoto 6068502, Japan</t>
  </si>
  <si>
    <t>Kyoto University</t>
  </si>
  <si>
    <t>Hayashi, S (corresponding author), Kyoto Univ, Dept Chem, Grad Sch Sci, Kyoto 6068502, Japan.</t>
  </si>
  <si>
    <t>hayashig@kuchem.kyoto-u.ac.jp</t>
  </si>
  <si>
    <t>Kosugi, Takahiro/0000-0002-6289-5319</t>
  </si>
  <si>
    <t>Japan Society for the Promotion of Science (JSPS) [23700580]; Ministry of Education, Culture, Sports, Science, and Technology, Japan [18074004, 23107717]; Research and Development of the Next-Generation Integrated Simulation of Living Matter; Global COE; Grants-in-Aid for Scientific Research [18074004] Funding Source: KAKEN</t>
  </si>
  <si>
    <t>Japan Society for the Promotion of Science (JSPS)(Ministry of Education, Culture, Sports, Science and Technology, Japan (MEXT)Japan Society for the Promotion of Science); Ministry of Education, Culture, Sports, Science, and Technology, Japan(Ministry of Education, Culture, Sports, Science and Technology, Japan (MEXT)); Research and Development of the Next-Generation Integrated Simulation of Living Matter(Ministry of Education, Culture, Sports, Science and Technology, Japan (MEXT)); Global COE(Ministry of Education, Culture, Sports, Science and Technology, Japan (MEXT)); Grants-in-Aid for Scientific Research(Ministry of Education, Culture, Sports, Science and Technology, Japan (MEXT)Japan Society for the Promotion of ScienceGrants-in-Aid for Scientific Research (KAKENHI))</t>
  </si>
  <si>
    <t>The study was supported by research fellowships for young scientist from the Japan Society for the Promotion of Science (JSPS) to T.K.;, by a Grant-in-Aid for Scientific Research on Priority Areas (18074004) and that on Innovative Areas (23107717) from the Ministry of Education, Culture, Sports, Science, and Technology, Japan; by a Grant-in-Aid for Scientific Research from JSPS (23700580); by Research and Development of the Next-Generation Integrated Simulation of Living Matter; and the Global COE program International Center for Integrated Research and Advanced Education in Materials Science. The molecular images were created with VMD.</t>
  </si>
  <si>
    <t>AMER CHEMICAL SOC</t>
  </si>
  <si>
    <t>1155 16TH ST, NW, WASHINGTON, DC 20036 USA</t>
  </si>
  <si>
    <t>1549-9618</t>
  </si>
  <si>
    <t>J CHEM THEORY COMPUT</t>
  </si>
  <si>
    <t>J. Chem. Theory Comput.</t>
  </si>
  <si>
    <t>10.1021/ct2005837</t>
  </si>
  <si>
    <t>Chemistry, Physical; Physics, Atomic, Molecular &amp; Chemical</t>
  </si>
  <si>
    <t>Chemistry; Physics</t>
  </si>
  <si>
    <t>873UM</t>
  </si>
  <si>
    <t>WOS:000298908500034</t>
  </si>
  <si>
    <t>Meredith, MP; Garabato, ACN; Hogg, AM; Farneti, R</t>
  </si>
  <si>
    <t>Meredith, Michael P.; Garabato, Alberto C. Naveira; Hogg, Andrew McC; Farneti, Riccardo</t>
  </si>
  <si>
    <t>Sensitivity of the Overturning Circulation in the Southern Ocean to Decadal Changes in Wind Forcing</t>
  </si>
  <si>
    <t>JOURNAL OF CLIMATE</t>
  </si>
  <si>
    <t>ANTARCTIC CIRCUMPOLAR CURRENT; MOMENTUM BALANCE; HEMISPHERE WINDS; MESOSCALE EDDIES; DRIVEN; DIFFUSIVITY; TRANSPORT; MODEL</t>
  </si>
  <si>
    <t>The sensitivity of the overturning circulation in the Southern Ocean to the recent decadal strengthening of the overlying winds is being discussed intensely, with some works attributing an inferred saturation of the Southern Ocean CO2 sink to an intensification of the overturning circulation, while others have argued that this circulation is insensitive to changes in winds. Fundamental to reconciling these diverse views is to understand properly the role of eddies in counteracting the directly wind-forced changes in overturning. Here, the authors use novel theoretical considerations and fine-resolution ocean models to develop a new scaling for the sensitivity of eddy-induced mixing to changes in winds, and they demonstrate that changes in Southern Ocean overturning in response to recent and future changes in wind stress forcing are likely to be substantial, even in the presence of a decadally varying eddy field. This result has significant implications for the ocean's role in the carbon cycle, and hence global climate.</t>
  </si>
  <si>
    <t>[Meredith, Michael P.] British Antarctic Survey, Madingley Rd, Cambridge CB3 0ET, England; [Garabato, Alberto C. Naveira] Natl Oceanog Ctr, Southampton, Hants, England; [Hogg, Andrew McC] Australian Natl Univ, Canberra, ACT, Australia; [Farneti, Riccardo] Abdus Salaam Int Ctr Theoret Phys, Earth Syst Phys Sect, Trieste, Italy</t>
  </si>
  <si>
    <t>UK Research &amp; Innovation (UKRI); Natural Environment Research Council (NERC); NERC British Antarctic Survey; NERC National Oceanography Centre; Australian National University; Abdus Salam International Centre for Theoretical Physics (ICTP)</t>
  </si>
  <si>
    <t>Meredith, MP (corresponding author), British Antarctic Survey, Madingley Rd, Cambridge CB3 0ET, England.</t>
  </si>
  <si>
    <t>mmm@bas.ac.uk</t>
  </si>
  <si>
    <t>Hogg, Andy/AAZ-8733-2021; Garabato, Alberto Naveira/AAQ-1114-2020; Hogg, Andy McC./A-7553-2011; Farneti, Riccardo/B-5183-2011</t>
  </si>
  <si>
    <t>Hogg, Andy/0000-0001-5898-7635; Garabato, Alberto Naveira/0000-0001-6071-605X; Hogg, Andy McC./0000-0001-5898-7635; Farneti, Riccardo/0000-0001-7781-6436; Meredith, Michael/0000-0002-7342-7756</t>
  </si>
  <si>
    <t>NERC [NE/C517633/1]; Australian Research Council [DP0877824]; Natural Environment Research Council [NE/E005667/1, NE/E007058/1, bas0100028, NE/C517633/1] Funding Source: researchfish; Australian Research Council [DP0877824] Funding Source: Australian Research Council; NERC [bas0100028, NE/E007058/1, NE/E005667/1] Funding Source: UKRI</t>
  </si>
  <si>
    <t>NERC(UK Research &amp; Innovation (UKRI)Natural Environment Research Council (NERC)); Australian Research Council(Australian Research Council); Natural Environment Research Council(UK Research &amp; Innovation (UKRI)Natural Environment Research Council (NERC)); Australian Research Council(Australian Research Council); NERC(UK Research &amp; Innovation (UKRI)Natural Environment Research Council (NERC))</t>
  </si>
  <si>
    <t>The authors thank Steve Rintoul, Kevin Speer, Harry Bryden, Corinne Le Quere, Alan Rodger, and Stephen Griffies for useful advice and input that helped improve the original draft of this paper. We gratefully acknowledge the GFDL CM2.4 developing team for their modelling efforts. We also thank Jan Viebhan and Carsten Eden for providing us with the data from their numerical simulation. ACNG was supported by a NERC Advanced Research Fellowship (NE/C517633/1). AMH was supported by Australian Research Council Grant DP0877824. Numerical computations were conducted using the National Facility of the Australian National Computational Infrastructure and the NOAA/GFDL computing facilities.</t>
  </si>
  <si>
    <t>0894-8755</t>
  </si>
  <si>
    <t>1520-0442</t>
  </si>
  <si>
    <t>J CLIMATE</t>
  </si>
  <si>
    <t>J. Clim.</t>
  </si>
  <si>
    <t>10.1175/2011JCLI4204.1</t>
  </si>
  <si>
    <t>876TG</t>
  </si>
  <si>
    <t>Green Submitted, Bronze, Green Accepted</t>
  </si>
  <si>
    <t>WOS:000299130000007</t>
  </si>
  <si>
    <t>Sijp, WP; England, MH; Gregory, JM</t>
  </si>
  <si>
    <t>Sijp, Willem P.; England, Matthew H.; Gregory, Jonathan M.</t>
  </si>
  <si>
    <t>Precise Calculations of the Existence of Multiple AMOC Equilibria in Coupled Climate Models. Part I: Equilibrium States</t>
  </si>
  <si>
    <t>MERIDIONAL OVERTURNING CIRCULATION; ATLANTIC THERMOHALINE CIRCULATION; FLUX-CORRECTED TRANSPORT; GLOBAL OCEAN CIRCULATION; STABILITY</t>
  </si>
  <si>
    <t>This study examines criteria for the existence of two stable states of the Atlantic Meridional Overturning Circulation (AMOC) using a combination of theory and simulations from a numerical coupled atmosphere ocean climate model. By formulating a simple collection of state parameters and their relationships, the authors reconstruct the North Atlantic Deep Water (NADW) OFF state behavior under a varying external salt-flux forcing. This part (Part I) of the paper examines the steady-state solution, which gives insight into the mechanisms that sustain the NADW OFF state in this coupled model; Part II deals with the transient behavior predicted by the evolution equation. The nonlinear behavior of the Antarctic Intermediate Water (AAIW) reverse cell is critical to the OFF state. Higher Atlantic salinity leads both to a reduced AAIW reverse cell and to a greater vertical salinity gradient in the South Atlantic. The former tends to reduce Atlantic salt export to the Southern Ocean, while the latter tends to increases it. These competing effects produce a nonlinear response of Atlantic salinity and salt export to salt forcing, and the existence of maxima in these quantities. Thus the authors obtain a natural and accurate analytical saddle-node condition for the maximal surface salt flux for which a NADW OFF state exists. By contrast, the bistability indicator proposed by De Vries and Weber does not generally work in this model. It is applicable only when the effect of the AAIW reverse cell on the Atlantic salt budget is weak.</t>
  </si>
  <si>
    <t>[Sijp, Willem P.; England, Matthew H.; Gregory, Jonathan M.] Univ New S Wales, CCRC, Sydney, NSW 2052, Australia</t>
  </si>
  <si>
    <t>University of New South Wales Sydney</t>
  </si>
  <si>
    <t>Sijp, WP (corresponding author), Univ New S Wales, CCRC, Sydney, NSW 2052, Australia.</t>
  </si>
  <si>
    <t>w.sijp@unsw.edu.au</t>
  </si>
  <si>
    <t>England, Matthew/A-7539-2011; Gregory, Jonathan/J-2939-2016; Sijp, Willem P/E-5988-2012</t>
  </si>
  <si>
    <t>England, Matthew/0000-0001-9696-2930; Gregory, Jonathan/0000-0003-1296-8644; Sijp, Willem/0000-0002-5971-3860</t>
  </si>
  <si>
    <t>Australian Research Council; Australian Antarctic Science Program; NCAS; DECC [DECC/Defra (GA01101)]; Defra Integrated Climate Programme [DECC/Defra (GA01101)]; Natural Environment Research Council [ncas10009] Funding Source: researchfish</t>
  </si>
  <si>
    <t>Australian Research Council(Australian Research Council); Australian Antarctic Science Program; NCAS; DECC; Defra Integrated Climate Programme; Natural Environment Research Council(UK Research &amp; Innovation (UKRI)Natural Environment Research Council (NERC))</t>
  </si>
  <si>
    <t>We thank the University of Victoria staff for support in usage of the their coupled climate model. This research was supported by the Australian Research Council and the Australian Antarctic Science Program. Jonathan Gregory was partly supported by the NCAS-Climate Programme, and partly by the Joint DECC and Defra Integrated Climate Programme, DECC/Defra (GA01101). We thank Olivier Arzel for commenting on a previous version of this study and Marc d'Orgeville for an internal review of the present manuscript. We thank three anonymous reviewers for helpful comments that led to an improved paper.</t>
  </si>
  <si>
    <t>10.1175/2011JCLI4245.1</t>
  </si>
  <si>
    <t>WOS:000299130000017</t>
  </si>
  <si>
    <t>Hughes, KA; Convey, P</t>
  </si>
  <si>
    <t>Hughes, Kevin A.; Convey, Peter</t>
  </si>
  <si>
    <t>Determining the native/non-native status of newly discovered terrestrial and freshwater species in Antarctica - Current knowledge, methodology and management action</t>
  </si>
  <si>
    <t>JOURNAL OF ENVIRONMENTAL MANAGEMENT</t>
  </si>
  <si>
    <t>Non-native; Alien; Non-indigenous; Eradication; Conservation; Human impact</t>
  </si>
  <si>
    <t>PRINCE EDWARD ISLANDS; SOUTHERN-OCEAN; ENVIRONMENTAL-CHANGE; ALIEN; MARION; DISPERSAL; IMPACTS; MACQUARIE; HABITAT; PLANTS</t>
  </si>
  <si>
    <t>Continental Antarctic terrestrial and freshwater environments currently have few established non-native species compared to the sub-Antarctic islands and other terrestrial ecosystems on Earth. This is due to a unique combination of factors including Antarctica's remoteness, harsh climate, physical geography and brief history of human activity. However, recent increases in national operator and tourism activities increase the risk of non-native propagules reaching Antarctica, while climate change may make successful establishment more likely. The frequency and probability of human-assisted transfer mechanisms appear to far outweigh those of natural propagule introductions by wind, water, birds and marine mammals. A dilemma for scientists and environmental managers, which is exacerbated by a poor baseline knowledge of Antarctic biodiversity, is how to determine the native/non-native status of a newly discovered species which could be (a) a previously undiscovered long-term native species, (b) a recent natural colonist or (c) a human-mediated introduction. A correct diagnosis is crucial as the Protocol on Environmental Protection to the Antarctic Treaty dictates dramatically different management responses depending on native/non-native status: native species and recent natural colonists should be protected and conserved, while non-native introductions should be eradicated or controlled. We review current knowledge on how available evidence should be used to differentiate between native and non-native species, and discuss and recommend issues that should be considered by scientists and managers upon discovery of a species apparently new to the Antarctic region. (C) 2011 Elsevier Ltd. All rights reserved.</t>
  </si>
  <si>
    <t>[Hughes, Kevin A.; Convey, Peter] British Antarctic Survey, Nat Environm Res Council, Cambridge CB3 0ET, England</t>
  </si>
  <si>
    <t>Hughes, KA (corresponding author), British Antarctic Survey, Nat Environm Res Council, Madingley Rd, Cambridge CB3 0ET, England.</t>
  </si>
  <si>
    <t>kehu@bas.ac.uk</t>
  </si>
  <si>
    <t>Hughes, Kevin/JVZ-0793-2024; Convey, Peter/AAV-5728-2020</t>
  </si>
  <si>
    <t>Convey, Peter/0000-0001-8497-9903</t>
  </si>
  <si>
    <t>Natural Environment Research Council [bas0100025, bas010020] Funding Source: researchfish; NERC [bas0100025, bas010020] Funding Source: UKRI</t>
  </si>
  <si>
    <t>ACADEMIC PRESS LTD- ELSEVIER SCIENCE LTD</t>
  </si>
  <si>
    <t>24-28 OVAL RD, LONDON NW1 7DX, ENGLAND</t>
  </si>
  <si>
    <t>0301-4797</t>
  </si>
  <si>
    <t>1095-8630</t>
  </si>
  <si>
    <t>J ENVIRON MANAGE</t>
  </si>
  <si>
    <t>J. Environ. Manage.</t>
  </si>
  <si>
    <t>10.1016/j.jenvman.2011.08.017</t>
  </si>
  <si>
    <t>860TQ</t>
  </si>
  <si>
    <t>WOS:000297971000007</t>
  </si>
  <si>
    <t>Narama, C</t>
  </si>
  <si>
    <t>Narama, Chiyuki</t>
  </si>
  <si>
    <t>Overview of Recent Studies on Glacial Chronology: Examples from the Southern Hemisphere and Asian Mountains</t>
  </si>
  <si>
    <t>JOURNAL OF GEOGRAPHY-CHIGAKU ZASSHI</t>
  </si>
  <si>
    <t>mountain glacier; glacial chronology; TCN dating; OSL dating; Climate proxy data</t>
  </si>
  <si>
    <t>QUATERNARY GLACIATION; EXPOSURE AGES; LAST DEGLACIATION; TURKESTAN RANGE; CLIMATE-CHANGE; NEW-ZEALAND; HOLOCENE; PLEISTOCENE; MONSOON; FLUCTUATIONS</t>
  </si>
  <si>
    <t>Establishment of a continuous, detailed glacial chronology based on radiocarbon (C-14) dating has been hindered by the difficulty of collecting organic matter in cold and arid mountainous regions. The development of other numerical dating methods, such as terrestrial cosmogenic nuclide (TCN) and optically stimulated luminescence (OSL) dating, has recently made it possible to establish a detailed glacial chronology and to compare local glacial chronologies with recent climate proxy data of ice cores obtained from polar and alpine glaciers, and of deposits from sea floors and lake bottoms. This paper reviews recent studies on the glacial chronology of the Southern Hemisphere and high mountains of Asia (Himalayas, Tibet, and Central Asia). There are three main outcomes. (1) Glacial advances from the Late Glacial to Holocene in New Zealand and Patagonia were mostly synchronized with cold periods identified in Antarctic ice cores, while glaciers in the Peru Andes fluctuated oppositely but similarly to the North Atlantic. (2) Differences and similarities between local glacial chronologies in the Himalayas and Tibetan Plateau originated from the Indian monsoon and westerlies. For example, some researchers have proposed that the presence of early Holocene moraines and absence of moraines deposited in the Last Glacial Maximum (LGM) indicate an enhanced monsoon in the early Holocene because a stronger summer monsoon brings more snow to the Himalayan ranges. (3) The glacial chronologies during the Last Glacial in Central Asia, which is not influenced by the Indian monsoon, differ from those in the Himalayas. The glacier changes agree with climate proxy records from lacustrine deposits and mountain ice cores in Central Asia during the last 1000 years, which indicates the change of precipitation in the area.</t>
  </si>
  <si>
    <t>[Narama, Chiyuki] Res Inst Human &amp; Nat, Kyoto 6038043, Japan</t>
  </si>
  <si>
    <t>Research Institute for Humanity &amp; Nature (RIHN)</t>
  </si>
  <si>
    <t>Narama, C (corresponding author), Niigata Univ, Inst Sci &amp; Technol, Niigata 9502181, Japan.</t>
  </si>
  <si>
    <t>Grants-in-Aid for Scientific Research [23701033] Funding Source: KAKEN</t>
  </si>
  <si>
    <t>Grants-in-Aid for Scientific Research(Ministry of Education, Culture, Sports, Science and Technology, Japan (MEXT)Japan Society for the Promotion of ScienceGrants-in-Aid for Scientific Research (KAKENHI))</t>
  </si>
  <si>
    <t>TOKYO GEOGRAPHICAL SOC</t>
  </si>
  <si>
    <t>12-2 NIBANCHO, CHIYODAKU-KU, TOKYO, 102-0084, JAPAN</t>
  </si>
  <si>
    <t>0022-135X</t>
  </si>
  <si>
    <t>1884-0884</t>
  </si>
  <si>
    <t>J GEOGR-TOKYO</t>
  </si>
  <si>
    <t>J. Geogr.</t>
  </si>
  <si>
    <t>10.5026/jgeography.121.215</t>
  </si>
  <si>
    <t>Geography, Physical</t>
  </si>
  <si>
    <t>Physical Geography</t>
  </si>
  <si>
    <t>VG3BN</t>
  </si>
  <si>
    <t>WOS:000446272600003</t>
  </si>
  <si>
    <t>Ikehara, M; Miura, H; Nakai, M; Nakazawa, T; Sano, O; Koide, H</t>
  </si>
  <si>
    <t>Ikehara, Minoru; Miura, Hideki; Nakai, Mutsumi; Nakazawa, Tsutomu; Sano, Osamu; Koide, Hitoshi</t>
  </si>
  <si>
    <t>Overview: Special Issue onPaleoenvironmental Changes in the Antarctic Cryosphere: Global Climate Change Investigated in the Southern Ocean</t>
  </si>
  <si>
    <t>[Ikehara, Minoru] Kochi Univ, Ctr Adv Marine Core Res, Kochi 7838502, Japan; [Miura, Hideki] Natl Inst Polar Res, Res Org Informat &amp; Syst, Tokyo 1908518, Japan; [Nakai, Mutsumi] Daito Bunka Univ, Fac Literature, Tokyo 1758571, Japan; [Nakazawa, Tsutomu; Koide, Hitoshi] Natl Inst Adv Ind Sci &amp; Technol, Tsukuba, Ibaraki 3058567, Japan; [Sano, Osamu] Univ Tokyo, Tokyo 1130032, Japan</t>
  </si>
  <si>
    <t>Kochi University; Research Organization of Information &amp; Systems (ROIS); National Institute of Polar Research (NIPR) - Japan; National Institute of Advanced Industrial Science &amp; Technology (AIST); University of Tokyo</t>
  </si>
  <si>
    <t>Ikehara, M (corresponding author), Kochi Univ, Ctr Adv Marine Core Res, Kochi 7838502, Japan.</t>
  </si>
  <si>
    <t>10.5026/jgeography.121.471</t>
  </si>
  <si>
    <t>VG3BO</t>
  </si>
  <si>
    <t>WOS:000446273000005</t>
  </si>
  <si>
    <t>Preface for the Special Issue on Paleoenvironmental Changes in the Antarctic Cryosphere: Global Climate Change Investigated in the Southern Ocean</t>
  </si>
  <si>
    <t>[Ikehara, Minoru] Kochi Univ, Ctr Adv Marine Core Res, Kochi 7838502, Japan; [Miura, Hideki] Res Org Informat &amp; Syst, Natl Inst Polar Res, Tokyo 1908518, Japan; [Nakai, Mutsumi] Daito Bunka Univ, Fac Literature, Tokyo 1758571, Japan; [Nakazawa, Tsutomu; Koide, Hitoshi] Natl Inst Adv Ind Sci &amp; Technol, Tsukuba, Ibaraki 3058567, Japan; [Sano, Osamu] Univ Tokyo, Tokyo 1130032, Japan</t>
  </si>
  <si>
    <t>10.5026/jgeography.121.474</t>
  </si>
  <si>
    <t>WOS:000446273000006</t>
  </si>
  <si>
    <t>Suzuki, N</t>
  </si>
  <si>
    <t>Suzuki, Noritoshi</t>
  </si>
  <si>
    <t>The Latest Cretaceous to the Quaternary Paleoceanographic History in the Southern Ocean, South of Tasmania, Australia: Results of ODP Leg 189</t>
  </si>
  <si>
    <t>ODP Leg 189; Tasmanian Gateway; Southern Ocean; paleoceanography; tectonics; review</t>
  </si>
  <si>
    <t>LATE OLIGOCENE; SEA-LEVEL; MIDDLE; EVOLUTION; LEG-189; CIRCULATION; GATEWAY; MAGNETOSTRATIGRAPHY; TEMPERATURE; TRANSITION</t>
  </si>
  <si>
    <t>Paleoceanographic and tectonic studies of the uppermost Cretaceous to the Quaternary around the Tasmania region based on ODP Leg 189 were reviewed from approximate 70 papers. The Tasmania Land Bridge blocked the seawater connection between the Pacific and Indian oceans by 35.4 Ma (timescale of CK 95), although a very shallow water path was already present from approximate 40 Ma. Prior to the opening of the Tasmanian Gateway, the Tasmanian region was strongly influenced by the 3rd order of the global eustaic change. After the Tasmanian Gateway substantially opened at 35.4 Ma, the bottom current strengthened between 33.5 and 30.2 Ma, and this gate opened fully after 30.2 Ma when nannofossil-ooze with planktonic foraminifers started to accumulate on the seafloor around the region. The paleoceanographic and paleoclimatic conditions underwent a major change in the latest Cretaceous (Maastrichtian at least), the earliest Paleocene to the latest Eocene, the latest Eocene to the early Oligocene, the late Oligocene to the early Miocene, the early to the late Miocene, and the Quaternary. This region was influenced by global climatic and paleoceanographic changes. A significant deepening of the Tasmanian Gateway occurred 1.7 my earlier than the Eocene-Oligocene boundary, and the surface water temperature rose during the significant opening of the gate. In the late Eocene, the climate in the summer of the Southern Hemisphere was relatively cool based on floral changes, although this cool condition did not affect to the marine faunal ecology. Bottom water around the Tasmania region was common in this region by 28 Ma, whereas the sea-surface condition was different before 22.8 Ma. The full development of the Antarctic Circumpolar Current that flow over the seafloor was estimated at 23.95 Ma. Global paleoceanographic events such as the middle Miocene Climatic Optimum, Monterey Excursion, the middle Miocene climatic transition, and carbonate crash (= late Miocene carbon shift) were detected in this region.</t>
  </si>
  <si>
    <t>[Suzuki, Noritoshi] Tohoku Univ, Inst Geol &amp; Paleontol, Grad Sch Sci, Sendai, Miyagi 9808578, Japan</t>
  </si>
  <si>
    <t>Tohoku University</t>
  </si>
  <si>
    <t>Suzuki, N (corresponding author), Tohoku Univ, Inst Geol &amp; Paleontol, Grad Sch Sci, Sendai, Miyagi 9808578, Japan.</t>
  </si>
  <si>
    <t>Suzuki, Noritoshi/0000-0001-8421-3828</t>
  </si>
  <si>
    <t>10.5026/jgeography.121.493</t>
  </si>
  <si>
    <t>WOS:000446273000008</t>
  </si>
  <si>
    <t>Ikehara, M</t>
  </si>
  <si>
    <t>Ikehara, Minoru</t>
  </si>
  <si>
    <t>North-south Shift of Oceanic Fronts in the Southern Ocean: Linkage between Migration of Sea Ice Coverage, Antarctic Polar Front, Antarctic Circumpolar Current, and Global Climate Change from the Present to Late Quaternary</t>
  </si>
  <si>
    <t>Southern Ocean; sea ice; Antarctic polar front; global climate change; Antarctic Circumpolar Current</t>
  </si>
  <si>
    <t>The Southern Ocean plays an important role in the global climate system both at present and in the geologic past. To resolve the causes and processes of atmospheric CO2 change, it is important to understand the mechanisms and processes of sub-systems in the Antarctic Cryosphere such as change of biological productivity, sea-surface temperature, surface water frontal system, sea ice distribution, and the Antarctic Ice Sheet during the glacial-interglacial climate cycle. A large number of float observations made recently suggest that mid-depth Southern Ocean temperatures rose 0.17 degrees C between the 1950s and 1980s. The Southern Ocean is warming faster than the global oceans, and this is concentrated within the Antarctic Circumpolar Current (ACC). Warming is consistent with a poleward shift of the ACC, probably driven by long-term poleward shifts in the winds of the region, as represented by the southern annular mode. Changes to the extent of Antarctic sea ice are difficult to quantify for the pre-satellite observation era. However, a substantially larger set of proxy records based on whaling positions indicates that a larger southward shift of the summer sea ice edge occurred between the mid-1950s and early 1970s. In the glacial to interglacial cycle, ice-rafted debris (IRD) is an important proxy for reconstructing past iceberg discharges and sea ice expansions. However, it is necessary to specify the origin of IRD in the Southern Ocean, because IRD deposition on the pelagic seafloor is controlled not only by the dynamics of the Antarctic ice sheet but also by surface water conditions such as sea-surface temperature and oceanic front migrations. For example, several layers rich in volcanic tephra were deposited in the eastern Atlantic sector of the Southern Ocean. Deposition of the tephra-rich IRD layers was controlled by changes in sea-surface temperature and sea ice conditions in the Polar Frontal Zone of the South Atlantic, rather than Antarctic ice sheet dynamics. Thus, IRD deposition is a signal of the expansion of sea ice in the South Atlantic. According to IRD records, it seems that sea ice expansion events occurred suddenly in the Atlantic sector of the Southern Ocean during the last glacial period.</t>
  </si>
  <si>
    <t>[Ikehara, Minoru] Kochi Univ, Ctr Adv Marine Core Res, Nankoku, Kochi 7838502, Japan</t>
  </si>
  <si>
    <t>Kochi University</t>
  </si>
  <si>
    <t>Ikehara, M (corresponding author), Kochi Univ, Ctr Adv Marine Core Res, Nankoku, Kochi 7838502, Japan.</t>
  </si>
  <si>
    <t>10.5026/jgeography.121.518</t>
  </si>
  <si>
    <t>WOS:000446273000009</t>
  </si>
  <si>
    <t>Katsuki, K</t>
  </si>
  <si>
    <t>Katsuki, Kota</t>
  </si>
  <si>
    <t>History of Sea-ice and Productivity in the Southern Ocean Since the Last Glacial Maximum Based on Diatom Assemblage Changes</t>
  </si>
  <si>
    <t>Southern Ocean; Last Glacial Maximum; Holocene; diatom; sea-ice</t>
  </si>
  <si>
    <t>SURFACE SEDIMENTS; ANTARCTIC PENINSULA; ATLANTIC SECTOR; HOLOCENE CLIMATE; INDIAN SECTOR; PALEOCLIMATIC SIGNIFICANCE; ADELIE LAND; PRYDZ BAY; ROSS SEA; RECORD</t>
  </si>
  <si>
    <t>Paleontological research in the Southern Ocean based on quantitative studies of diatoms has progressed rapidly during the last 20 years, particularly on the Last Glacial Maximum (LGM) and Holocene paleoenvironment. This review of diatom paleoceanography in the Southern Ocean starts with reconstructions of the sea-ice distribution and productivity during the LGM. Maximum winter sea-ice distribution at the LGM (concentration &gt;15%) extended in the Atlantic and Indian sector close to 47 degrees S, and in the Pacific sector as far north as 57 degrees S. On the other hand, summer sea-ice distribution at the LGM was close to the modern summer sea-ice distribution except for the Weddell Sea extending as far as 52 degrees S. However, LGM summer sea-ice information is still rather limited. Primary productivity in the Southern Ocean is closely related to the seasonal sea-ice zone. Increasing primary production under the seasonal sea-ice zone during the last glacial is linked to higher iron input. Sea-ice plays an important role as an effective transporter of dust-borne iron, and enhances its bioavailability. Termination periods of the surface condition in the Southern Ocean are described in relation to mechanisms of sea-ice distribution changes and their causes. Sea-ice retreat during the deglacial period and sea-ice advance during Neoglaciation in the Southern Ocean basically depended on solar insolation changes. However, the timings of sea-ice distribution changes were differentiated in each region. The last section, including short-term climate oscillations and their mechanisms, are described. Abrupt variations of Holocene diatom changes as 200-300 year cycle fluctuations indicate rapid climate changes of the Southern Ocean, which were very closely correlated to the solar activity cycle.</t>
  </si>
  <si>
    <t>[Katsuki, Kota] Korea Inst Geosci &amp; Mineral Resources, Div Geol Res, Daejeon, South Korea</t>
  </si>
  <si>
    <t>Korea Institute of Geoscience &amp; Mineral Resources (KIGAM)</t>
  </si>
  <si>
    <t>Katsuki, K (corresponding author), Korea Inst Geosci &amp; Mineral Resources, Div Geol Res, Daejeon, South Korea.</t>
  </si>
  <si>
    <t>10.5026/jgeography.121.536</t>
  </si>
  <si>
    <t>WOS:000446273000010</t>
  </si>
  <si>
    <t>McMillan, M; Shepherd, A; Gourmelen, N; Park, JW; Nienow, P; Rinne, E; Leeson, A</t>
  </si>
  <si>
    <t>McMillan, Malcolm; Shepherd, Andrew; Gourmelen, Noel; Park, Jeong-Won; Nienow, Peter; Rinne, Eero; Leeson, Amber</t>
  </si>
  <si>
    <t>Mapping ice-shelf flow with interferometric synthetic aperture radar stacking</t>
  </si>
  <si>
    <t>JOURNAL OF GLACIOLOGY</t>
  </si>
  <si>
    <t>PINE ISLAND GLACIER; SHEET MOTION; ANTARCTIC PENINSULA; WEST ANTARCTICA; TIDAL MOTION; OCEAN TIDES; GREENLAND; VELOCITY; COLLAPSE; FILCHNER</t>
  </si>
  <si>
    <t>Interferometric synthetic aperture radar (InSAR) observations of ice-shelf flow contain ocean-tide and atmospheric-pressure signals. A model-based correction can be applied, but this method is limited by its dependency upon model accuracy, which in remote regions can be uncertain. Here we describe a method to determine two-dimensional ice-shelf flow vectors independently of model predictions of tide and atmospheric pressure, by stacking conventional and multiple aperture InSAR (MAI) observations of the Dotson Ice Shelf, West Antarctica. In this way we synthesize a longer observation period, which enhances long-period (flow) displacement signals, relative to rapidly varying (tide and atmospheric pressure) signals and noise. We estimate the error associated with each component of the velocity field to be similar to 22 m a(-1), which could be further reduced if more images were available to stack. With the upcoming launch of several satellite missions, offering the prospect of regular short-repeat SAR acquisitions, this study demonstrates that stacking can improve estimates of ice-shelf flow velocity.</t>
  </si>
  <si>
    <t>[McMillan, Malcolm; Shepherd, Andrew; Leeson, Amber] Univ Leeds, Sch Earth &amp; Environm, Leeds, W Yorkshire, England; [McMillan, Malcolm; Nienow, Peter] Univ Edinburgh, Sch Geosci, Edinburgh, Midlothian, Scotland; [Gourmelen, Noel] Univ Strasbourg, Ecole &amp; Observ Sci Terre, Strasbourg, France; [Park, Jeong-Won] Yonsei Univ, Seoul 120749, South Korea; [Rinne, Eero] Finnish Meteorol Inst, FIN-00101 Helsinki, Finland</t>
  </si>
  <si>
    <t>University of Leeds; University of Edinburgh; Universites de Strasbourg Etablissements Associes; Universite de Strasbourg; Yonsei University; Finnish Meteorological Institute</t>
  </si>
  <si>
    <t>McMillan, M (corresponding author), Univ Leeds, Sch Earth &amp; Environm, Leeds, W Yorkshire, England.</t>
  </si>
  <si>
    <t>m.mcmillan@leeds.ac.uk</t>
  </si>
  <si>
    <t>Leeson, Amber/JFA-1001-2023; McMillan, Malcolm/K-7712-2014; Facility, NERC Geophysical Equipment/G-5260-2010</t>
  </si>
  <si>
    <t>Rinne, Eero/0000-0002-4796-3387; Shepherd, Andrew/0000-0002-4914-1299; Leeson, Amber/0000-0001-8720-9808; Park, Jeong-Won/0000-0001-6122-0910; McMillan, Malcolm/0000-0002-5113-0177</t>
  </si>
  <si>
    <t>UK Natural Environment Research Council's National Centre for Earth Observation through Centre for Polar Observation and Modelling; NERC [cpom20001, NE/E014089/1] Funding Source: UKRI; Natural Environment Research Council [NE/E014089/1, cpom20001, earth010006] Funding Source: researchfish</t>
  </si>
  <si>
    <t>UK Natural Environment Research Council's National Centre for Earth Observation through Centre for Polar Observation and Modelling; NERC(UK Research &amp; Innovation (UKRI)Natural Environment Research Council (NERC)); Natural Environment Research Council(UK Research &amp; Innovation (UKRI)Natural Environment Research Council (NERC))</t>
  </si>
  <si>
    <t>This work was funded by the UK Natural Environment Research Council's National Centre for Earth Observation, through a Centre for Polar Observation and Modelling PhD studentship. We acknowledge the US National Snow and Ice Data Center (http://nsidc.org/) for providing the ICESat data, the British Atmospheric Data Centre for supplying the ECMWF data and the ESA VECTRA programme for providing the raw SAR data. We thank Adrian Luckman and an anonymous reviewer for providing thoughtful reviews which helped to substantially improve the manuscript.</t>
  </si>
  <si>
    <t>0022-1430</t>
  </si>
  <si>
    <t>1727-5652</t>
  </si>
  <si>
    <t>J GLACIOL</t>
  </si>
  <si>
    <t>J. Glaciol.</t>
  </si>
  <si>
    <t>10.3189/2012JoG11J072</t>
  </si>
  <si>
    <t>939BW</t>
  </si>
  <si>
    <t>WOS:000303782900007</t>
  </si>
  <si>
    <t>Hindmarsh, RCA</t>
  </si>
  <si>
    <t>Hindmarsh, Richard C. A.</t>
  </si>
  <si>
    <t>An observationally validated theory of viscous flow dynamics at the ice-shelf calving front</t>
  </si>
  <si>
    <t>GROUNDING LINES; SHEET DYNAMICS; RETREAT; GLACIER; ANTARCTICA; GREENLAND; COLLAPSE; MODELS</t>
  </si>
  <si>
    <t>An analytical theory is developed for ice flow velocity in a boundary layer couplet at the calving front. The theory has simple quantitative characteristics that relate ice front velocity to thickness, strain rate and shelf width, matching one set of empirically derived relationships (Alley and others, 2008) and implying that these relationships predict ice velocity rather than calving rate. The two boundary layers are where longitudinal and transverse flow fields change from the interior flow to patterns consistent with the calving-front stress condition. Numerical simulations confirm the analytical theory. The quantitative predictions of the theory have low sensitivity to unmeasured parameters and to shelf plan aspect ratio, while its robustness arises from its dependence on the scale invariance of the governing equations. The theory provides insights into calving, the stability of ice-shelf calving fronts, the stability of the grounding line of laterally resisted ice streams, and also suggests that the calving front is an instructive dynamical analogue to the grounding line.</t>
  </si>
  <si>
    <t>Hindmarsh, RCA (corresponding author), British Antarctic Survey, Nat Environm Res Council, Cambridge CB3 0ET, England.</t>
  </si>
  <si>
    <t>rcah@bas.ac.uk</t>
  </si>
  <si>
    <t>Hindmarsh, Richard/N-1195-2019</t>
  </si>
  <si>
    <t>Hindmarsh, Richard/0000-0003-1633-2416</t>
  </si>
  <si>
    <t>European Union [226375, 050]; British Antarctic Survey; Natural Environment Research Council [bas0100027] Funding Source: researchfish; NERC [bas0100027, NE/J008087/1] Funding Source: UKRI</t>
  </si>
  <si>
    <t>European Union(European Union (EU)); British Antarctic Survey; Natural Environment Research Council(UK Research &amp; Innovation (UKRI)Natural Environment Research Council (NERC)); NERC(UK Research &amp; Innovation (UKRI)Natural Environment Research Council (NERC))</t>
  </si>
  <si>
    <t>This work was supported by funding from the Ice2sea programme from the European Union 7th Framework Programme, grant number 226375, Ice2sea contribution number 050, forming part of activities in Ice2sea Work-packages 2.1 and 5.3 and the British Antarctic Survey's Polar Science for Planet Earth programme. I thank Jeremy Bassis and an anonymous reviewer for their detailed and thoughtful comments.</t>
  </si>
  <si>
    <t>10.3189/2012JoG11J206</t>
  </si>
  <si>
    <t>WOS:000303782900016</t>
  </si>
  <si>
    <t>Drews, R; Eisen, O; Steinhage, D; Weikusat, I; Kipfstuhl, S; Wilhelms, F</t>
  </si>
  <si>
    <t>Drews, R.; Eisen, O.; Steinhage, D.; Weikusat, I.; Kipfstuhl, S.; Wilhelms, F.</t>
  </si>
  <si>
    <t>Potential mechanisms for anisotropy in ice-penetrating radar data</t>
  </si>
  <si>
    <t>DRONNING MAUD LAND; CRYSTAL ORIENTATION FABRICS; RADIATIVE-TRANSFER THEORY; RADIO-WAVES; SUBGLACIAL TOPOGRAPHY; AIR BUBBLES; SHEET; ANTARCTICA; POLARIZATION; SCATTERING</t>
  </si>
  <si>
    <t>Radar data (center frequency 150 MHz) collected on the Antarctic plateau near the EPICA deep-drilling site in Dronning Maud Land vary systematically in backscattered power, depending on the azimuth antenna orientation. Backscatter extrema are aligned with the principal directions of surface strain rates and change with depth. In the upper 900 m, backscatter is strongest when the antenna polarization is aligned in the direction of maximal compression, while below 900 m the maxima shift by 90 degrees pointing towards the lateral flow dilatation. We investigate the backscatter from elongated air bubbles and a vertically varying crystal-orientation fabric (COF) using different scattering models in combination with ice-core data. We hypothesize that short-scale variations in COF are the primary mechanism for the observed anisotropy, and the 900 m boundary between the two regimes is caused by ice with varying impurity content. Observations of this kind allow the deduction of COF variations with depth and are potentially also suited to map the transition between Holocene and glacial ice.</t>
  </si>
  <si>
    <t>[Drews, R.; Eisen, O.; Steinhage, D.; Weikusat, I.; Kipfstuhl, S.; Wilhelms, F.] Alfred Wegener Inst Polar &amp; Marine Res AWI, Bremerhaven, Germany</t>
  </si>
  <si>
    <t>Helmholtz Association; Alfred Wegener Institute, Helmholtz Centre for Polar &amp; Marine Research</t>
  </si>
  <si>
    <t>Drews, R (corresponding author), Univ Libre Bruxelles, Dept Sci Terre &amp; Environm, Brussels, Belgium.</t>
  </si>
  <si>
    <t>reinhard.drews@awi.de</t>
  </si>
  <si>
    <t>Eisen, Olaf/K-3846-2012; Wilhelms, Frank/KEI-8426-2024; Drews, reinhard/AAP-4134-2021; Weikusat, Ilka/E-8826-2015</t>
  </si>
  <si>
    <t>Eisen, Olaf/0000-0002-6380-962X; Wilhelms, Frank/0000-0001-7688-3135; Drews, reinhard/0000-0002-2328-294X; Weikusat, Ilka/0000-0002-3023-6036</t>
  </si>
  <si>
    <t>EU; Deutsche Forschungsgemeinschaft [EI 672/5]; Evangelisches Studienwerk e.V. Villigst</t>
  </si>
  <si>
    <t>EU(European Union (EU)); Deutsche Forschungsgemeinschaft(German Research Foundation (DFG)); Evangelisches Studienwerk e.V. Villigst</t>
  </si>
  <si>
    <t>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287. Preparation of this work was supported by the Emmy Noether program of the Deutsche Forschungsgemeinschaft grant EI 672/5 to O.E. and a scholarship of the Evangelisches Studienwerk e.V. Villigst to R.D. We appreciate helpful comments from Wolfgang Rack and Dale Winebrenner. Ed Waddington and an anonymous reviewer significantly improved the content and style of the manuscript.</t>
  </si>
  <si>
    <t>10.3189/2012JoG11J114</t>
  </si>
  <si>
    <t>959KB</t>
  </si>
  <si>
    <t>WOS:000305310200015</t>
  </si>
  <si>
    <t>Scambos, TA; Frezzotti, M; Haran, T; Bohlander, J; Lenaerts, JTM; van den Broeke, MR; Jezek, K; Long, D; Urbini, S; Farness, K; Neumann, T; Albert, M; Winther, JG</t>
  </si>
  <si>
    <t>Scambos, T. A.; Frezzotti, M.; Haran, T.; Bohlander, J.; Lenaerts, J. T. M.; van den Broeke, M. R.; Jezek, K.; Long, D.; Urbini, S.; Farness, K.; Neumann, T.; Albert, M.; Winther, J. -G.</t>
  </si>
  <si>
    <t>Extent of low-accumulation 'wind glaze' areas on the East Antarctic plateau: implications for continental ice mass balance</t>
  </si>
  <si>
    <t>DIGITAL ELEVATION MODEL; SNOW ACCUMULATION; SHEET SURFACE; GRAIN-SIZE; VARIABILITY; REASSESSMENT; TOPOGRAPHY; DYNAMICS; GLACIER; STATION</t>
  </si>
  <si>
    <t>Persistent katabatic winds form widely distributed localized areas of near-zero net surface accumulation on the East Antarctic ice sheet (EAIS) plateau. These areas have been called 'glaze' surfaces due to their polished appearance. They are typically 2-200 km(2) in area and are found on leeward slopes of ice-sheet undulations and megadunes. Adjacent, leeward high-accumulation regions (isolated dunes) are generally smaller and do not compensate for the local low in surface mass balance (SMB). We use a combination of satellite remote sensing and field-gathered datasets to map the extent of wind glaze in the EAIS above 1500 m elevation. Mapping criteria are derived from distinctive surface and subsurface characteristics of glaze areas resulting from many years of intense annual temperature cycling without significant burial. Our results show that 11.2 +/- 1.7%, or 950 +/- 143 x 10(3) km(2), of the EAIS above 1500 m is wind glaze. Studies of SMB interpolate values across glaze regions, leading to overestimates of net mass input. Using our derived wind-glaze extent, we estimate this excess in three recent models of Antarctic SMB at 46-82 Gt. The lowest-input model appears to best match the mean in regions of extensive wind glaze.</t>
  </si>
  <si>
    <t>[Scambos, T. A.; Haran, T.; Bohlander, J.] Univ Colorado, Natl Snow &amp; Ice Data Ctr, Boulder, CO 80309 USA; [Frezzotti, M.] ENEA CRE, Rome, Italy; [Lenaerts, J. T. M.; van den Broeke, M. R.] Univ Utrecht, Inst Marine &amp; Atmospher Res, Utrecht, Netherlands; [Jezek, K.; Farness, K.] Ohio State Univ, Byrd Polar Res Ctr, Columbus, OH 43210 USA; [Long, D.] Brigham Young Univ, Dept Elect Engn, Provo, UT 84602 USA; [Urbini, S.] Ist Nazl Geofis &amp; Vulcanol, Rome, Italy; [Neumann, T.] NASA, Goddard Space Flight Ctr, Greenbelt, MD 20771 USA; [Albert, M.] Dartmouth Coll, Sch Engn, Hanover, NH 03755 USA; [Winther, J. -G.] Norwegian Polar Res Inst, Tromso, Norway</t>
  </si>
  <si>
    <t>University of Colorado System; University of Colorado Boulder; Italian National Agency New Technical Energy &amp; Sustainable Economics Development; Utrecht University; University System of Ohio; Ohio State University; Brigham Young University; Istituto Nazionale Geofisica e Vulcanologia (INGV); National Aeronautics &amp; Space Administration (NASA); NASA Goddard Space Flight Center; Dartmouth College; Norwegian Polar Institute</t>
  </si>
  <si>
    <t>Scambos, TA (corresponding author), Univ Colorado, Natl Snow &amp; Ice Data Ctr, Boulder, CO 80309 USA.</t>
  </si>
  <si>
    <t>teds@nsidc.edu</t>
  </si>
  <si>
    <t>Long, David G./K-4908-2015; FREZZOTTI, Massimo/AAK-7275-2020; Neumann, Thomas/JLL-4672-2023; Van den Broeke, Michiel R./F-7867-2011; Neumann, Thomas/D-5264-2012; Lenaerts, Jan/D-9423-2012</t>
  </si>
  <si>
    <t>Long, David G./0000-0002-1852-3972; FREZZOTTI, Massimo/0000-0002-2461-2883; Van den Broeke, Michiel R./0000-0003-4662-7565; Lenaerts, Jan/0000-0003-4309-4011; urbini, stefano/0000-0002-8053-4197; SCAMBOS, Ted A./0000-0003-4268-6322</t>
  </si>
  <si>
    <t>NASA [NNG04GM10G, NNX10AL42G]; US National Science Foundation [OPP-0538495]; European Commission [226375]; NASA [NNX10AL42G, 129721] Funding Source: Federal RePORTER</t>
  </si>
  <si>
    <t>NASA(National Aeronautics &amp; Space Administration (NASA)); US National Science Foundation(National Science Foundation (NSF)); European Commission(European Union (EU)European Commission Joint Research Centre); NASA(National Aeronautics &amp; Space Administration (NASA))</t>
  </si>
  <si>
    <t>This work was supported by NASA grants NNG04GM10G and NNX10AL42G, and US National Science Foundation grant OPP-0538495 (T.S., T.H., J.B., T.N. and M.A.). We acknowledge the ice2sea project, funded by the European Commission's 7th Framework Programme through grant No. 226375, manuscript No. ice2sea072. We thank the staff of Raytheon Polar Services, the Norsk Polarinstitutt, the field team of the Norwegian-US International Polar Year (IPY) Scientific Traverse, and the 109th Air National Guard and Ken Borek Air for their logistical help during Antarctic fieldwork.</t>
  </si>
  <si>
    <t>10.3189/2012JoG11J232</t>
  </si>
  <si>
    <t>984RE</t>
  </si>
  <si>
    <t>WOS:000307208200001</t>
  </si>
  <si>
    <t>Davies, BJ; Glasser, NF</t>
  </si>
  <si>
    <t>Davies, B. J.; Glasser, N. F.</t>
  </si>
  <si>
    <t>Accelerating shrinkage of Patagonian glaciers from the Little Ice Age (∼AD 1870) to 2011</t>
  </si>
  <si>
    <t>GRAN-CAMPO-NEVADO; SAN-RAFAEL; NORTHERN PATAGONIA; SOUTHERN PATAGONIA; MASS-BALANCE; ANTARCTIC PENINSULA; OUTLET GLACIERS; CLIMATE-CHANGE; ICEFIELD; INVENTORY</t>
  </si>
  <si>
    <t>We used Little Ice Age (LIA) trimlines and moraines to assess changes in South American glaciers over the last similar to 140 years. We determined the extent and length of 640 glaciers during the LIA (similar to AD 1870) and 626 glaciers (the remainder having entirely disappeared) in 1986, 2001 and 2011. The calculated reduction in glacierized area between the LIA and 2011 is 4131 km(2) (15.4%), with 660 km(2) (14.2%) being lost from the Northern Patagonia Icefield (NPI), 1643 km(2) (11.4%) from the Southern Patagonia Icefield (SPI) and 306 km(2) (14.4%) from Cordillera Darwin. Latitude, size and terminal environment (calving or land-terminating) exert the greatest control on rates of shrinkage. Small, northerly, land-terminating glaciers shrank fastest. Annual rates of area loss increased dramatically after 2001 for mountain glaciers north of 52 degrees S and the large icefields, with the NPI and SPI now shrinking at 9.4 km(2) a(-1) (0.23% a(-1)) and 20.5 km(2) a(-1) (0.15% a(-1)) respectively. The shrinkage of glaciers between 52 degrees S and 54 degrees S accelerated after 1986, and rates of shrinkage from 1986 to 2011 remained steady. Icefield outlet glaciers, isolated glaciers and ice caps south of 54 degrees S shrank faster from 1986 to 2001 than they did from 2001 to 2011.</t>
  </si>
  <si>
    <t>[Davies, B. J.; Glasser, N. F.] Aberystwyth Univ, Inst Geog &amp; Earth Sci, Aberystwyth, Dyfed, Wales</t>
  </si>
  <si>
    <t>Aberystwyth University</t>
  </si>
  <si>
    <t>Davies, BJ (corresponding author), Aberystwyth Univ, Inst Geog &amp; Earth Sci, Aberystwyth, Dyfed, Wales.</t>
  </si>
  <si>
    <t>Davies, Bethan/0000-0002-8636-1813; Glasser, Neil/0000-0002-8245-2670</t>
  </si>
  <si>
    <t>UK Natural Environment Research Council (NERC) grant through the Antarctic Funding Initiative [AFI 9-01, NE/F012942/1]; NERC [NE/F012942/1, NE/G00952X/1] Funding Source: UKRI; Natural Environment Research Council [NE/F012942/1, NE/G00952X/1] Funding Source: researchfish</t>
  </si>
  <si>
    <t>UK Natural Environment Research Council (NERC) grant through the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</si>
  <si>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We acknowledge Masamu Aniya for kindly providing the shapefiles of the 1975 extent of the NPI. Landsat images were provided free of charge to Neil Glasser from NASA. This work was funded by a UK Natural Environment Research Council (NERC) grant through the Antarctic Funding Initiative (grant AFI 9-01; NE/F012942/1). We gratefully acknowledge constructive and thoughtful reviews from Frank Paul and Masamu Aniya.</t>
  </si>
  <si>
    <t>10.3189/2012JoG12J026</t>
  </si>
  <si>
    <t>056HQ</t>
  </si>
  <si>
    <t>WOS:000312479400004</t>
  </si>
  <si>
    <t>Exploring Antarctic subglacial lakes with scientific probes: a formal probabilistic approach for operational risk management</t>
  </si>
  <si>
    <t>ICE; VOSTOK; RELIABILITY; EXPLORATION; ENVIRONMENT; HEURISTICS; JUDGMENT; BIASES; DRILL</t>
  </si>
  <si>
    <t>Since their discovery, Antarctic subglacial lakes have become of great interest to the science community. It is hypothesized that they may hold unique forms of biological life and that they hold detailed sedimentary records of past climate change. According to the latest inventory, a total of 387 subglacial lakes have been identified in Antarctica (Wright and Siegert, 2011). However, exploration using scientific probes has yet to be performed. We propose a generic, formal approach to manage the operational risk of deploying probes during clean access to subglacial lake exploration. A representation of the entire probe deployment process is captured in a Markov chain. The transition from one state to the next depends on several factors, including reliability of components and processes. We use fault trees to quantify the probability of failure of the complex processes that must take place to facilitate the transition from one state to another. Therefore, the formal framework consists of integrating a Markov chain, fault trees, component and subsystem reliability data and expert judgment. To illustrate its application we describe how the approach can be used to address a series of what-if scenarios, using the intended Ellsworth Subglacial Lake probe deployment as a case study.</t>
  </si>
  <si>
    <t>[Brito, M. P.; Griffiths, G.; Mowlem, M.] Univ Southampton, Natl Oceanog Ctr, Southampton, Hants, England</t>
  </si>
  <si>
    <t>NERC National Oceanography Centre; University of Southampton</t>
  </si>
  <si>
    <t>Brito, MP (corresponding author), Univ Southampton, Natl Oceanog Ctr, Southampton, Hants, England.</t>
  </si>
  <si>
    <t>mario.brito@noc.ac.uk</t>
  </si>
  <si>
    <t>Brito, Mario/0000-0002-1779-4535; Mowlem, Matthew/0000-0001-7613-6121</t>
  </si>
  <si>
    <t>UK Natural Environment Research Council (NERC) under the Oceans research programme; NERC grant [NE/G004242/1]; Natural Environment Research Council [noc010003, noc010013, NE/G004242/1] Funding Source: researchfish; NERC [NE/G004242/1, noc010003, noc010013] Funding Source: UKRI</t>
  </si>
  <si>
    <t>UK Natural Environment Research Council (NERC) under the Oceans research programme(UK Research &amp; Innovation (UKRI)Natural Environment Research Council (NERC)); NERC grant(UK Research &amp; Innovation (UKRI)Natural Environment Research Council (NERC)); Natural Environment Research Council(UK Research &amp; Innovation (UKRI)Natural Environment Research Council (NERC)); NERC(UK Research &amp; Innovation (UKRI)Natural Environment Research Council (NERC))</t>
  </si>
  <si>
    <t>M.B. and G.G. were supported by the UK Natural Environment Research Council (NERC) under the Oceans2025 research programme, while M.M. was supported under NERC grant NE/G004242/1. We thank the Ellsworth team at the National Oceanography Centre, Southampton, for freely taking part in the judgment elicitation exercise. We thank our colleagues at BAS, particularly Keith Makinson, for providing insightful details on the hot-water drilling process, and the experts that took part in the elicitation exercise.</t>
  </si>
  <si>
    <t>10.3189/2012JoG12J007</t>
  </si>
  <si>
    <t>WOS:000312479400005</t>
  </si>
  <si>
    <t>Carrivick, JL; Davies, BJ; Glasser, NF; Nyvlt, D; Hambrey, MJ</t>
  </si>
  <si>
    <t>Carrivick, Jonathan L.; Davies, Bethan J.; Glasser, Neil F.; Nyvlt, Daniel; Hambrey, Michael J.</t>
  </si>
  <si>
    <t>Late-Holocene changes in character and behaviour of land-terminating glaciers on James Ross Island, Antarctica</t>
  </si>
  <si>
    <t>ARCTIC VALLEY GLACIER; BASAL ICE FACIES; MORAINE DEVELOPMENT; VESTFOLD HILLS; MASS-BALANCE; PENINSULA; SHELF; LEVEL; SHEET; HISTORY</t>
  </si>
  <si>
    <t>Virtually no information is available on the response of land-terminating Antarctic Peninsula glaciers to climate change on a centennial timescale. This paper analyses the topography, geomorphology and sedimentology of prominent moraines on James Ross Island, Antarctica, to determine geometric changes and to interpret glacier behaviour. The moraines are very likely due to a late-Holocene phase of advance and featured (1) shearing and thrusting within the snout, (2) shearing and deformation of basal sediment, (3) more supraglacial debris than at present and (4) short distances of sediment transport. Retreat of similar to 100 m and thinning of 15-20 m has produced a loss of 0.1 km(3) of ice. The pattern of surface lowering is asymmetric. These geometrical changes are suggested most simply to be due to a net negative mass balance caused by a drier climate. Comparisons of the moraines with the current glaciological surface structure of the glaciers permits speculation of a transition from a polythermal to a cold-based thermal regime. Small land-terminating glaciers in the northern Antarctic Peninsula region could be cooling despite a warming climate.</t>
  </si>
  <si>
    <t>[Carrivick, Jonathan L.] Univ Leeds, Sch Geog, Leeds LS2 9JT, W Yorkshire, England; [Davies, Bethan J.; Glasser, Neil F.; Hambrey, Michael J.] Aberystwyth Univ, Inst Geog &amp; Earth Sci, Aberdeen, Scotland; [Nyvlt, Daniel] Czech Geol Survey, Brno, Czech Republic</t>
  </si>
  <si>
    <t>University of Leeds; Aberystwyth University; Czech Geological Survey</t>
  </si>
  <si>
    <t>Carrivick, JL (corresponding author), Univ Leeds, Sch Geog, Leeds LS2 9JT, W Yorkshire, England.</t>
  </si>
  <si>
    <t>j.l.carrivick@leeds.ac.uk</t>
  </si>
  <si>
    <t>Nyvlt, Daniel/J-6504-2019</t>
  </si>
  <si>
    <t>Nyvlt, Daniel/0000-0002-6876-490X; Davies, Bethan/0000-0002-8636-1813; Glasser, Neil/0000-0002-8245-2670; Carrivick, Jonathan/0000-0002-9286-5348</t>
  </si>
  <si>
    <t>UK Natural Environment Research Council (NERC) Antarctic Funding Initiative (AFI) award [NE/F012896/1]; research and development project VaV SP II of the Ministry of the Environment of the Czech Republic [1a9/23/07]; Czech Science Foundation [205/09/1876]; NERC [NE/F012942/1, NE/F012896/1] Funding Source: UKRI; Natural Environment Research Council [NE/F012942/1, NE/F012896/1] Funding Source: researchfish</t>
  </si>
  <si>
    <t>UK Natural Environment Research Council (NERC) Antarctic Funding Initiative (AFI) award; research and development project VaV SP II of the Ministry of the Environment of the Czech Republic; Czech Science Foundation(Grant Agency of the Czech Republic); NERC(UK Research &amp; Innovation (UKRI)Natural Environment Research Council (NERC)); Natural Environment Research Council(UK Research &amp; Innovation (UKRI)Natural Environment Research Council (NERC))</t>
  </si>
  <si>
    <t>This paper is an output from the UK Natural Environment Research Council (NERC) Antarctic Funding Initiative (AFI) award NE/F012896/1. We are very grateful to BAS for excellent and professional logistical support, especially BAS Field Assistant Alan Hill for his enthusiastic and competent work, and the January-March 2011 crew of the RRS Ernest Shackleton and RRS James Clark Ross. We thank the personnel at Mendel Base for their gracious hospitality during our few visits. D.N. was supported by research and development project VaV SP II 1a9/23/07 of the Ministry of the Environment of the Czech Republic and by the grant of the Czech Science Foundation 205/09/1876.</t>
  </si>
  <si>
    <t>10.3189/2012JoG11J148</t>
  </si>
  <si>
    <t>WOS:000312479400013</t>
  </si>
  <si>
    <t>Gladish, CV; Holland, DM; Holland, PR; Price, SF</t>
  </si>
  <si>
    <t>Gladish, Carl V.; Holland, David M.; Holland, Paul R.; Price, Stephen F.</t>
  </si>
  <si>
    <t>Ice-shelf basal channels in a coupled ice/ocean model</t>
  </si>
  <si>
    <t>OCEAN CIRCULATION BENEATH; PINE ISLAND GLACIER; WEST ANTARCTICA; SHEET DYNAMICS; GREENLAND; WATERS; FLOW; VELOCITY; RETREAT; PLUMES</t>
  </si>
  <si>
    <t>A numerical model for an interacting ice shelf and ocean is presented in which the ice-shelf base exhibits a channelized morphology similar to that observed beneath Petermann Gletscher's (Greenland) floating ice shelf. Channels are initiated by irregularities in the ice along the grounding line and then enlarged by ocean melting. To a first approximation, spatially variable basal melting seaward of the grounding line acts as a steel-rule die or a stencil, imparting a channelized form to the ice base as it passes by. Ocean circulation in the region of high melt is inertial in the along-channel direction and geostrophically balanced in the transverse direction. Melt rates depend on the wavelength of imposed variations in ice thickness where it enters the shelf, with shorter wavelengths reducing overall melting. Petermann Gletscher's narrow basal channels may therefore act to preserve the ice shelf against excessive melting. Overall melting in the model increases for a warming of the subsurface water. The same sensitivity holds for very slight cooling, but for cooling of a few tenths of a degree a reorganization of the spatial pattern of melting leads, surprisingly, to catastrophic thinning of the ice shelf 12 km from the grounding line. Subglacial discharge of fresh water along the grounding line increases overall melting. The eventual steady state depends on when discharge is initiated in the transient history of the ice, showing that multiple steady states of the coupled system exist in general.</t>
  </si>
  <si>
    <t>[Gladish, Carl V.] New York Univ Abu Dhabi, Abu Dhabi, U Arab Emirates; [Gladish, Carl V.; Holland, David M.] NYU, New York, NY USA; [Holland, Paul R.] British Antarctic Survey, NERC, Cambridge CB3 0ET, England; [Price, Stephen F.] Los Alamos Natl Lab, Los Alamos, NM USA</t>
  </si>
  <si>
    <t>New York University Abu Dhabi; New York University; UK Research &amp; Innovation (UKRI); Natural Environment Research Council (NERC); NERC British Antarctic Survey; United States Department of Energy (DOE); Los Alamos National Laboratory</t>
  </si>
  <si>
    <t>Gladish, CV (corresponding author), New York Univ Abu Dhabi, Abu Dhabi, U Arab Emirates.</t>
  </si>
  <si>
    <t>cvg222@nyu.edu</t>
  </si>
  <si>
    <t>Holland, Paul R/G-2796-2012; Price, Stephen/E-1568-2013</t>
  </si>
  <si>
    <t>Price, Stephen/0000-0001-6878-2553</t>
  </si>
  <si>
    <t>IMPACTS project; US Department of Energy's Program in Biological and Environmental Research; NERC [bas0100033, NE/N01801X/1, bas0100028] Funding Source: UKRI; Natural Environment Research Council [NE/N01801X/1, bas0100028, bas0100033] Funding Source: researchfish</t>
  </si>
  <si>
    <t>IMPACTS project; US Department of Energy's Program in Biological and Environmental Research; NERC(UK Research &amp; Innovation (UKRI)Natural Environment Research Council (NERC)); Natural Environment Research Council(UK Research &amp; Innovation (UKRI)Natural Environment Research Council (NERC))</t>
  </si>
  <si>
    <t>We thank Andrew Fleming and Tom Milgate for providing Figure 1. Bill Lipscomb provided valuable guidance regarding model coupling. Adrian Jenkins made helpful suggestions regarding entrainment and subglacial discharge. This study was funded by the IMPACTS project sponsored by the US Department of Energy's Program in Biological and Environmental Research.</t>
  </si>
  <si>
    <t>10.3189/2012JoG12J003</t>
  </si>
  <si>
    <t>WOS:000312479400017</t>
  </si>
  <si>
    <t>Waagner, D; Bayley, M; Mariën, J; Holmstrup, M; Ellers, J; Roelofs, D</t>
  </si>
  <si>
    <t>Waagner, Dorthe; Bayley, Mark; Marien, Janine; Holmstrup, Martin; Ellers, Jacintha; Roelofs, Dick</t>
  </si>
  <si>
    <t>Ecological and molecular consequences of prolonged drought and subsequent rehydration in Folsomia candida (Collembola)</t>
  </si>
  <si>
    <t>JOURNAL OF INSECT PHYSIOLOGY</t>
  </si>
  <si>
    <t>Cuticle; Chitinase; Moult; Recovery; smHsp; Vitellogenin</t>
  </si>
  <si>
    <t>HEAT-SHOCK PROTEINS; WATER-VAPOR ABSORPTION; GENE-EXPRESSION; FLESH FLY; VITELLOGENIN GENE; TRANSCRIPTIONAL REGULATION; JUVENILE-HORMONE; ANTARCTIC MIDGE; STRESS; DEHYDRATION</t>
  </si>
  <si>
    <t>Drought tolerance in water-permeable, soil-living Collembola (e.g. Folsomia candida) is achieved due to a unique water vapour absorption mechanism, where accumulation of sugars and polyols is essential. However, the molecular mechanisms underlying such adaptation as well as the maintenance of this survival strategy and the responses to rehydration after prolonged drought in these soil-living Collembola are unclear. In the present study, the functional relationships between ecological drought responses and expression of related target genes were investigated in F. candida exposed to mild and severe drought for up to 5 weeks by relating survival, moulting and reproduction rate with mRNA-level expression of 7 target genes during drought, dehydration and rehydration. Prolonged drought and subsequent rehydration induced significant changes in gene expression which could be related to the fitness traits studied. In F. candida the ecological and molecular responses to mild drought differed from those of severe drought. From the changes in gene expression, where significantly increased expression of Glucose-6-phosphate-isomerase (gpi) and Heat shock protein 70 (hsp70) was dominating, it is proposed that protection of cellular structure and function during prolonged mild drought (98.2% RH) is partly achieved from a continuous accumulation of compatible osmolytes in F. candida. To achieve protection during and after prolonged severe drought (96.1% RH), components related to cell division and development such as inositol monophosphatase and one of the small heat shock proteins (sHsps), Heat shock protein 23 (hsp23), seem to play an important role in F. candida. (C) 2011 Elsevier Ltd. All rights reserved.</t>
  </si>
  <si>
    <t>[Waagner, Dorthe; Bayley, Mark] Aarhus Univ, Dept Biosci, DK-8000 Aarhus C, Denmark; [Waagner, Dorthe; Holmstrup, Martin] Aarhus Univ, Dept Biosci, DK-8600 Silkeborg, Denmark; [Marien, Janine; Ellers, Jacintha; Roelofs, Dick] Vrije Univ Amsterdam, Dept Anim Ecol, Inst Ecol Sci, Fac Earth &amp; Life Sci, NL-1081 HV Amsterdam, Netherlands</t>
  </si>
  <si>
    <t>Aarhus University; Aarhus University; Vrije Universiteit Amsterdam</t>
  </si>
  <si>
    <t>Waagner, D (corresponding author), Aarhus Univ, Dept Biosci, Ny Munkegade 116, DK-8000 Aarhus C, Denmark.</t>
  </si>
  <si>
    <t>dowa@dmu.dk</t>
  </si>
  <si>
    <t>Ellers, Jacintha/K-5823-2012; Holmstrup, Martin/E-8731-2017; Holmstrup, Martin/I-7463-2013; Bayley, Mark/J-5947-2013</t>
  </si>
  <si>
    <t>Ellers, Jacintha/0000-0003-2665-1971; Holmstrup, Martin/0000-0001-8395-6582; Bayley, Mark/0000-0001-8052-2551; Marien, Janine/0000-0001-7600-5594; Roelofs, Dick/0000-0003-3954-3590</t>
  </si>
  <si>
    <t>CLIMAITE; Villum Kann Rasmussen foundation; European Science Foundation</t>
  </si>
  <si>
    <t>CLIMAITE; Villum Kann Rasmussen foundation(Villum Fonden); European Science Foundation(European Science Foundation (ESF))</t>
  </si>
  <si>
    <t>This study was financed by the CLIMAITE project funded by the Villum Kann Rasmussen foundation and D.W. received funding from the ThermAdapt research network programme of the European Science Foundation (http://www.esf.org/thermadapt). Two anonymous reviewers are thanked for the fruitful comments and suggestions.</t>
  </si>
  <si>
    <t>0022-1910</t>
  </si>
  <si>
    <t>1879-1611</t>
  </si>
  <si>
    <t>J INSECT PHYSIOL</t>
  </si>
  <si>
    <t>J. Insect Physiol.</t>
  </si>
  <si>
    <t>10.1016/j.jinsphys.2011.10.008</t>
  </si>
  <si>
    <t>Entomology; Physiology; Zoology</t>
  </si>
  <si>
    <t>895DZ</t>
  </si>
  <si>
    <t>WOS:000300477700018</t>
  </si>
  <si>
    <t>Fabón, G; Monforte, L; Tomás-Las-Heras, R; Núñez-Olivera, E; Martínez-Abaigar, J</t>
  </si>
  <si>
    <t>Fabon, Gabriel; Monforte, Laura; Tomas-Las-Heras, Rafael; Nunez-Olivera, Encarnacion; Martinez-Abaigar, Javier</t>
  </si>
  <si>
    <t>Dynamic response of UV-absorbing compounds, quantum yield and the xanthophyll cycle to diel changes in UV-B and photosynthetic radiations in an aquatic liverwort</t>
  </si>
  <si>
    <t>JOURNAL OF PLANT PHYSIOLOGY</t>
  </si>
  <si>
    <t>Diel changes; Hydroxycinnamic acids; Liverworts; UV-absorbing compounds; UV-B</t>
  </si>
  <si>
    <t>UNCINATA HEDW. LOESKE; OZONE DEPLETION; ULTRAVIOLET-RADIATION; ANTARCTIC MOSS; PLANTS; ACID; PIGMENTATION; PERFORMANCE; DAMAGE; LIGHT</t>
  </si>
  <si>
    <t>We studied the diet responses of the liverwort Jungermannia exsertifolia subsp. cordifolia to radiation changes under laboratory conditions. The samples were exposed to three radiation regimes: P (only PAR), PA (PAR + UV-A), and PAB (PAR + UV-A + UV-B). The day was divided in four periods: darkness, a first low-PAR period, the high-PAR plus UV period, and a second low-PAR period. After 15 days of culture, we measured photosynthetic pigments, chlorophyll fluorescence and UV-absorbing compounds in the four periods of the day on two consecutive days. With respect to UV-absorbing compounds, we analyzed their global amount (as the bulk UV absorbance of methanolic extracts) and the concentration of seven hydroxycinnamic acid derivatives, both in the soluble (mainly vacuolar) and insoluble (cell wall-bound) fractions of the plant extracts. PAB samples increased the bulk UV absorbance of the soluble and insoluble fractions, and the concentrations of p-coumaroylmalic acid in the soluble fraction and p-coumaric acid in the cell wall. Most of these variables showed significant diel changes and responded within a few hours to radiation changes (more strongly to UV-B), increasing at the end of the period of high-PAR plus UV. F-v/F-m, Phi(PSII), NPQ and the components of the xanthophyll cycle showed significant and quick diet changes in response to high PAR, UV-A and UV-B radiation, indicating dynamic photoinhibition and protection of PSII from excess radiation through the xanthophyll cycle. Thus, the liverwort showed a dynamic protection and acclimation capacity to the irradiance level and spectral characteristics of the radiation received. (C) 2011 Elsevier GmbH. All rights reserved.</t>
  </si>
  <si>
    <t>[Fabon, Gabriel; Monforte, Laura; Tomas-Las-Heras, Rafael; Nunez-Olivera, Encarnacion; Martinez-Abaigar, Javier] Univ La Rioja, Logrono 26006, La Rioja, Spain</t>
  </si>
  <si>
    <t>Universidad de La Rioja</t>
  </si>
  <si>
    <t>Martínez-Abaigar, J (corresponding author), Univ La Rioja, Edificio Cient Tecnol,Avda Madre de Dios 51, Logrono 26006, La Rioja, Spain.</t>
  </si>
  <si>
    <t>javier.martinez@unirioja.es</t>
  </si>
  <si>
    <t>Martinez-Abaigar, Javier/L-7000-2014; Tomas-Las-Heras, Rafael/M-2754-2018; Monforte, Laura/P-3410-2014; Nunez-Olivera, Encarnacion/L-7164-2014</t>
  </si>
  <si>
    <t>Martinez-Abaigar, Javier/0000-0002-9762-9862; Tomas-Las-Heras, Rafael/0000-0002-8496-7280; Monforte, Laura/0000-0002-7062-5650; Nunez-Olivera, Encarnacion/0000-0002-7221-3852</t>
  </si>
  <si>
    <t>Ministerio de Ciencia e Innovacion of Spain [CGL2008-04450]; Gobierno de La Rioja [PRED2010/16]</t>
  </si>
  <si>
    <t>Ministerio de Ciencia e Innovacion of Spain(Spanish Government); Gobierno de La Rioja</t>
  </si>
  <si>
    <t>We are grateful to the Ministerio de Ciencia e Innovacion of Spain (Project CGL2008-04450) for financial support. Gabriel Fabon benefited from the Projects Colabora 2008/04 and 2009/07 (Gobierno de La Rioja, Spain). Laura Monforte benefited from a grant of the Gobierno de La Rioja (PRED2010/16). The Gobierno de La Rioja authorized our work in the Natural Park of Sierra Cebollera. The present work is integrated in the COST (European Cooperation in Science and Technology) Action FA0906 of the European Union UV-B radiation: a specific regulator of plant growth and food quality in a changing climate.</t>
  </si>
  <si>
    <t>ELSEVIER GMBH</t>
  </si>
  <si>
    <t>MUNICH</t>
  </si>
  <si>
    <t>HACKERBRUCKE 6, 80335 MUNICH, GERMANY</t>
  </si>
  <si>
    <t>0176-1617</t>
  </si>
  <si>
    <t>1618-1328</t>
  </si>
  <si>
    <t>J PLANT PHYSIOL</t>
  </si>
  <si>
    <t>J. Plant Physiol.</t>
  </si>
  <si>
    <t>10.1016/j.jplph.2011.08.010</t>
  </si>
  <si>
    <t>886KG</t>
  </si>
  <si>
    <t>WOS:000299852700003</t>
  </si>
  <si>
    <t>Padovani, LN; Viñas, MD; Sánchez, F; Mianzan, H</t>
  </si>
  <si>
    <t>Padovani, Luciano N.; Delia Vinas, Maria; Sanchez, Felisa; Mianzan, Hermes</t>
  </si>
  <si>
    <t>Amphipod-supported food web: Themisto gaudichaudii, a key food resource for fishes in the southern Patagonian Shelf</t>
  </si>
  <si>
    <t>JOURNAL OF SEA RESEARCH</t>
  </si>
  <si>
    <t>Fish diet; Hyperiid amphipod; Trophic ecology; Wasp-waist ecosystem; Southwest Atlantic Ocean</t>
  </si>
  <si>
    <t>ICEFISH CHAMPSOCEPHALUS-GUNNARI; FALKLAND ISLANDS; INDIAN-OCEAN; ANTARCTIC PENINSULA; ZOOPLANKTON BIOMASS; KERGUELEN ISLANDS; ILLEX-ARGENTINUS; FEEDING ECOLOGY; AUSTRAL SUMMER; SCOTIA SEA</t>
  </si>
  <si>
    <t>The trophic role of the hyperiid amphipod Themisto gaudichaudii in the southern Patagonian shelf food web was assessed from the analysis of stomach contents of the local fish assemblage. A total of 461 trawl samples were collected during seven seasonal cruises. A total of 17 out of 38 fish species were found to ingest T. gaudichaudii. This amphipod was a main prey item in five of these species, showing high values of alimentary index: Seriolella porosa (99.9%), Macruronus magellanicus (68.8%), Micromesistius australis (59.1%). Patagonotothen ramsayi (48.6%), and Merluccius hubbsi (10.9%). The contribution of T. gaudichaudii, in weight, to their summer diet was 60%, on average. This contribution was minimal in winter and maximal in summer. Fisheries studies have indicated that these five species, mainly M. magellanicus, account for almost 85% of the fish biomass in the area. Although the remaining 15% did not feed heavily on T. gaudichaudii, they are known to prey on the main hyperiid predators. Our study shows that T. gaudichaudii contributes greatly, both directly and indirectly, to supporting the fish community. We thus proposed that T. gaudichaudii plays a key role as a wasp-waist species in the sub-Antarctic region, similar to that of krill in Antarctic waters, channeling the energy flow and enabling a short and efficient food chain. (C) 2011 Elsevier B.V. All rights reserved.</t>
  </si>
  <si>
    <t>[Padovani, Luciano N.; Delia Vinas, Maria; Sanchez, Felisa; Mianzan, Hermes] Inst Nacl Invest &amp; Desarrollo Pesquero INIDEP, Mar Del Plata, Buenos Aires, Argentina; [Padovani, Luciano N.; Delia Vinas, Maria; Mianzan, Hermes] Consejo Nacl Invest Cient &amp; Tecn, RA-1033 Buenos Aires, DF, Argentina; [Padovani, Luciano N.; Delia Vinas, Maria] Univ Nacl Mar del Plata, Mar Del Plata, Argentina</t>
  </si>
  <si>
    <t>Consejo Nacional de Investigaciones Cientificas y Tecnicas (CONICET); National Fisheries Research &amp; Development Institute (INIDEP); Consejo Nacional de Investigaciones Cientificas y Tecnicas (CONICET); National University of Mar del Plata</t>
  </si>
  <si>
    <t>Padovani, LN (corresponding author), Inst Nacl Invest &amp; Desarrollo Pesquero INIDEP, Paseo V Ocampo 1,B7602HSA, Mar Del Plata, Buenos Aires, Argentina.</t>
  </si>
  <si>
    <t>lucianopadovani@inidep.edu.ar</t>
  </si>
  <si>
    <t>Agencia Nacional de Promocion Cientifica y Tecnologica [PICT 15227/03, 02200]; Universidad Nacional de Mar del Plata [15/E269]; Inter-American Institute for Global Change Research (IAI) CRN [420 2076]; US National Science Foundation [GEO-0452325]</t>
  </si>
  <si>
    <t>Agencia Nacional de Promocion Cientifica y Tecnologica(ANPCyTSpanish Government); Universidad Nacional de Mar del Plata(National University of La Plata); Inter-American Institute for Global Change Research (IAI) CRN; US National Science Foundation(National Science Foundation (NSF))</t>
  </si>
  <si>
    <t>We gratefully acknowledge Noemi Mad and Marta Orduna for collecting samples and data processing. We also thank the officers and crews of the RV Capitan Oca Balda and Dr. Eduardo Holmberg. We are indebted to Brenda Temperoni, Victoria Gonzalez Carman and Marina Marrari for their useful comments on earlier versions of the manuscript This work was partially supported by the Agencia Nacional de Promocion Cientifica y Tecnologica (grant number PICT 15227/03 to M.D.V. and 02200 to HM), Universidad Nacional de Mar del Plata (grant number 15/E269 to M.D.V.) and the Inter-American Institute for Global Change Research (IAI) CRN 420 2076 sponsored by the US National Science Foundation Grant GEO-0452325 to HM.</t>
  </si>
  <si>
    <t>1385-1101</t>
  </si>
  <si>
    <t>1873-1414</t>
  </si>
  <si>
    <t>J SEA RES</t>
  </si>
  <si>
    <t>J. Sea Res.</t>
  </si>
  <si>
    <t>10.1016/j.seares.2011.10.007</t>
  </si>
  <si>
    <t>Marine &amp; Freshwater Biology; Oceanography</t>
  </si>
  <si>
    <t>897LN</t>
  </si>
  <si>
    <t>WOS:000300652300010</t>
  </si>
  <si>
    <t>Jakowski, N; Béniguel, Y; De Franceschi, G; Pajares, MH; Jacobsen, KS; Stanislawska, I; Tomasik, L; Warnant, R; Wautelet, G</t>
  </si>
  <si>
    <t>Jakowski, Norbert; Beniguel, Yannick; De Franceschi, Giorgiana; Hernandez Pajares, Manuel; Jacobsen, Knut Stanley; Stanislawska, Iwona; Tomasik, Lukasz; Warnant, Rene; Wautelet, Gilles</t>
  </si>
  <si>
    <t>Monitoring, tracking and forecasting ionospheric perturbations using GNSS techniques</t>
  </si>
  <si>
    <t>JOURNAL OF SPACE WEATHER AND SPACE CLIMATE</t>
  </si>
  <si>
    <t>ionosphere; space weather; total electron content; disturbances; positioning system</t>
  </si>
  <si>
    <t>GLOBAL POSITIONING SYSTEM; TOTAL ELECTRON-CONTENT; SCINTILLATION; GRADIENTS; OCTOBER; STORM; TIDS</t>
  </si>
  <si>
    <t>The paper reviews the current state of GNSS-based detection, monitoring and forecasting of ionospheric perturbations in Europe in relation to the COST action ES0803 Developing Space Weather Products and Services in Europe''. Space weather research and related ionospheric studies require broad international collaboration in sharing databases, developing analysis software and models and providing services. Reviewed is the European GNSS data basis including ionospheric services providing derived data products such as the Total Electron Content (TEC) and radio scintillation indices. Fundamental ionospheric perturbation phenomena covering quite different scales in time and space are discussed in the light of recent achievements in GNSS-based ionospheric monitoring. Thus, large-scale perturbation processes characterized by moving ionization fronts, wave-like travelling ionospheric disturbances and finally small-scale irregularities causing radio scintillations are considered. Whereas ground and space-based GNSS monitoring techniques are well developed, forecasting of ionospheric perturbations needs much more work to become attractive for users who might be interested in condensed information on the perturbation degree of the ionosphere by robust indices. Finally, we have briefly presented a few samples illustrating the space weather impact on GNSS applications thus encouraging the scientific community to enhance space weather research in upcoming years.</t>
  </si>
  <si>
    <t>[Jakowski, Norbert] German Aerosp Ctr, Inst Commun &amp; Nav, Neustrelitz, Germany; [Beniguel, Yannick] IEEA, Courbevoie, France; [De Franceschi, Giorgiana] Ist Nazl Geofis &amp; Vulcanol, Rome, Italy; [Hernandez Pajares, Manuel] Univ Politecn Cataluna, Res Grp Astron &amp; Geomat, Barcelona, Spain; [Jacobsen, Knut Stanley] Norwegian Mapping Author, Geodet Inst, Honefoss, Norway; [Stanislawska, Iwona; Tomasik, Lukasz] Space Res Ctr PAS, Warsaw, Poland; [Warnant, Rene; Wautelet, Gilles] Univ Liege, Unit Geomat Geodesy &amp; GNSS, B-4000 Liege, Belgium</t>
  </si>
  <si>
    <t>Helmholtz Association; German Aerospace Centre (DLR); Istituto Nazionale Geofisica e Vulcanologia (INGV); Consejo Superior de Investigaciones Cientificas (CSIC); CSIC-UCM - Instituto de Astronomia y Geodesia (IAG); Universitat Politecnica de Catalunya; Polish Academy of Sciences; Space Research Centre of the Polish Academy of Sciences; Centrum Badan Kosmicznych, Polish Academy of Sciences; University of Liege</t>
  </si>
  <si>
    <t>Jakowski, N (corresponding author), German Aerosp Ctr, Inst Commun &amp; Nav, Neustrelitz, Germany.</t>
  </si>
  <si>
    <t>Norbert.Jakowski@dlr.de</t>
  </si>
  <si>
    <t>; Hernandez-Pajares, Manuel/O-5338-2017; Jakowski, Norbert/L-3827-2014</t>
  </si>
  <si>
    <t>Stanislawska, Iwona/0000-0002-2291-0342; Tomasik, Lukasz/0000-0002-9128-3514; Jacobsen, Knut Stanley/0000-0002-7771-4701; De Franceschi, Giorgiana/0000-0002-3943-6798; Hernandez-Pajares, Manuel/0000-0002-9687-5850; Jakowski, Norbert/0000-0003-3174-2624</t>
  </si>
  <si>
    <t>COST action [ES0803]; PNRA (Programma Nazionale di Ricerche in Antartide); NERC [BIGF010001] Funding Source: UKRI; Natural Environment Research Council [BIGF010001] Funding Source: researchfish</t>
  </si>
  <si>
    <t>COST action(European Cooperation in Science and Technology (COST)); PNRA (Programma Nazionale di Ricerche in Antartide); NERC(UK Research &amp; Innovation (UKRI)Natural Environment Research Council (NERC)); Natural Environment Research Council(UK Research &amp; Innovation (UKRI)Natural Environment Research Council (NERC))</t>
  </si>
  <si>
    <t>The authors thank the geodetic community, i.e., IGS, EUREF and national GNSS networks for making available high-quality GNSS data. We are grateful to COST action ES0803 for initiating, coordinating and supporting collaboration within international projects. Arctic and Antarctic GNSS network ISACCO is partially supported by PNRA (Programma Nazionale di Ricerche in Antartide). Finally, we thank also our co-workers for their assistance in preparing this review.</t>
  </si>
  <si>
    <t>EDP SCIENCES S A</t>
  </si>
  <si>
    <t>LES ULIS CEDEX A</t>
  </si>
  <si>
    <t>17, AVE DU HOGGAR, PA COURTABOEUF, BP 112, F-91944 LES ULIS CEDEX A, FRANCE</t>
  </si>
  <si>
    <t>2115-7251</t>
  </si>
  <si>
    <t>J SPACE WEATHER SPAC</t>
  </si>
  <si>
    <t>J. Space Weather Space Clim.</t>
  </si>
  <si>
    <t>A22</t>
  </si>
  <si>
    <t>10.1051/swsc/2012022</t>
  </si>
  <si>
    <t>Astronomy &amp; Astrophysics; Geochemistry &amp; Geophysics; Meteorology &amp; Atmospheric Sciences</t>
  </si>
  <si>
    <t>226AY</t>
  </si>
  <si>
    <t>WOS:000325007800022</t>
  </si>
  <si>
    <t>Case, JA</t>
  </si>
  <si>
    <t>Case, Judd A.</t>
  </si>
  <si>
    <t>DIVERSITY, ABUNDANCE AND TURNOVER IN THE ANTARCTIC MARINE FAUNA DURING THE EOCENE IN RESPONSE TO CLIMATE CHANGE</t>
  </si>
  <si>
    <t>JOURNAL OF VERTEBRATE PALEONTOLOGY</t>
  </si>
  <si>
    <t>72nd Annual Meeting of the Society-of-Vertebrate-Paleontology</t>
  </si>
  <si>
    <t>OCT 17-20, 2012</t>
  </si>
  <si>
    <t>N Carolina Museum Nat Sci, Raleigh, NC</t>
  </si>
  <si>
    <t>N Carolina Museum Nat Sci</t>
  </si>
  <si>
    <t>[Case, Judd A.] Eastern Washington Univ, Cheney, WA 99004 USA</t>
  </si>
  <si>
    <t>Eastern Washington University</t>
  </si>
  <si>
    <t>325 CHESTNUT ST, SUITE 800, PHILADELPHIA, PA 19106 USA</t>
  </si>
  <si>
    <t>0272-4634</t>
  </si>
  <si>
    <t>1937-2809</t>
  </si>
  <si>
    <t>J VERTEBR PALEONTOL</t>
  </si>
  <si>
    <t>J. Vertebr. Paleontol.</t>
  </si>
  <si>
    <t>Paleontology</t>
  </si>
  <si>
    <t>070HE</t>
  </si>
  <si>
    <t>WOS:000313496400096</t>
  </si>
  <si>
    <t>De los Ríos-Escalante, P; Mansilla, A; Anderson, CB</t>
  </si>
  <si>
    <t>De los Rios-Escalante, Patricio; Mansilla, Andres; Anderson, Christopher B.</t>
  </si>
  <si>
    <t>Revision of the distribution of Hyalella Smith, 1874 (Crustacea, Amphipoda) in Patagonia and adjacent islands</t>
  </si>
  <si>
    <t>LATIN AMERICAN JOURNAL OF AQUATIC RESEARCH</t>
  </si>
  <si>
    <t>Hyalella; amphipods; biogeography; subantarctic islands; Patagonia; Chile</t>
  </si>
  <si>
    <t>TIERRA-DEL-FUEGO; CAPE HORN; CHILE CRUSTACEA; NATIONAL-PARK; 38-DEGREES-S; CONSERVATION; BIODIVERSITY; DIVERSITY; AMERICA</t>
  </si>
  <si>
    <t>This study reviews the amphipod species of the genus Hyalella in the inland waters of Patagonia, Tierra del Fuego Island, Cape Horn Biosphere Reserve, and adjacent islands (38-54 degrees S). This southern zone has numerous kinds of continental water bodies such as lakes, wetlands, and streams, and the main species in benthic assemblages are amphipods of the genus Hyalella. The literature mentions the presence of H. costera, H. chiloensis, H. falklaidensis, H. franciscae, H. neonoma, H. patagonica, H. rionegrina, and H. simplex. The distribution of these species agrees with biogeographical studies about the presence of widespread, endemic species in southern Patagonia and the sub-Antarctic zone. In spite of the presence of introduced predatory species, the literature indicates that the amphipods are more abundant due to the presence of particulated organic matter.</t>
  </si>
  <si>
    <t>[De los Rios-Escalante, Patricio] Escuela Ciencias Ambientales, Lab Ecol Aplicada &amp; Biodiversidad, Cadiz, Spain; [De los Rios-Escalante, Patricio] Univ Catolica Temuco, Nucleo Estudios Ambientales, Temuco, Chile; [Mansilla, Andres] Univ Magallanes, Dept Ciencias &amp; Recursos Nat, Inst Ecol &amp; Biodiversidad, Punta Arenas, Chile; [Anderson, Christopher B.] Univ Magallanes, Subantarctic Biocultural Conservat Program, Puerto Williams, Chile; [Anderson, Christopher B.] Univ N Texas, Denton, TX 76203 USA</t>
  </si>
  <si>
    <t>Universidad Catolica de Temuco; Universidad de Magallanes; Universidad de Magallanes; University of North Texas System; University of North Texas Denton</t>
  </si>
  <si>
    <t>De los Ríos-Escalante, P (corresponding author), Escuela Ciencias Ambientales, Lab Ecol Aplicada &amp; Biodiversidad, Cadiz, Spain.</t>
  </si>
  <si>
    <t>patorios@msn.com</t>
  </si>
  <si>
    <t>De los Rios Escalante, Patricio R./E-2775-2014; Anderson, Christopher/V-4882-2019</t>
  </si>
  <si>
    <t>De los Rios Escalante, Patricio R./0000-0001-5056-7003; Anderson, Christopher/0000-0001-8120-5689; Mansilla, Andres/0000-0003-3505-7018</t>
  </si>
  <si>
    <t>UNIV CATOLICA DE VALPARAISO</t>
  </si>
  <si>
    <t>VALPARAISO</t>
  </si>
  <si>
    <t>AV BRASIL 2950, PO BOX 4059, VALPARAISO, CHILE</t>
  </si>
  <si>
    <t>0718-560X</t>
  </si>
  <si>
    <t>0717-7178</t>
  </si>
  <si>
    <t>LAT AM J AQUAT RES</t>
  </si>
  <si>
    <t>Lat. Am. J. Aquat. Res.</t>
  </si>
  <si>
    <t>10.3856/vol40-issue2-fulltext-22</t>
  </si>
  <si>
    <t>Fisheries; Marine &amp; Freshwater Biology</t>
  </si>
  <si>
    <t>084CJ</t>
  </si>
  <si>
    <t>WOS:000314513500022</t>
  </si>
  <si>
    <t>Ulloa, E; Anderson, CB; Ardón, M; Murcia, S; Valenzuela, AEJ</t>
  </si>
  <si>
    <t>Ulloa, Erica; Anderson, Christopher B.; Ardon, Marcelo; Murcia, Silvia; Valenzuela, Alejandro E. J.</t>
  </si>
  <si>
    <t>Organic matter characterization and decomposition dynamics in sub-Antarctic streams impacted by invasive beavers</t>
  </si>
  <si>
    <t>Castor canadensis; carbon cycle; decay rate; decomposition; leaf packs; Nothofagus</t>
  </si>
  <si>
    <t>LEAF-LITTER BREAKDOWN; NEW-ZEALAND; INVERTEBRATE COLONIZATION; CAPE HORN; FOREST; DIVERSITY; WAIKATO</t>
  </si>
  <si>
    <t>Despite being a relatively remote and well conserved area, the sub-Antarctic ecoregion faces pressing global threats from climate change, the ozone hole and introduced species. Its freshwater ecosystems are one of the least studied components of this biome, but they are known to confront a host of invasive taxa including trout and beavers. We set out to understand the basic characterization and dynamics of organic matter processing and decomposition in sub-Antarctic streams under natural forest (NF) conditions and in ponds constructed by North American beavers (Castor canadensis) (BP). We found these streams have a naturally stable benthic organic matter regime throughout the year with a peak in leaf input from Nothofagus pumilio in autumn. Beaver ponds significantly increased the retention of organic matter and caused significantly higher decomposition rates, probably associated with increased density and biomass of Hyalella spp. As expected, leaf decay rates for N. pumilio, a deciduous species, were higher (NF: -0.0028 day(-1) +/- 0.0001 SE; BP: -0.0118 day(-1) +/- 0.0009 SE) than N. betuloides (a broad-leaf evergreen) (NF: -0.0018 day(-1) +/- 0.0005 SE; BP: -0.0040 day(-1) +/- 0.0003 SE). Overall these results indicate that the naturally low decomposition rates (slower than 89% of a global survey of decay rates) for these cold, oligotrophic streams are being modified by introduced beavers to resemble more temperate latitudes.</t>
  </si>
  <si>
    <t>[Ulloa, Erica; Murcia, Silvia] Univ Magallanes, Fac Ciencias, Masters Sci Program Management &amp; Conservat Subant, Punta Arenas, Chile; [Anderson, Christopher B.] Univ N Texas, Dept Biol Sci, Denton, TX 76203 USA; [Anderson, Christopher B.; Valenzuela, Alejandro E. J.] Omora Subantarctic Res Alliance, Mocksville, NC USA; [Ardon, Marcelo] E Carolina Univ, Dept Biol, Greenville, NC USA; [Valenzuela, Alejandro E. J.] Univ N Texas, Inst Appl Sci, Denton, TX 76203 USA</t>
  </si>
  <si>
    <t>Universidad de Magallanes; University of North Texas System; University of North Texas Denton; University of North Carolina; East Carolina University; University of North Texas System; University of North Texas Denton</t>
  </si>
  <si>
    <t>Anderson, CB (corresponding author), Univ N Texas, Dept Biol Sci, Denton, TX 76203 USA.</t>
  </si>
  <si>
    <t>canderson@alumni.unc.edu</t>
  </si>
  <si>
    <t>Anderson, Christopher/V-4882-2019</t>
  </si>
  <si>
    <t>Anderson, Christopher/0000-0001-8120-5689; Ardon, Marcelo/0000-0001-7275-2672</t>
  </si>
  <si>
    <t>NSF project [OISE 0854350]; NSF [DBI-0805576]; Universidad de Magallanes Internal Project</t>
  </si>
  <si>
    <t>NSF project(National Science Foundation (NSF)); NSF(National Science Foundation (NSF)); Universidad de Magallanes Internal Project</t>
  </si>
  <si>
    <t>The authors acknowledge a Universidad de Magallanes Internal Project to CBA that subsidized this research, which is part of EU's master's thesis. S. Oyarzun and A. Mansilla loaned laboratory space and equipment to process samples. Dr. J. Kennedy, K. Moses and T. Contador provided field assistance to EU in the placement of the leaf pack experiment. CBA acknowledges NSF project OISE 0854350. MA acknowledges support from NSF DBI-0805576.</t>
  </si>
  <si>
    <t>10.3856/vol40-issue4-fulltext-6</t>
  </si>
  <si>
    <t>084DG</t>
  </si>
  <si>
    <t>WOS:000314516300006</t>
  </si>
  <si>
    <t>Hogg, ID; Wall, DH</t>
  </si>
  <si>
    <t>Bell, EM</t>
  </si>
  <si>
    <t>Hogg, Ian D.; Wall, Diana H.</t>
  </si>
  <si>
    <t>Polar Deserts</t>
  </si>
  <si>
    <t>LIFE AT EXTREMES: ENVIRONMENTS, ORGANISMS AND STRATEGIES FOR SURVIVAL</t>
  </si>
  <si>
    <t>MCMURDO DRY VALLEYS; SOUTHERN VICTORIA LAND; SPRINGTAIL GOMPHIOCEPHALUS-HODGSONI; TAYLOR VALLEY; COLD-TOLERANCE; GRESSITTACANTHA-TERRANOVA; DESICCATION SURVIVAL; SOIL BIODIVERSITY; ANTARCTIC SOILS; SPATIAL SCALES</t>
  </si>
  <si>
    <t>[Hogg, Ian D.] Univ Waikato, Dept Biol Sci, Hamilton 3240, New Zealand; [Wall, Diana H.] Colorado State Univ, Dept Biol, Ft Collins, CO 80523 USA; [Wall, Diana H.] Colorado State Univ, Nat Resource Ecol Lab, Ft Collins, CO 80523 USA</t>
  </si>
  <si>
    <t>University of Waikato; Colorado State University; Colorado State University</t>
  </si>
  <si>
    <t>Hogg, ID (corresponding author), Univ Waikato, Dept Biol Sci, Private Bag 3105, Hamilton 3240, New Zealand.</t>
  </si>
  <si>
    <t>hogg@waikato.ac.nz; diana@nrel.colostate.edu</t>
  </si>
  <si>
    <t>Wall, Diana H/F-5491-2011; Hogg, Ian D./HNS-7393-2023</t>
  </si>
  <si>
    <t>Hogg, Ian D./0000-0002-6685-0089</t>
  </si>
  <si>
    <t>CABI PUBLISHING-C A B INT</t>
  </si>
  <si>
    <t>WALLINGFORD</t>
  </si>
  <si>
    <t>CABI PUBLISHING, WALLINGFORD 0X10 8DE, OXON, ENGLAND</t>
  </si>
  <si>
    <t>978-1-84593-814-7</t>
  </si>
  <si>
    <t>10.1079/9781845938147.0000</t>
  </si>
  <si>
    <t>BDF16</t>
  </si>
  <si>
    <t>WOS:000312995600010</t>
  </si>
  <si>
    <t>Clark, KAJ; Brierley, AS; Pond, DW</t>
  </si>
  <si>
    <t>Clark, K. A. J.; Brierley, A. S.; Pond, D. W.</t>
  </si>
  <si>
    <t>Composition of wax esters is linked to diapause behavior of Calanus finmarchicus in a sea loch environment</t>
  </si>
  <si>
    <t>LIMNOLOGY AND OCEANOGRAPHY</t>
  </si>
  <si>
    <t>ANTARCTIC KRILL; MARINE ZOOPLANKTON; CALANOIDES-ACUTUS; SEASONAL-CHANGES; LIPID-CONTENT; COPEPODS; BUOYANCY; HELGOLANDICUS; PLUMCHRUS; ATLANTIC</t>
  </si>
  <si>
    <t>We studied the seasonal lipid dynamics of Calanus finmarchicus from Loch Etive, a semi-enclosed fjordic environment on the west coast of Scotland, in relation to the diapause behavior of this species. Levels of total lipid and triacylglycerol in individual copepodid stage V (CVs) exhibited clear seasonal trends, with highest levels in June and progressively decreasing through late summer to winter. Wax esters in CVs were more variable, but followed a similar pattern. An index of the level of unsaturation of wax esters, effectively an indicator of the levels of polyunsaturated fatty acids in the wax ester reserves, were highest in midsummer and declined progressively through autumn and winter. Fatty acid analysis of total lipid in the CVs confirmed that the amounts of polyunsaturated fatty acids in the wax esters decreased, while amounts of saturated and monounsaturated fatty acids remained comparatively stable. Polyunsaturated wax esters are selectively catabolized by C. finmarchicus during diapause. Previous studies have linked unsaturation of wax esters in calanoid copepods to the initiation of diapause and buoyancy control, and we hypothesize that selective catabolism of polyunsaturated wax esters is linked to the processes of diapause termination and ascent to surface waters.</t>
  </si>
  <si>
    <t>[Pond, D. W.] British Antarctic Survey, Cambridge CB3 0ET, England; [Clark, K. A. J.; Brierley, A. S.] Univ St Andrews, Scottish Oceans Inst, St Andrews, Fife, Scotland</t>
  </si>
  <si>
    <t>UK Research &amp; Innovation (UKRI); Natural Environment Research Council (NERC); NERC British Antarctic Survey; University of St Andrews</t>
  </si>
  <si>
    <t>Pond, DW (corresponding author), British Antarctic Survey, Cambridge CB3 0ET, England.</t>
  </si>
  <si>
    <t>Brierley, Andrew S/G-8019-2011</t>
  </si>
  <si>
    <t>Scottish Association for Marine Science bursary; Biotechnology and Biology Science Research Council; British Antarctic Survey Ecosystems Programme; Natural Environment Research Council [dml010002, bas0100025] Funding Source: researchfish; NERC [dml010002, bas0100025] Funding Source: UKRI</t>
  </si>
  <si>
    <t>Scottish Association for Marine Science bursary; Biotechnology and Biology Science Research Council; British Antarctic Survey Ecosystems Programme; Natural Environment Research Council(UK Research &amp; Innovation (UKRI)Natural Environment Research Council (NERC)); NERC(UK Research &amp; Innovation (UKRI)Natural Environment Research Council (NERC))</t>
  </si>
  <si>
    <t>We thank the crew of the R/V Seol Mara for assistance in the field and C. Brett for helping with sample collection and sorting. We also thank three anonymous reviewers for constructive comments on the manuscript. This research was supported in part by a Scottish Association for Marine Science bursary to A. Brierley. K. Clark (nee Hill) was funded by a studentship from the Biotechnology and Biology Science Research Council. D. Pond was funded by the British Antarctic Survey Ecosystems Programme.</t>
  </si>
  <si>
    <t>0024-3590</t>
  </si>
  <si>
    <t>1939-5590</t>
  </si>
  <si>
    <t>LIMNOL OCEANOGR</t>
  </si>
  <si>
    <t>Limnol. Oceanogr.</t>
  </si>
  <si>
    <t>10.4319/lo.2012.57.1.0065</t>
  </si>
  <si>
    <t>Limnology; Oceanography</t>
  </si>
  <si>
    <t>865OX</t>
  </si>
  <si>
    <t>WOS:000298321300006</t>
  </si>
  <si>
    <t>Hoffman, JI; Forcada, J</t>
  </si>
  <si>
    <t>Hoffman, Joseph Ivan; Forcada, Jaume</t>
  </si>
  <si>
    <t>Extreme natal philopatry in female Antarctic fur seals (Arctocephalus gazella)</t>
  </si>
  <si>
    <t>MAMMALIAN BIOLOGY</t>
  </si>
  <si>
    <t>Pupping location; Natal site fidelity; Otariid; Pinniped</t>
  </si>
  <si>
    <t>SITE FIDELITY; BIRDS; MAMMALS</t>
  </si>
  <si>
    <t>Natal philopatry is an important component of mammalian behaviour but is difficult to study in natural vertebrate populations due to the requirement for long-term individual-based spatial observations. Consequently, we quantified fine-scale patterns of natal philopatry in an intensively studied colony of Antarctic fur seals (Arctocephalus gazella), where a scaffold walkway allows individual locations to be measured to the nearest metre. Using subcutaneous PIT tags, we tracked the early life histories of 335 females born within the colony, of which 38 were resighted as breeding adults. We found that individual females returned to as little as one body length (2 m) of their birth locations. Moreover, distances between natal and pupping sites were not correlated with female age, but instead tended to decrease with the number of seasons an individual was sighted ashore. This suggests that breeding experience may be a better predictor than age of the ability of females to occupy preferred sites within fur seal colonies. (C) 2011 Deutsche Gesellschaft fur Saugetierkunde. Published by Elsevier GmbH. All rights reserved.</t>
  </si>
  <si>
    <t>[Hoffman, Joseph Ivan] Univ Bielefeld, Dept Anim Behav, D-33501 Bielefeld, Germany; [Forcada, Jaume] British Antarctic Survey, Nat Environm Res Council, Cambridge CB3 0ET, England</t>
  </si>
  <si>
    <t>University of Bielefeld; UK Research &amp; Innovation (UKRI); Natural Environment Research Council (NERC); NERC British Antarctic Survey</t>
  </si>
  <si>
    <t>Hoffman, JI (corresponding author), Univ Bielefeld, Dept Anim Behav, Postfach 100131, D-33501 Bielefeld, Germany.</t>
  </si>
  <si>
    <t>joseph.hoffman@uni-bielefeld.de</t>
  </si>
  <si>
    <t>Forcada, Jaume/GYU-0677-2022; Hoffman, Joseph/K-7725-2012</t>
  </si>
  <si>
    <t>Hoffman, Joseph/0000-0001-5895-8949</t>
  </si>
  <si>
    <t>ELSEVIER GMBH, URBAN &amp; FISCHER VERLAG</t>
  </si>
  <si>
    <t>JENA</t>
  </si>
  <si>
    <t>OFFICE JENA, P O BOX 100537, 07705 JENA, GERMANY</t>
  </si>
  <si>
    <t>1616-5047</t>
  </si>
  <si>
    <t>MAMM BIOL</t>
  </si>
  <si>
    <t>Mamm. Biol.</t>
  </si>
  <si>
    <t>10.1016/j.mambio.2011.09.002</t>
  </si>
  <si>
    <t>892DS</t>
  </si>
  <si>
    <t>WOS:000300267500011</t>
  </si>
  <si>
    <t>Helidoniotis, F; Haddon, M</t>
  </si>
  <si>
    <t>Helidoniotis, Fay; Haddon, Malcolm</t>
  </si>
  <si>
    <t>Growth model selection for juvenile blacklip abalone (Haliotis rubra): assessing statistical and biological validity</t>
  </si>
  <si>
    <t>MARINE AND FRESHWATER RESEARCH</t>
  </si>
  <si>
    <t>Gompertz; juvenile growth; linear growth model; seasonal growth; von Bertalanffy</t>
  </si>
  <si>
    <t>AUSTRALIAN ABALONE; SEASONAL GROWTH; VON-BERTALANFFY; RED ABALONE; SEA-URCHIN; PARAMETERS; LAEVIGATA; RUFESCENS; GOMPERTZ; MAXIMUM</t>
  </si>
  <si>
    <t>Accurate estimates of marine organism growth are important for modelling the dynamics of populations and rely on the selection of an appropriate growth model. However, there is no assurance that the statistically optimum model will also be biologically plausible. Three growth models (von Bertalanffy, Gompertz and a linear model) were fitted to a dataset consisting of two cohorts of juvenile size classes of blacklip abalone (Haliotis rubra). Results show that the non-seasonal Gompertz was statistically better than the non-seasonal von Bertalanffy and linear models. There was a persistent seasonal signal through the juvenile size range, with slow growth in winter and fast growth during summer. When a seasonal term was formally incorporated, the model fits were greatly improved, particularly for the linear and von Bertalanffy models. The seasonal-Gompertz predicted growth rates that were biologically implausible for juveniles of 2 mm shell length; 107 mu m day(-1) for one cohort and 24 mu m day(-1) for the other. These rates are inconsistent with published growth rates observed under both controlled and wild conditions. In contrast, the seasonal-linear model predicted growth rates of 60 mu m day(-1) for animals of 2 mu m shell length, consistent with published findings. The selection of a growth model based solely on statistical criteria may not take into account the complex processes that influence growth of juveniles.</t>
  </si>
  <si>
    <t>[Helidoniotis, Fay] Univ Tasmania, Inst Marine &amp; Antarctic Studies, Hobart, Tas 7001, Australia; [Haddon, Malcolm] CSIRO Marine &amp; Atmospher Res, Hobart, Tas 7001, Australia</t>
  </si>
  <si>
    <t>University of Tasmania; Commonwealth Scientific &amp; Industrial Research Organisation (CSIRO)</t>
  </si>
  <si>
    <t>Helidoniotis, F (corresponding author), Univ Tasmania, Inst Marine &amp; Antarctic Studies, Private Bag 129, Hobart, Tas 7001, Australia.</t>
  </si>
  <si>
    <t>fayh@utas.edu.au</t>
  </si>
  <si>
    <t>Haddon, Malcolm/0000-0001-6971-7585</t>
  </si>
  <si>
    <t>University of Tasmania; CSIRO/UTas; Institute for Marine and Antarctic Studies</t>
  </si>
  <si>
    <t>University of Tasmania; CSIRO/UTas(Commonwealth Scientific &amp; Industrial Research Organisation (CSIRO)); Institute for Marine and Antarctic Studies</t>
  </si>
  <si>
    <t>This work was part of a PhD project at the University of Tasmania; the first author thanks the University of Tasmania for providing a UTas. Scholarship and the CSIRO/UTas. Quantitative Marine Science program for an incremental scholarship. Other funding for this work was provided by the Tasmanian Aquaculture and Fisheries Institute now part of the Institute for Marine and Antarctic Studies. Modal progression data was provided by the Tasmanian Aquaculture and Fisheries Institute. We thank Warwick Nash for designing and leading the original juvenile growth study, Professor Craig Johnson for improvements to the manuscript and Dr David Bardos for thoughtful comments on the earlier stages of the data analysis. We also acknowledge the field sampling work of Andrew Cawthorn, Stewart Dickson, Brett Hislop and Simon Talbot. Two anonymous reviewers are thanked for providing comments that improved the manuscript.</t>
  </si>
  <si>
    <t>1323-1650</t>
  </si>
  <si>
    <t>1448-6059</t>
  </si>
  <si>
    <t>MAR FRESHWATER RES</t>
  </si>
  <si>
    <t>Mar. Freshw. Res.</t>
  </si>
  <si>
    <t>10.1071/MF11103</t>
  </si>
  <si>
    <t>Fisheries; Limnology; Marine &amp; Freshwater Biology; Oceanography</t>
  </si>
  <si>
    <t>871SB</t>
  </si>
  <si>
    <t>WOS:000298756900004</t>
  </si>
  <si>
    <t>Taylor, AH; Tracey, SR; Hartmann, K; Patil, JG</t>
  </si>
  <si>
    <t>Taylor, Andrew H.; Tracey, Sean R.; Hartmann, Klaas; Patil, Jawahar G.</t>
  </si>
  <si>
    <t>Exploiting seasonal habitat use of the common carp, Cyprinus carpio, in a lacustrine system for management and eradication</t>
  </si>
  <si>
    <t>eradication; habitat use; invasive species; Judas technique; radio telemetry</t>
  </si>
  <si>
    <t>LOWLAND RIVER; MOVEMENTS; AGGREGATIONS; RADIO; FISH</t>
  </si>
  <si>
    <t>The control of invasive species is a major challenge to the preservation of native ecosystems, both terrestrial and aquatic. A population of the invasive common carp, Cyprinus carpio, was detected in Lakes Sorell and Crescent, Tasmania, Australia, in the mid-1990s. Early detection allowed for the containment of their population to this lacustrine system. Radio-telemetry was subsequently used over a 5-year period to understand seasonal distribution of carp in relation to environmental parameters to guide efficient eradication strategies. The present study found that fish displayed increased mobility during spring-summer periods, moving into shallow habitat rich in macrophytes, particularly during years of high lake levels. During years of low lake levels, this pattern was altered with frequent use of a rocky 'secondary' habitat in Lake Sorell. During winter, carp congregated in deeper habitat in Lake Sorell, whereas no habitat-specific winter aggregations were found in Lake Crescent. The increased knowledge of spatio-temporal preferences of carp provided a basis for deploying barriers to facilitate the capture of fish and sabotage spawning events. The results have led to the eradication of carp from Lake Crescent and a significant reduction of their population in Lake Sorell.</t>
  </si>
  <si>
    <t>[Taylor, Andrew H.; Patil, Jawahar G.] Inland Fisheries Serv, New Norfolk, Tas 7140, Australia; [Tracey, Sean R.; Hartmann, Klaas] Univ Tasmania, Inst Marine &amp; Antarctic Studies, Hobart, Tas 7001, Australia; [Patil, Jawahar G.] Univ Tasmania, Natl Ctr Marine Conservat &amp; Resource Sustainabil, Launceston, Tas 7250, Australia</t>
  </si>
  <si>
    <t>University of Tasmania; University of Tasmania</t>
  </si>
  <si>
    <t>Taylor, AH (corresponding author), Inland Fisheries Serv, 17 Back River Rd, New Norfolk, Tas 7140, Australia.</t>
  </si>
  <si>
    <t>infish@ifs.tas.gov.au</t>
  </si>
  <si>
    <t>Patil, Jawahar G/B-9527-2012; Hartmann, Klaas/B-3991-2008; Tracey, Sean/J-7446-2014</t>
  </si>
  <si>
    <t>Tracey, Sean/0000-0002-6735-5899; Patil, Jawahar G/0000-0002-2154-4627</t>
  </si>
  <si>
    <t>Invasive Animals CRC</t>
  </si>
  <si>
    <t>Invasive Animals CRC(Australian GovernmentDepartment of Industry, Innovation and ScienceCooperative Research Centres (CRC) Programme)</t>
  </si>
  <si>
    <t>We thank the members of the carp management program for their input and support, particularly the program leader Chris Wisniewski. The Invasive Animals CRC provided funding support over the last year. Thanks go to Scott Hardie and two reviewers for constructive comments that improved the manuscript. The study was subject to internal Animal Ethics approval (AE13/2006 to AE13/2010).</t>
  </si>
  <si>
    <t>10.1071/MF11252</t>
  </si>
  <si>
    <t>972QT</t>
  </si>
  <si>
    <t>WOS:000306293200003</t>
  </si>
  <si>
    <t>Sinoir, M; Butler, ECV; Bowie, AR; Mongin, M; Nesterenko, PN; Hassler, CS</t>
  </si>
  <si>
    <t>Sinoir, Marie; Butler, Edward C. V.; Bowie, Andrew R.; Mongin, Mathieu; Nesterenko, Pavel N.; Hassler, Christel S.</t>
  </si>
  <si>
    <t>Zinc marine biogeochemistry in seawater: a review</t>
  </si>
  <si>
    <t>cycling; determination; limitation; modelling; speciation</t>
  </si>
  <si>
    <t>ANTARCTIC CIRCUMPOLAR CURRENT; BIOTIC LIGAND MODEL; FREE-ION ACTIVITY; TRACE-METALS; CARBONIC-ANHYDRASE; ALKALINE-PHOSPHATASE; DISSOLVED ZINC; STRIPPING VOLTAMMETRY; PHYTOPLANKTON GROWTH; OCEAN ACIDIFICATION</t>
  </si>
  <si>
    <t>The interest in trace element biogeochemistry has arisen from the well demonstrated iron hypothesis that revealed the central role that iron exerts on oceanic primary and associated biogeochemical cycles. The essentiality of zinc for key biological enzymes, coupled with a nutrient-like vertical distribution with low dissolved concentrations in many marine surface waters, provided motivation to study zinc in marine systems. Laboratory studies have confirmed the importance of zinc to sustain phytoplankton growth and its influence on the composition of the phytoplankton community. However, mixed results were obtained in the field, which suggest a more subtle effect of zinc on oceanic phytoplankton growth than iron. As a consequence, consensus on its biological role, mechanisms at play or regional versus global relevance is currently lacking and highlights the need for new conceptual models of zinc in marine systems. The recent GEOTRACES program is generating new data approaches to discuss and understand further zinc behaviour in the ocean.</t>
  </si>
  <si>
    <t>[Sinoir, Marie; Butler, Edward C. V.; Mongin, Mathieu] CSIRO Marine &amp; Atmospher Res, Hobart Labs, Hobart, Tas 7000, Australia; [Sinoir, Marie; Bowie, Andrew R.] Inst Marine &amp; Antarctic Studies Sandy Bay, Hobart, Tas 7001, Australia; [Bowie, Andrew R.] Univ Tasmania, ACE CRC, Hobart, Tas 7001, Australia; [Nesterenko, Pavel N.] Univ Tasmania, Australian Ctr Res Separat Sci ACROSS, Sch Chem, Hobart, Tas 7001, Australia; [Hassler, Christel S.] Univ Technol Sydney, Broadway, NSW 2007, Australia</t>
  </si>
  <si>
    <t>Commonwealth Scientific &amp; Industrial Research Organisation (CSIRO); University of Tasmania; Antarctic Climate &amp; Ecosystems Cooperative Research Centre (ACE CRC); University of Tasmania; University of Tasmania; University of Technology Sydney</t>
  </si>
  <si>
    <t>Sinoir, M (corresponding author), CSIRO Marine &amp; Atmospher Res, Hobart Labs, Hobart, Tas 7000, Australia.</t>
  </si>
  <si>
    <t>Marie.Sinoir@csiro.au</t>
  </si>
  <si>
    <t>Nesterenko, Pavel N./A-4766-2012; Bowie, Andrew/C-8677-2013; mongin, mathieu/G-4169-2015</t>
  </si>
  <si>
    <t>Nesterenko, Pavel N./0000-0002-9997-0650; Bowie, Andrew/0000-0002-5144-7799; Butler, Edward/0000-0002-6660-3985; Hassler, Christel/0000-0002-8976-5469; mongin, mathieu/0000-0001-9647-0530</t>
  </si>
  <si>
    <t>CSIRO-University of Tasmania through Institute for Marine and Antarctic Studies; Australian Government Cooperative Research Centres through the Antarctic Climate and Ecosystems CRC (ACE CRC)</t>
  </si>
  <si>
    <t>CSIRO-University of Tasmania through Institute for Marine and Antarctic Studies; Australian Government Cooperative Research Centres through the Antarctic Climate and Ecosystems CRC (ACE CRC)(Australian GovernmentDepartment of Industry, Innovation and ScienceCooperative Research Centres (CRC) Programme)</t>
  </si>
  <si>
    <t>The authors would like to thank the CSIRO-University of Tasmania Quantitative Marine Science Joint program and the scholarship they support through the Institute for Marine and Antarctic Studies. This research was also partly supported by the Australian Government Cooperative Research Centres Program through the Antarctic Climate and Ecosystems CRC (ACE CRC). We also thank the internal reviewers, Dr Richard Matear (CSIRO-CMAR) and Dr Delphine Lannuzel (UTas., ACE-CRC), the referees and associate editor for their time and constructive comments, which helped to improve this manuscript.</t>
  </si>
  <si>
    <t>10.1071/MF11286</t>
  </si>
  <si>
    <t>WOS:000306293200009</t>
  </si>
  <si>
    <t>Paterson, DM; Defew, EC; Jabour, J</t>
  </si>
  <si>
    <t>Solan, M; Aspden, RJ; Paterson, DM</t>
  </si>
  <si>
    <t>Paterson, David M.; Defew, Emma C.; Jabour, Julia</t>
  </si>
  <si>
    <t>Ecosystem function and co-evolution of terminology in marine science and management</t>
  </si>
  <si>
    <t>MARINE BIODIVERSITY AND ECOSYSTEM FUNCTIONING: FRAMEWORKS, METHODOLOGIES, AND INTEGRATION</t>
  </si>
  <si>
    <t>BIODIVERSITY; ECOLOGY; SYSTEMS; POLICY; VULNERABILITY; FLUORESCENCE; DIVERSITY; IMPACT</t>
  </si>
  <si>
    <t>[Paterson, David M.; Defew, Emma C.] Univ St Andrews, Scottish Oceans Inst, St Andrews KY16 8LB, Fife, Scotland; [Jabour, Julia] Univ Tasmania, Inst Marine &amp; Antarctic Studies, Hobart, Tas 7001, Australia</t>
  </si>
  <si>
    <t>University of St Andrews; University of Tasmania</t>
  </si>
  <si>
    <t>Paterson, DM (corresponding author), Univ St Andrews, Scottish Oceans Inst, St Andrews KY16 8LB, Fife, Scotland.</t>
  </si>
  <si>
    <t>dp1@st-andrews.ac.uk; Ecd2@st-andrews.ac.uk; julia.jabour@utas.edu.au</t>
  </si>
  <si>
    <t>Jabour, Julia A/J-7882-2014; Paterson, David/D-5202-2013</t>
  </si>
  <si>
    <t>Paterson, David/0000-0003-1174-6476</t>
  </si>
  <si>
    <t>978-0-19-964226-7; 978-0-19-177476-8; 978-0-19-964225-0</t>
  </si>
  <si>
    <t>10.1093/acprof:oso/9780199642250.001.0001</t>
  </si>
  <si>
    <t>Ecology; Marine &amp; Freshwater Biology; Oceanography</t>
  </si>
  <si>
    <t>Environmental Sciences &amp; Ecology; Marine &amp; Freshwater Biology; Oceanography</t>
  </si>
  <si>
    <t>BC7UN</t>
  </si>
  <si>
    <t>Green Accepted, Green Published</t>
  </si>
  <si>
    <t>WOS:000355219700003</t>
  </si>
  <si>
    <t>Hirai, J; Jones, DOB</t>
  </si>
  <si>
    <t>Hirai, Junya; Jones, Daniel O. B.</t>
  </si>
  <si>
    <t>The temporal and spatial distribution of krill (Meganyctiphanes norvegica) at the deep seabed of the Faroe-Shetland Channel, UK: A potential mechanism for rapid carbon flux to deep sea communities</t>
  </si>
  <si>
    <t>MARINE BIOLOGY RESEARCH</t>
  </si>
  <si>
    <t>Carbon flux; distribution; Faroe-Shetland Channel; Meganyctiphanes norvegica; ROV imaging; vertical migration</t>
  </si>
  <si>
    <t>DIEL VERTICAL MIGRATION; FECAL PELLET PRODUCTION; NORTHERN KRILL; FEEDING-BEHAVIOR; ANTARCTIC KRILL; COASTAL WATERS; RESPIRATION; VARIABILITY; DISTURBANCE; EUPHAUSIIDS</t>
  </si>
  <si>
    <t>The temporal and spatial distribution of Meganyctiphanes norvegica near the seabed (&lt; 5 m above the seafloor) was investigated using remotely operated vehicle (ROV) video footage from eight sites in the Faroe-Shetland Channel. Meganyctiphanes norvegica was most abundant near the seabed at 400-600 m depth, which corresponds to a temperature transitional region between shallower warmer water and deeper cold water. Densities of M. norvegica were significantly lower in the warm water, and no krill were detected at 900-1500 m depth in the cold water. Meganyctiphanes norvegica densities declined at night owing to daily vertical migrations. Time-series analysis showed higher krill densities at 06:00-09:00 and 18:00-21:00 at a depth of 400-480 m and at 12:00-15:00 at a depth of 600 m. A great reduction in krill abundance in winter was detected from both ROV surveys and continuous plankton recorder records. Meganyctiphanes norvegica was observed feeding on benthic particulate organic matter on the seafloor and being consumed by benthic and epibenthic predators. The maximum density of M. norvegica at 480 m depth was 596 9 261 individuals m(-3). This represents a standing stock of 12.8 +/- 5.6 g C m(-3) with an egestion rate of 0.63 +/- 0.28 g C m(-3) day(-1). Meganyctiphanes norvegica potentially provides an important source of carbon for communities in the deep waters of the Faroe-Shetland Channel.</t>
  </si>
  <si>
    <t>[Hirai, Junya] Univ Tokyo, Atmosphere &amp; Ocean Res Inst, Kashiwa, Chiba 2778564, Japan; [Jones, Daniel O. B.] Natl Oceanog Ctr, Southampton SO14 3ZH, Hants, England</t>
  </si>
  <si>
    <t>University of Tokyo; NERC National Oceanography Centre</t>
  </si>
  <si>
    <t>Hirai, J (corresponding author), Univ Tokyo, Atmosphere &amp; Ocean Res Inst, 5-1-5 Kashiwanoha, Kashiwa, Chiba 2778564, Japan.</t>
  </si>
  <si>
    <t>hirai@aori.u-tokyo.ac.jp</t>
  </si>
  <si>
    <t>Jones, Daniel/A-3412-2009</t>
  </si>
  <si>
    <t>Jones, Daniel/0000-0001-5218-1649</t>
  </si>
  <si>
    <t>Total Corporate Foundation for Biodiversity and the Sea; Natural Environment Research Council [noc010004, noc010009] Funding Source: researchfish; NERC [noc010004, noc010009] Funding Source: UKRI</t>
  </si>
  <si>
    <t>Total Corporate Foundation for Biodiversity and the Sea; Natural Environment Research Council(UK Research &amp; Innovation (UKRI)Natural Environment Research Council (NERC)); NERC(UK Research &amp; Innovation (UKRI)Natural Environment Research Council (NERC))</t>
  </si>
  <si>
    <t>We wish to thank Statoil, Chevron, BP, Shell, Hurricane Exploration, OMV, Total E &amp; P UK, the Total Corporate Foundation for Biodiversity and the Sea and Transocean for hosting this work and providing valuable assistance throughout. The work was carried out as part of the SERPENT (Scientific and Environmental Remotely operated vehicle Partnership using Existing industrial Technology) project. Thanks to Andrew Gates, Ian Hudson and Janne Kaariainen for collecting some of the ROV video data. We would like to thank SAHFOS (Sir Alister Hardy Foundation for Ocean Science) for providing CPR data. SERPENT was funded for this work by a grant from the Total Corporate Foundation for Biodiversity and the Sea. Comments by John Williams and Sven Thatje improved an early version of manuscript. We thank Mounir Lekouara for helping with data analysis.</t>
  </si>
  <si>
    <t>TAYLOR &amp; FRANCIS AS</t>
  </si>
  <si>
    <t>OSLO</t>
  </si>
  <si>
    <t>KARL JOHANS GATE 5, NO-0154 OSLO, NORWAY</t>
  </si>
  <si>
    <t>1745-1000</t>
  </si>
  <si>
    <t>1745-1019</t>
  </si>
  <si>
    <t>MAR BIOL RES</t>
  </si>
  <si>
    <t>Mar. Biol. Res.</t>
  </si>
  <si>
    <t>10.1080/17451000.2011.594891</t>
  </si>
  <si>
    <t>Ecology; Marine &amp; Freshwater Biology</t>
  </si>
  <si>
    <t>Environmental Sciences &amp; Ecology; Marine &amp; Freshwater Biology</t>
  </si>
  <si>
    <t>875MG</t>
  </si>
  <si>
    <t>WOS:000299033900004</t>
  </si>
  <si>
    <t>Pond, DW; Tarling, GA; Schmidt, K; Everson, I</t>
  </si>
  <si>
    <t>Pond, David W.; Tarling, Geraint A.; Schmidt, Katrin; Everson, Inigo</t>
  </si>
  <si>
    <t>Diet and growth rates of Meganyctiphanes norvegica in autumn</t>
  </si>
  <si>
    <t>Meganyctiphanes norvegica; growth rates; filamentous algae; fatty acid trophic markers</t>
  </si>
  <si>
    <t>KRILL EUPHAUSIA-SUPERBA; LONG-TERM CHANGES; ANTARCTIC KRILL; FATTY-ACIDS; MACROALGAL VEGETATION; THYSANOESSA-INERMIS; VERTICAL MIGRATION; COASTAL WATERS; MOLT; FOOD</t>
  </si>
  <si>
    <t>Fatty acid biomarkers analysis was performed on juvenile and adult northern krill (Meganyctiphanes norvegica) to determine variability in diet between individuals and the consequences for their growth rates. Animals were sampled from Gullmarsfjorden, western Sweden during September 2004 and incubated for 4 days to measure instantaneous growth rate (IGR) before subsequent fatty acid analysis. We found positive linear relationships between IGR and certain fatty acid concentrations within adult specimens. In particular, highest growth was seen in individuals containing high concentrations of 18:2(n-6) and 18:3(n-6), indicative of filamentous algae and/or terrestrial carbon dietary sources, and 16:4(n-1), a biomarker fatty acid for diatoms. Similar relationships were not evident for juvenile krill. In an accompanying study, stomach content analyses established that adult krill had been feeding on a diverse range of red, brown and green benthic filamentous algae, which contain fatty acids of the (n-6) series. Incidence of filamentous algae in the stomachs of juvenile krill was much lower, possibly reflecting the shallower water depths inhabited by this maturity stage. Although a benthic feeding mode has previously been observed for M. norvegica, this is the first direct evidence to indicate that benthic food sources can be important in supporting the growth of this euphausiid. Furthermore, high variability in growth rates and fatty acid concentrations between individuals suggest a diversity of feeding strategies within this fjordic population.</t>
  </si>
  <si>
    <t>[Pond, David W.; Tarling, Geraint A.; Schmidt, Katrin] British Antarctic Survey, NERC, Madingley Rd, Cambridge CB3 0ET, England; [Everson, Inigo] Anglia Ruskin Univ, Environm Sci Res Ctr, Cambridge, England</t>
  </si>
  <si>
    <t>UK Research &amp; Innovation (UKRI); Natural Environment Research Council (NERC); NERC British Antarctic Survey; Anglia Ruskin University</t>
  </si>
  <si>
    <t>Pond, DW (corresponding author), British Antarctic Survey, NERC, Madingley Rd, Cambridge CB3 0ET, England.</t>
  </si>
  <si>
    <t>European Commission; NERC [bas0100025, dml010002] Funding Source: UKRI; Natural Environment Research Council [bas0100025, dml010002] Funding Source: researchfish</t>
  </si>
  <si>
    <t>European Commission(European Union (EU)European Commission Joint Research Centre); NERC(UK Research &amp; Innovation (UKRI)Natural Environment Research Council (NERC)); Natural Environment Research Council(UK Research &amp; Innovation (UKRI)Natural Environment Research Council (NERC))</t>
  </si>
  <si>
    <t>We thank Mike Thorndyke, scientists and staff of Kristineberg Marine Research Station for their welcome and support. Bo Bergstrom, Matilda Haraldsson and the master and crew of MV 'Arne Teselius' ably assisted our work. The Royal Swedish Academy of Sciences is thanked for their invitation to GT and IE to undertake the research. The project was supported by a grant from the European Commission 6th Framework Programme on 'Research Technological Development and Demonstration: Access to Research Infrastructure programme'. DP, GT and KS carried out this work as part of the FLEXICON project of the DISCOVERY 2010 programme at the British Antarctic Survey.</t>
  </si>
  <si>
    <t>10.1080/17451000.2011.653366</t>
  </si>
  <si>
    <t>949RD</t>
  </si>
  <si>
    <t>WOS:000304592600005</t>
  </si>
  <si>
    <t>Almanza, V; Buschmann, AH; Hernández-González, MC; Henríquez, LA</t>
  </si>
  <si>
    <t>Almanza, Viviana; Buschmann, Alejandro H.; Hernandez-Gonzalez, Maria C.; Henriquez, Luis A.</t>
  </si>
  <si>
    <t>Can giant kelp (Macrocystis pyrifera) forests enhance invertebrate recruitment in southern Chile?</t>
  </si>
  <si>
    <t>Macrocystis pyrifera; kelp forest; settlement; recruitment; benthic invertebrates; southern Chile</t>
  </si>
  <si>
    <t>GASTROPOD CONCHOLEPAS-CONCHOLEPAS; SEA-URCHINS STRONGYLOCENTROTUS; SPATIAL VARIATION; INTERTIDAL INVERTEBRATES; POPULATION-DYNAMICS; CIONA-INTESTINALIS; SETTLEMENT; PATTERNS; ECOLOGY; CANOPIES</t>
  </si>
  <si>
    <t>Macrocystis pyrifera is a foundation species that modifies the environment in complex ways and provides food and refuges for a variety of coastal organisms, some of which are important for local fishery communities in the south of Chile. In this study we tested the effect of Macrocystis forests on recruitment of benthic organisms within Management and Exploitation Areas for Benthic Resources (MEABR). We placed artificial Tuffy collectors to sample recruits in three MEABRs during three different seasons. In each MEABR we installed 60 Tuffy collectors inside the kelp forest and an additional 60 outside the forest. Eight groups of invertebrate recruits were found abundantly in the study areas. The most common recruits belonged to the Mytilidae family, as well as the gastropod Tegula spp., the crabs Taliepus spp. and Pilumnoides perlatus, the keyhole limpet Fissurella spp., the sea urchin Loxechinus albus, the ascidian Ciona intestinalis and polychaetes. The kelp forest effect interacts significantly with season and locality for all eight invertebrates, the a-posteriori HSD Tukey test shows a significantly higher recruitment under the kelp forest than outside for Fissurella spp., polychaetes, Ciona, Pilumnoides and the family Mytilidae. On the other hand, only the sea urchin Loxechinus albus presented a significantly higher recruitment outside the kelp forest. As Macrocystis forests favoured the recruitment of several invertebrates, conservation of kelp forests is important for maintaining invertebrate biodiversity and science-based benthic fisheries management plans for its exploitation are required.</t>
  </si>
  <si>
    <t>[Almanza, Viviana; Buschmann, Alejandro H.; Hernandez-Gonzalez, Maria C.; Henriquez, Luis A.] Univ Los Lagos, Ctr I Mar, Puerto Montt, Chile; [Almanza, Viviana] Univ Los Lagos, Osorno, Chile; [Henriquez, Luis A.] Univ Tasmania, Inst Marine &amp; Antarctic Studies, Hobart, Tas, Australia</t>
  </si>
  <si>
    <t>Universidad de Los Lagos; Universidad de Los Lagos; University of Tasmania</t>
  </si>
  <si>
    <t>Buschmann, AH (corresponding author), Univ Los Lagos, Ctr I Mar, Camino Chinquihue Km 6, Puerto Montt, Chile.</t>
  </si>
  <si>
    <t>abuschma@ulagos.cl</t>
  </si>
  <si>
    <t>Buschmann, Alejandro H./B-4770-2012; Varela, Daniel A/D-9484-2013</t>
  </si>
  <si>
    <t>Buschmann, Alejandro H./0000-0003-3246-681X;</t>
  </si>
  <si>
    <t>DIULA [6005]; FONDECYT [105055]</t>
  </si>
  <si>
    <t>DIULA; FONDECYT(Comision Nacional de Investigacion Cientifica y Tecnologica (CONICYT)CONICYT FONDECYT)</t>
  </si>
  <si>
    <t>This study was supported by DIULA 6005 and FONDECYT 105055 to A. H. B. We are grateful for field help provided by A. Villaroel and P. Salas. We acknowledge the help of S. Navarrete for providing the material to produce the Tuffys and to P. Manriquez, G. Asencio, M. Pardo, P. Gebauer and C. Molinet for their valuable cooperation in the larval identification. Finally, we are grateful to C. Salinas, president of Bahia Mansa Trade Union 1, and L. Adue, president of the Pichimayai Trade Union (Maicolpue), for allowing us to work within their management areas. We are especially grateful for the English review by S. Angus and the critical comments and suggestions by M. Graham, M. Lee, S. Pereda and three anonymous reviewers.</t>
  </si>
  <si>
    <t>10.1080/17451000.2012.692159</t>
  </si>
  <si>
    <t>996OU</t>
  </si>
  <si>
    <t>WOS:000308101200006</t>
  </si>
  <si>
    <t>Waugh, CA; Nichols, PD; Noad, MC; Nash, SB</t>
  </si>
  <si>
    <t>Waugh, Courtney A.; Nichols, Peter D.; Noad, Michael C.; Nash, Susan Bengtson</t>
  </si>
  <si>
    <t>Lipid and fatty acid profiles of migrating Southern Hemisphere humpback whales Megaptera novaeangliae</t>
  </si>
  <si>
    <t>MARINE ECOLOGY PROGRESS SERIES</t>
  </si>
  <si>
    <t>Humpback whale; Megaptera novaeangliae; Biopsy sampling; Blubber; Fatty acid</t>
  </si>
  <si>
    <t>SELECTIVE MOBILIZATION; ANTARCTIC KRILL; BLUBBER; STRATIFICATION; LACTATION; ECOLOGY; SEALS; MILK; FISH; SITE</t>
  </si>
  <si>
    <t>The lipid and fatty acid (FA) composition of the outer blubber layer was characterized in 46 east Australian migrating humpback whales Megaptera novaeangliae. Samples were obtained at 2 time points of the annual migration, which occurs between Antarctic feeding grounds and low-latitude breeding grounds and is associated with a prolonged period of fasting. Blubber lipid composition was dominated by triacylglycerols in all individuals, and the FA profiles of both migration cohorts and sexes were dominated by monounsaturated fatty acids (MUFA). Results indicate that males primarily mobilise polyunsaturated fatty acids in response to migration and fasting, favouring the most readily utilisable FA as governed by their physicochemical properties. In comparison, females appear to initially mobilise short-chain (&lt;18 carbons) MUFA stores, potentially to attend to dependent calves' thermoregulatory needs. Feeding ecology investigations suggested that humpback whales have a species-specific FA composition of their blubber, including a detectable influence of their diet. This study provides the first insight into lipid and FA profiles of Southern Hemisphere humpback whales. A comprehensive understanding of FA dynamics, especially during times of energy deficit, is essential for understanding the nutritional status of Southern Hemisphere humpback whales and thereby the risks posed by growing environmental threats including toxic and persistent lipophilic pollutants.</t>
  </si>
  <si>
    <t>[Waugh, Courtney A.] Univ Queensland, Natl Res Ctr Environm Toxicol Entox, Brisbane, Qld 4108, Australia; [Nichols, Peter D.] CSIRO, Marine &amp; Atmospher Res, Wealth Oceans Flagship, Hobart, Tas 7000, Australia; [Noad, Michael C.] Univ Queensland, Sch Vet Sci, CEAL, Gatton, Qld 4343, Australia; [Nash, Susan Bengtson] Griffith Univ, AERC, Nathan, Qld 4111, Australia</t>
  </si>
  <si>
    <t>University of Queensland; Commonwealth Scientific &amp; Industrial Research Organisation (CSIRO); University of Queensland; Griffith University</t>
  </si>
  <si>
    <t>Waugh, CA (corresponding author), Univ Queensland, Natl Res Ctr Environm Toxicol Entox, Brisbane, Qld 4108, Australia.</t>
  </si>
  <si>
    <t>c.waugh@uq.edu.au</t>
  </si>
  <si>
    <t>Nichols, Peter D/C-5128-2011; Bengtson Nash, Susan/GMX-4611-2022; Bengtson Nash, Susan/I-3942-2015; Noad, Michael/D-7975-2013</t>
  </si>
  <si>
    <t>Bengtson Nash, Susan/0000-0001-5928-0850; Bengtson Nash, Susan/0000-0001-5928-0850; Waugh, Courtney/0000-0001-5234-4137; Noad, Michael/0000-0002-2799-8320</t>
  </si>
  <si>
    <t>0171-8630</t>
  </si>
  <si>
    <t>1616-1599</t>
  </si>
  <si>
    <t>MAR ECOL PROG SER</t>
  </si>
  <si>
    <t>Mar. Ecol.-Prog. Ser.</t>
  </si>
  <si>
    <t>10.3354/meps10059</t>
  </si>
  <si>
    <t>060MP</t>
  </si>
  <si>
    <t>Bronze, Green Submitted, Green Accepted, Green Published</t>
  </si>
  <si>
    <t>WOS:000312782700021</t>
  </si>
  <si>
    <t>Pörtner, HO</t>
  </si>
  <si>
    <t>Poertner, Hans-O.</t>
  </si>
  <si>
    <t>Integrating climate-related stressor effects on marine organisms: unifying principles linking molecule to ecosystem-level changes</t>
  </si>
  <si>
    <t>Ocean warming; Hypoxia; Acidification; Climate change; Ecosystem change; Aerobic scope; Energy budget; Mechanism-based projections</t>
  </si>
  <si>
    <t>LIMITED THERMAL TOLERANCE; TEMPERATURE-DEPENDENT BIOGEOGRAPHY; MUSSEL MODIOLUS-BARBATUS; OCEAN ACIDIFICATION; METABOLIC DEPRESSION; ANTARCTIC ECTOTHERMS; ENVIRONMENTAL-STRESS; CO2 CONCENTRATIONS; OXYGEN LIMITATION; SIPUNCULUS-NUDUS</t>
  </si>
  <si>
    <t>Climate change effects on marine ecosystems involve various stressors, predominantly temperature, hypoxia and CO2, all of which may combine with further anthropogenic stressors such as pollutants. All life forms respond to these drivers, following potentially common principles, which are insufficiently understood. Specific understanding may be most advanced in animals where the concept of 'oxygen and capacity dependent thermal tolerance' (OCLTT) is an integrator of various effects, linking molecular to ecosystem levels of biological organisation. Recent studies confirm OCLTT involvement in the field, causing changes in species abundance, biogeographical ranges, phenology and species predominance. At the whole-animal level, performance capacity set by aerobic scope and energy budget, building on baseline energy turnover, links fitness (within a thermal window) and functioning at the ecosystem level. In variable environments like the intertidal zone, animals also exploit their capacity for passive tolerance. While presently the temperature signal appears predominant in the field, effects may well involve other stressors, acting synergistically by narrowing the aerobic OCLTT window. Recent findings support the OCLTT concept as a common physiological basis linking apparently disjunct effects of ocean warming, acidification and hypoxia in a so-called climate syndrome. In brief, warming-induced CO2 accumulation in body fluids links to the effects of ocean acidification mediated by the weak acid distribution of CO2. Temperature-induced hypoxemia links to the hypoxia sensitivity of thermal tolerance. Future work will need to develop proxies for the temperature-dependent effects of climate-related stressors and also identify the principles operative in organisms other than animals and their underlying mechanisms. Mechanism-based modelling efforts are then needed to develop reliable organism to ecosystem projections of future change.</t>
  </si>
  <si>
    <t>Alfred Wegener Inst Polar &amp; Marine Res, D-27570 Bremerhaven, Germany</t>
  </si>
  <si>
    <t>Pörtner, HO (corresponding author), Alfred Wegener Inst Polar &amp; Marine Res, Handelshafen 12, D-27570 Bremerhaven, Germany.</t>
  </si>
  <si>
    <t>hans.poertner@awi.de</t>
  </si>
  <si>
    <t>Pörtner, Hans-O./K-9429-2016; Pörtner, Hans-O./ISU-9397-2023</t>
  </si>
  <si>
    <t>Pörtner, Hans-O./0000-0001-6535-6575;</t>
  </si>
  <si>
    <t>European Community's Seventh Framework Programme [211384]; German Ministry of Research and Education (BMBF)</t>
  </si>
  <si>
    <t>European Community's Seventh Framework Programme(European Union (EU)); German Ministry of Research and Education (BMBF)(Federal Ministry of Education &amp; Research (BMBF))</t>
  </si>
  <si>
    <t>This work is a contribution to the 'European Project on Ocean Acidification' (EPOCA), which received funding from the European Community's Seventh Framework Programme (FP7/2007-2012) under grant agreement no. 211384. It is also a contribution to the project 'Biological Impacts of Ocean Acidification' (BIOACID) funded by the German Ministry of Research and Education (BMBF).</t>
  </si>
  <si>
    <t>10.3354/meps10123</t>
  </si>
  <si>
    <t>049FQ</t>
  </si>
  <si>
    <t>WOS:000311968200017</t>
  </si>
  <si>
    <t>Seear, PJ; Goodall-Copestake, WP; Fleming, AH; Rosato, E; Tarling, GA</t>
  </si>
  <si>
    <t>Seear, Paul J.; Goodall-Copestake, William P.; Fleming, Andrew H.; Rosato, Ezio; Tarling, Geraint A.</t>
  </si>
  <si>
    <t>Seasonal and spatial influences on gene expression in Antarctic krill Euphausia superba</t>
  </si>
  <si>
    <t>Southern Ocean; Genomics; Physiology; Feeding; Reproduction; Immune-response; Overwintering; Quiescence</t>
  </si>
  <si>
    <t>SIMULATED LIGHT REGIMES; ACID-BINDING PROTEINS; SOUTHERN-OCEAN; MEGANYCTIPHANES-NORVEGICA; MOLECULAR-CLONING; CORPORA CARDIACA; PENAEUS-MONODON; ENERGY BUDGETS; MESSENGER-RNA; SCOTIA SEA</t>
  </si>
  <si>
    <t>The high latitudes inhabited by Antarctic krill Euphausia superba Dana are characterised by extreme changes in seasonal conditions, with very low food availability, long periods of darkness and a massive expansion of sea ice in autumn and winter. How krill adapt to these conditions has yet to be determined, and it was the purpose of this study to gain more insight by investigating the differences between summer and winter krill populations at the molecular level. To achieve this, we used a cDNA microarray to compare gene expression between female adult krill caught during summer and winter near the Antarctic Peninsula (60 degrees S), and between Peninsula krill and krill caught near South Georgia (54 degrees S) during the same winter. The Peninsula seasonal comparison showed up-regulation in summer krill of genes involved in feeding and digestion, respiration, motor activity and immunity. Summer krill also showed evidence of increased vitellogenesis, with an insulin-related peptide up-regulated and neuroparsin down-regulated. The comparison between the different overwintering locations showed an up-regulation in the South Georgia krill of genes involved in feeding and digestion, and immunity. There was, however, no differential expression of genes involved in respiration, motor activity or vitellogenesis, suggesting that despite the above differences, both populations of overwintering krill were in a quiescent state. This study shows how krill physiology changes seasonally at the molecular level and how these changes are flexible according to the overwintering environment.</t>
  </si>
  <si>
    <t>[Seear, Paul J.; Goodall-Copestake, William P.; Fleming, Andrew H.; Tarling, Geraint A.] British Antarctic Survey, NERC, Cambridge CB3 0ET, England; [Rosato, Ezio] Univ Leicester, Dept Genet, Leicester LE1 7RH, Leics, England; [Seear, Paul J.] Univ Leicester, Dept Biol, Leicester LE1 7RH, Leics, England</t>
  </si>
  <si>
    <t>UK Research &amp; Innovation (UKRI); Natural Environment Research Council (NERC); NERC British Antarctic Survey; University of Leicester; University of Leicester</t>
  </si>
  <si>
    <t>Tarling, GA (corresponding author), British Antarctic Survey, NERC, High Cross,Madingley Rd, Cambridge CB3 0ET, England.</t>
  </si>
  <si>
    <t>Goodall-Copestake, William/CAF-6866-2022; Goodall-Copestake, William P/C-1061-2011</t>
  </si>
  <si>
    <t>Rosato, Ezio/0000-0001-7297-4697; Goodall-Copestake, Will/0000-0003-3586-9091</t>
  </si>
  <si>
    <t>Natural Environment Research Council [bas0100025, NE/D008719/1] Funding Source: researchfish; NERC [bas0100025, NE/D008719/1] Funding Source: UKRI</t>
  </si>
  <si>
    <t>10.3354/meps09947</t>
  </si>
  <si>
    <t>026IZ</t>
  </si>
  <si>
    <t>Bronze, Green Accepted</t>
  </si>
  <si>
    <t>WOS:000310270500005</t>
  </si>
  <si>
    <t>Dias, MP; Granadeiro, JP; Catry, P</t>
  </si>
  <si>
    <t>Dias, Maria P.; Granadeiro, Jose P.; Catry, Paulo</t>
  </si>
  <si>
    <t>Working the day or the night shift? Foraging schedules of Cory's shearwaters vary according to marine habitat</t>
  </si>
  <si>
    <t>Foraging behaviour; Seabirds; Diel vertical migration; Sea-surface temperature; Bathymetry</t>
  </si>
  <si>
    <t>DIEL VERTICAL MIGRATION; CALONECTRIS DIOMEDEA; ACTIVITY PATTERNS; BEHAVIOR; PREY; SEABIRD; MURRES</t>
  </si>
  <si>
    <t>The diel vertical migration of zooplankton and many other organisms is likely to affect the foraging behaviour of marine predators. Among these, shallow divers, such as many seabirds, are particularly constrained by the surface availability of prey items. We analysed the at-sea activity of a surface predator of epipelagic and mesopelagic prey, Cory's shearwater Calonectris diomedea, on its several wintering areas (spread throughout the temperate Atlantic Ocean and the Agulhas Current). Individual shearwaters were mainly diurnal when wintering in warmer and shallower waters of the Benguela, Agulhas and Brazilian Currents, and comparatively more nocturnal in colder and deeper waters of the Central South Atlantic and the Northwest Atlantic. Nocturnality also correlated positively with bathymetry and negatively with sea-surface temperature within a single wintering area. This is possibly related to the relative availability of epipelagic and mesopelagic prey in different oceanic sectors, and constitutes the first evidence of such flexibility in the daily routines of a top marine predator across broad spatial scales, with clear expression at population and individual levels.</t>
  </si>
  <si>
    <t>[Dias, Maria P.; Catry, Paulo] ISPA IU, Ecoethol Res Unit, P-1149041 Lisbon, Portugal; [Granadeiro, Jose P.] Univ Lisbon, Museu Nacl Hist Nat &amp; Ciencia, Ctr Estudos Ambiente &amp; Mar CESAM, P-1250102 Lisbon, Portugal</t>
  </si>
  <si>
    <t>Instituto Superior Psicologia Aplicada (ISPA); Universidade de Lisboa</t>
  </si>
  <si>
    <t>Dias, MP (corresponding author), ISPA IU, Ecoethol Res Unit, P-1149041 Lisbon, Portugal.</t>
  </si>
  <si>
    <t>madias@fc.ul.pt</t>
  </si>
  <si>
    <t>Granadeiro, José Pedro/E-8060-2011; Dias, Maria P./D-1331-2012; Catry, Paulo/I-5408-2013</t>
  </si>
  <si>
    <t>Granadeiro, José Pedro/0000-0002-7207-3474; Dias, Maria P./0000-0002-7281-4391; Catry, Paulo/0000-0003-3000-0522</t>
  </si>
  <si>
    <t>Fundacao para a Ciencia e a Tecnologia (FCT-Portugal); FEDER [PTDC/MAR/71927/2006, PEst-OE/MAR/UI0331/2011]; [FCT-BPD/46827/08]; Fundação para a Ciência e a Tecnologia [PTDC/MAR/71927/2006, SFRH/BD/140499/2018] Funding Source: FCT</t>
  </si>
  <si>
    <t>Fundacao para a Ciencia e a Tecnologia (FCT-Portugal)(Fundacao para a Ciencia e a Tecnologia (FCT)); FEDER(European Union (EU)Spanish Government); ; Fundação para a Ciência e a Tecnologia(Fundacao para a Ciencia e a Tecnologia (FCT))</t>
  </si>
  <si>
    <t>This research was funded by Fundacao para a Ciencia e a Tecnologia (FCT-Portugal) and FEDER, through PTDC/MAR/71927/2006 and PEst-OE/MAR/UI0331/2011 projects. M. Dias benefited from a postdoctoral fellowship (FCT-BPD/46827/08). Parque Natural da Madeira (P. Oliveira, D. Menezes and C. Santos) provided permission and logistic support for work on Selvagens. R. A. Phillips (British Antarctic Survey) provided invaluable support in geolocation data analysis. H. Alonso and many others helped with fieldwork.</t>
  </si>
  <si>
    <t>10.3354/meps09966</t>
  </si>
  <si>
    <t>WOS:000310270500019</t>
  </si>
  <si>
    <t>Waluda, CM; Hill, SL; Peat, HJ; Trathan, PN</t>
  </si>
  <si>
    <t>Waluda, Claire M.; Hill, Simeon L.; Peat, Helen J.; Trathan, Philip N.</t>
  </si>
  <si>
    <t>Diet variability and reproductive performance of macaroni penguins Eudyptes chrysolophus at Bird Island, South Georgia</t>
  </si>
  <si>
    <t>Macaroni penguin; Krill; Ecosystem monitoring; Diet; Switching; Functional response; Concorde fallacy</t>
  </si>
  <si>
    <t>ICEFISH CHAMPSOCEPHALUS-GUNNARI; KRILL POPULATION-DYNAMICS; TROPHIC-LEVEL PREDATORS; SEAL ARCTOCEPHALUS-GAZELLA; ANTARCTIC FUR SEALS; MACQUARIE-ISLAND; FOOD-WEB; EUPHAUSIA-SUPERBA; MARION-ISLAND; SCOTIA SEA</t>
  </si>
  <si>
    <t>We analysed summer diet and fledging mass of macaroni penguins Eudyptes chrysolophus breeding at Bird Island, South Georgia, during the creche period (January and February) between 1989 and 2010. Crustaceans were the main prey accounting, for over 90% of the diet by mass. Antarctic krill Euphausia superba was the main prey, in 17 out of 22 years. Amphipods Themisto gaudichaudii were the main prey in 1994 and 2009, fish in 2004, and the euphausiids Thysanoessa spp. and Euphausia frigida in 2000. There was no clearly dominant prey group in 1999. Prey diversity and the frequency occurrence of T. gaudichaudii both increased with a decreasing proportion of E. superba in the diet. There was strong evidence that macaroni penguins have a sigmoidal functional response, indicating that this kind of response should be accounted for when devising ecosystem-based management reference points for seabirds. The energy and mass of all euphausiids combined (rather than E. superba in particular) in the diet were the most reliable predictors of chick fledging mass; the correlation between model-predicted and observed values was 0.84. The gross energy content of individual meals was often above average in years when the diets contained fewer euphausiids, but fledging mass was always below average in these years. Although macaroni penguins are able to feed on a variety of prey types, chick growth was always severely impacted by a shortage of euphausiids due to higher energy or time costs associated with feeding on alternative prey types. Given their reliance on euphausiids, macaroni penguins would be particularly vulnerable to potential climate-driven declines in krill stocks.</t>
  </si>
  <si>
    <t>[Waluda, Claire M.; Hill, Simeon L.; Peat, Helen J.; Trathan, Philip N.] British Antarctic Survey, Nat Environm Res Council, Cambridge CB3 0ET, England</t>
  </si>
  <si>
    <t>Waluda, CM (corresponding author), British Antarctic Survey, Nat Environm Res Council, Madingley Rd, Cambridge CB3 0ET, England.</t>
  </si>
  <si>
    <t>clwa@bas.ac.uk</t>
  </si>
  <si>
    <t>Peat, Helen J/E-9666-2015; Simeon, Hill L/B-2307-2008</t>
  </si>
  <si>
    <t>Peat, Helen/0000-0003-2017-8597</t>
  </si>
  <si>
    <t>10.3354/meps09930</t>
  </si>
  <si>
    <t>020TS</t>
  </si>
  <si>
    <t>Green Accepted, Bronze</t>
  </si>
  <si>
    <t>WOS:000309838100022</t>
  </si>
  <si>
    <t>Young, EF; Rock, J; Meredith, MP; Belchier, M; Murphy, EJ; Carvalho, GR</t>
  </si>
  <si>
    <t>Young, Emma F.; Rock, Jennifer; Meredith, Michael P.; Belchier, Mark; Murphy, Eugene J.; Carvalho, Gary R.</t>
  </si>
  <si>
    <t>Physical and behavioural influences on larval fish retention: contrasting patterns in two Antarctic fishes</t>
  </si>
  <si>
    <t>Individual based model; Larval transport; Ocean circulation; Vertical migration; Fisheries management; Population connectivity</t>
  </si>
  <si>
    <t>ICEFISH CHAMPSOCEPHALUS-GUNNARI; SOUTH-GEORGIA; MACKEREL ICEFISH; MARINE POPULATIONS; CIRCUMPOLAR CURRENT; VERTICAL MIGRATION; TIDAL CURRENTS; SHAG-ROCKS; LIFE-CYCLE; NORTH-SEA</t>
  </si>
  <si>
    <t>Waters around South Georgia are amongst the most productive in the Southern Ocean, and support internationally important fisheries. However, there is significant inter-annual variability in fish stocks, and some species have failed to recover from historical overfishing. Dispersal and retention of the planktonic eggs and larvae of marine fish can play a key role in the maintenance of adult stocks. We use a numerical modelling approach to examine the influence of oceanographic and life-history variability on the dispersal and retention of 2 Antarctic fishes: Champsocephalus gunnari (mackerel icefish) and Notothenia rossii (marbled rockcod). Mean retention of N. rossii larvae was predicted to be 5.3%, considerably lower than that of C. gunnari (31.3%), a difference related to the longer planktonic period of the former. Such apparent loss of larvae from local recruitment grounds may contribute to the failure of the N. rossii population to recover from its collapse in the 1970s. However, retention of both species showed high inter-annual variability. Dispersal and retention of C. gunnari were strongly influenced by location of the spawning site, with the greatest contribution to overall retention from spawning sites on the southwest South Georgia shelf. In addition, a consistent feature in C. gunnari was a lack of larval exchange between the proximate South Georgia and Shag Rocks shelves, regions separated by only 240 km. Our findings provide insights into the demographic dynamics and connectivity of C. gunnari and N. rossii populations at South Georgia in relation to prospects for recovery and ongoing responses to environmental variability and change in the region.</t>
  </si>
  <si>
    <t>[Young, Emma F.; Meredith, Michael P.; Belchier, Mark; Murphy, Eugene J.] British Antarctic Survey, Cambridge CB3 0ET, England; [Rock, Jennifer] Univ Otago, Dept Zool, Dunedin 9054, New Zealand; [Carvalho, Gary R.] Bangor Univ, Sch Biol Sci, Bangor LL57 2UW, Gwynedd, Wales</t>
  </si>
  <si>
    <t>UK Research &amp; Innovation (UKRI); Natural Environment Research Council (NERC); NERC British Antarctic Survey; University of Otago; Bangor University</t>
  </si>
  <si>
    <t>Young, EF (corresponding author), British Antarctic Survey, Madingley Rd, Cambridge CB3 0ET, England.</t>
  </si>
  <si>
    <t>eyoung@bas.ac.uk</t>
  </si>
  <si>
    <t>murphy, eugene/GZL-1620-2022</t>
  </si>
  <si>
    <t>Young, Emma/0000-0002-7069-6109; Rock, Jenny/0000-0001-7250-6463; Meredith, Michael/0000-0002-7342-7756</t>
  </si>
  <si>
    <t>Natural Environment Research Council (UK) [AFI6/16]; NERC [NE/H023704/1, NBAF010001, NE/H023038/1, bas0100028, bas0100025] Funding Source: UKRI; Natural Environment Research Council [NE/H023704/1, bas0100025, bas0100028, NE/H023038/1, NBAF010001] Funding Source: researchfish</t>
  </si>
  <si>
    <t>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</si>
  <si>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Natural Environment Research Council (UK) Grant AFI6/16. We thank 2 anonymous referees for their helpful comments.</t>
  </si>
  <si>
    <t>10.3354/meps09908</t>
  </si>
  <si>
    <t>014HR</t>
  </si>
  <si>
    <t>WOS:000309366300017</t>
  </si>
  <si>
    <t>Scheffer, A; Bost, CA; Trathan, PN</t>
  </si>
  <si>
    <t>Scheffer, Annette; Bost, Charles-Andre; Trathan, Philip N.</t>
  </si>
  <si>
    <t>Frontal zones, temperature gradient and depth characterize the foraging habitat of king penguins at South Georgia</t>
  </si>
  <si>
    <t>Aptenodytes patagonicus; Hydrological structure; Antarctic Circumpolar Current; Temperature gradient; Foraging niche; Seabird</t>
  </si>
  <si>
    <t>ANTARCTIC CIRCUMPOLAR CURRENT; SEA-SURFACE TEMPERATURE; TUNA THUNNUS-ALBACARES; DIEL VERTICAL MIGRATION; APTENODYTES-PATAGONICUS; SCOTIA SEA; CROZET ARCHIPELAGO; DIVING BEHAVIOR; POLAR FRONT; OCEANOGRAPHIC CONDITIONS</t>
  </si>
  <si>
    <t>Investigating the responses of marine predators to oceanographic structures is of key importance for understanding their foraging behaviour and reproductive success. Using Global Positioning System (GPS) and Time-Depth-Temperature-Recorder (TDR) tags, we investigated how king penguins breeding at South Georgia explore their foraging area over the summer season in both the horizontal and vertical dimensions. We determined how horizontal habitat use may relate to different Antarctic Circumpolar Current (ACC) frontal zones and associated thermal structuring of the water column. To study the penguins' use of the water column, we examined foraging niches defined by temperature, temperature gradient and depth, and explored the importance of these thermal properties for prey pursuit. King penguins foraged within the Polar Front (PF) and its southern edges during incubation, and the Antarctic Zone (AAZ) and Southern ACC Front (SACCF) during brooding. Foraging niches became more distinct with the advancing summer season, defined by strong thermal gradients at shallow depths in the AAZ, and weak gradients at greater depths in the SACCF. These niches indicate foraging in the sub-thermocline Winter Water (WW) in the AAZ, and in deep WW and Circumpolar Deep Water (CDW) at the SACCF. The influence of different ACC frontal zones in the area to the north of South Georgia appears to provide for a horizontally and vertically segregated environment. The presence of optional foraging areas and niches close to the colony clearly play an important role in these king penguins' foraging success.</t>
  </si>
  <si>
    <t>[Scheffer, Annette; Trathan, Philip N.] British Antarctic Survey, NERC, Cambridge CB3 0ET, England; [Scheffer, Annette; Bost, Charles-Andre] Ctr Etud Biol Chize, CEBC CNRS UPR 1934, F-79360 Villiers En Bois, France</t>
  </si>
  <si>
    <t>UK Research &amp; Innovation (UKRI); Natural Environment Research Council (NERC); NERC British Antarctic Survey; Centre National de la Recherche Scientifique (CNRS)</t>
  </si>
  <si>
    <t>Scheffer, A (corresponding author), British Antarctic Survey, NERC, Madingley Rd, Cambridge CB3 0ET, England.</t>
  </si>
  <si>
    <t>annhef@bas.ac.uk</t>
  </si>
  <si>
    <t>BAS; CNRS; Natural Environment Research Council [bas0100025] Funding Source: researchfish; NERC [bas0100025] Funding Source: UKRI</t>
  </si>
  <si>
    <t>BAS; CNRS(Centre National de la Recherche Scientifique (CNRS)); Natural Environment Research Council(UK Research &amp; Innovation (UKRI)Natural Environment Research Council (NERC)); NERC(UK Research &amp; Innovation (UKRI)Natural Environment Research Council (NERC))</t>
  </si>
  <si>
    <t>This work is a contribution to the BAS Ecosystems programme, jointly funded by BAS and CNRS. The authors are grateful to C. Bishop for the provision of waterproof housings for the NavSys Track-Tag devices and to H. Venables and S. Thorpe for advice on the oceanography around South Georgia. M. Authier provided help with data analysis, and constructive comments that improved the manuscript. We thank J. Edmonston for help with data organisation and preparation, and C. Thomas for assistance with data collection in the field. Four anonymous reviewers provided helpful comments that greatly improved the manuscript.</t>
  </si>
  <si>
    <t>10.3354/meps09884</t>
  </si>
  <si>
    <t>WOS:000309366300023</t>
  </si>
  <si>
    <t>Flukes, EB; Johnson, CR; Ling, SD</t>
  </si>
  <si>
    <t>Flukes, E. B.; Johnson, C. R.; Ling, S. D.</t>
  </si>
  <si>
    <t>Forming sea urchin barrens from the inside out: an alternative pattern of overgrazing</t>
  </si>
  <si>
    <t>Phase shift; Kelp beds; Barrens; Centrostephanus rodgersii; Foraging ecology; Movement; Grazing effect; Range extension</t>
  </si>
  <si>
    <t>NEW-SOUTH-WALES; STRONGYLOCENTROTUS-DROEBACHIENSIS; MOVEMENT PATTERNS; DIADEMA-ANTILLARUM; KELP BEDS; CENTROSTEPHANUS-RODGERSII; POPULATION-DYNAMICS; HABITAT STRUCTURE; ROCKY REEFS; BEHAVIOR</t>
  </si>
  <si>
    <t>Overgrazing by sea urchins on temperate reefs can affect a phase shift from macro algal beds to 'barrens' habitat largely devoid of seaweeds. Existing models of barrens formation are derived largely from observations of strongylocentrotid urchins, which typically show a behavioural shift from cryptic feeding to exposed grazing fronts that move through and 'mow down' macroalgal beds. Foraging by the temperate diadematid urchin Centrostephanus rodgersii triggers a similar transition from intact macroalgal bed to widespread barren grounds but does not appear to involve a behavioural shift. Fine-scale foraging movements were observed using time-lapse photography across the urchin's range-extension region and described with respect to a random walk model. Foraging was highly nocturnal, with individuals homing strongly to available crevices. In situ monitoring of tagged individuals suggests strong fidelity to and thus high stability of barren patches, while similar behavioural patterns across habitat types representing a gradient of foraging intensities indicate no behavioural shift associated with overgrazing. Laboratory experiments showed that C. rodgersii lacks a directional chemosensory response to either macro algae or conspecifics. Combined evidence suggests a model of barrens formation fundamentally different to the well-established 'feeding front' model, with formation of widespread barrens by C. rodgersii occurring from the 'inside out' via growth and coalescence of small barrens patches that form within macroalgal beds as a result of additive localised grazing radiating from crevice shelters. Regulation of urchin density at the spatial scale of individual barrens patches is proposed as a viable option to manage the formation of widespread barrens habitat within the urchin's recent range-extension to eastern Tasmania.</t>
  </si>
  <si>
    <t>[Flukes, E. B.; Johnson, C. R.; Ling, S. D.] Univ Tasmania, Inst Marine &amp; Antarctic Studies, Hobart, Tas 7001, Australia</t>
  </si>
  <si>
    <t>Flukes, EB (corresponding author), Univ Tasmania, Inst Marine &amp; Antarctic Studies, Private Bag 129, Hobart, Tas 7001, Australia.</t>
  </si>
  <si>
    <t>eflukes@utas.edu.au</t>
  </si>
  <si>
    <t>Ling, Scott/J-7161-2014; Johnson, Craig/E-1788-2013</t>
  </si>
  <si>
    <t>Ling, Scott/0000-0002-5544-8174; Johnson, Craig/0000-0002-9511-905X; Flukes, Emma/0000-0003-2749-834X</t>
  </si>
  <si>
    <t>Fisheries Research and Development Corporation (FRDC); School of Zoology, University of Tasmania</t>
  </si>
  <si>
    <t>Fisheries Research and Development Corporation (FRDC)(Fisheries R&amp;D Corp); School of Zoology, University of Tasmania</t>
  </si>
  <si>
    <t>We thank J. Sanderson and J. Dominguez for diving assistance. This research was supported by funds awarded to C. R. J. by the Fisheries Research and Development Corporation (FRDC), and the School of Zoology, University of Tasmania.</t>
  </si>
  <si>
    <t>10.3354/meps09881</t>
  </si>
  <si>
    <t>010WP</t>
  </si>
  <si>
    <t>WOS:000309125500012</t>
  </si>
  <si>
    <t>Pierrat, B; Saucède, T; Laffont, R; De Ridder, C; Festeau, A; David, B</t>
  </si>
  <si>
    <t>Pierrat, Benjamin; Saucede, Thomas; Laffont, Remi; De Ridder, Chantal; Festeau, Alain; David, Bruno</t>
  </si>
  <si>
    <t>Large-scale distribution analysis of Antarctic echinoids using ecological niche modelling</t>
  </si>
  <si>
    <t>Habitat suitability map; Sterechinus; Echinoidea; GARP; Maxent; Southern Ocean</t>
  </si>
  <si>
    <t>CLIMATE-CHANGE; SPECIES DISTRIBUTION; SEA-URCHINS; BIODIVERSITY; PATTERNS; ISLAND; ECHINODERMATA; BIOGEOGRAPHY; ABUNDANCE; FAUNA</t>
  </si>
  <si>
    <t>Understanding the factors that determine the distribution of taxa at various spatial scales is a crucial challenge in the context of global climate change. This holds particularly true for polar marine biota that are composed of both highly adapted and vulnerable faunas. We analysed the distribution of 2 Antarctic echinoid species, Sterechinus antarcticus and S. neumayeri, at the scale of the entire Southern Ocean using 2 niche modelling procedures. The performance of distribution models was tested with regard to the known ecology of the species. The respective contributions of environmental parameters are discussed along with the putative roles played by biotic interactions and biogeographic processes. Depth was the parameter that contributed most to both distribution models, whereas sea ice coverage and sea surface temperature had significant contributions for S. neumayeri only. Suitability maps of the 2 species were mostly similar, with a few notable differences. The Campbell Plateau and Tasmania were predicted as suitable areas for S. antarcticus only, while S. neumayeri was restricted to the south of the Ant arctic Polar Front. However, numerous sampling data attest that S. antarcticus is absent from the Campbell Plateau and from Tasmania. Different hypotheses are formulated to explain the mismatch between observed and modelled distribution data. They stress the putative roles played by both oceanographic barriers to dispersal (Antarctic Polar Front), biotic factors (species exclusion patterns) and biogeographic processes (ongoing dispersal).</t>
  </si>
  <si>
    <t>[Pierrat, Benjamin; Saucede, Thomas; Laffont, Remi; Festeau, Alain; David, Bruno] Univ Bourgogne, CNRS, UMR 6282, F-21000 Dijon, France; [De Ridder, Chantal] Univ Libre Bruxelles, Lab Biol Marine CP 160 15, B-1050 Brussels, Belgium</t>
  </si>
  <si>
    <t>Universite de Bourgogne; Centre National de la Recherche Scientifique (CNRS); Universite Libre de Bruxelles</t>
  </si>
  <si>
    <t>Pierrat, B (corresponding author), Univ Bourgogne, CNRS, UMR 6282, F-21000 Dijon, France.</t>
  </si>
  <si>
    <t>benjamin.pierrat@u-bourgogne.fr</t>
  </si>
  <si>
    <t>DAVID, Bruno/N-8798-2013</t>
  </si>
  <si>
    <t>Laffont, Remi/0009-0009-3567-2214</t>
  </si>
  <si>
    <t>CAML/TOTAL; ANR ANTFLOCKS [07-BLAN-0213-01]; ECOS [C06B02]; BIANZO I and II projects (Belgian Science Policy)</t>
  </si>
  <si>
    <t>CAML/TOTAL; ANR ANTFLOCKS(Agence Nationale de la Recherche (ANR)); ECOS; BIANZO I and II projects (Belgian Science Policy)</t>
  </si>
  <si>
    <t>This paper is a contribution of the BIOME team of UMR CNRS 6282 Biogeosciences. We thank B. Danis, H. Griffiths and B. Raymond for their contribution to the environmental data set, T. Thevenin and F. Tolle for their help with ArcGIS, the Museum National d'Histoire Naturelle in Paris, the Australian Museum in Sydney, the British Antarctic Survey in Cambridge, the Universitat Hamburg, the Melbourne Museum, the Museo Argentino de Ciencas Naturales in Buenos Aires, the National Institute of Water and Atmospheric Researches in Wellington and the Universidad de Malaga for access to collections. Funding sources were from CAML/TOTAL, ANR ANTFLOCKS (no. 07-BLAN-0213-01), ECOS project (no. C06B02) and BIANZO I and II projects (Belgian Science Policy). We thank our reviewers for improving the quality of the manuscript.</t>
  </si>
  <si>
    <t>10.3354/meps09842</t>
  </si>
  <si>
    <t>000AE</t>
  </si>
  <si>
    <t>WOS:000308357300014</t>
  </si>
  <si>
    <t>Lehette, P; Tovar-Sánchez, A; Duarte, CM; Hernández-León, S</t>
  </si>
  <si>
    <t>Lehette, Pascal; Tovar-Sanchez, Antonio; Duarte, Carlos M.; Hernandez-Leon, Santiago</t>
  </si>
  <si>
    <t>Krill excretion and its effect on primary production</t>
  </si>
  <si>
    <t>Krill; Ammonium; Primary production; Euphausia superba; Southern Ocean; Austral summer; Western Antarctic Peninsula</t>
  </si>
  <si>
    <t>EUPHAUSIA-SUPERBA DANA; MARGINAL ICE-ZONE; ANTARCTIC KRILL; SOUTHERN-OCEAN; AMMONIUM EXCRETION; BRANSFIELD STRAIT; AUSTRAL SUMMER; ZOOPLANKTON METABOLISM; PHYTOPLANKTON BIOMASS; COPEPOD INTERACTIONS</t>
  </si>
  <si>
    <t>During the austral summer, zooplankton excretion along the western Antarctic Peninsula was studied in a contrasting hydrographic regime including coastal and oceanic waters. In coastal waters, ammonium supply by mesozooplankton indicated a low contribution to fuel primary production. In oceanic waters, however, Antarctic krill Euphausia superba contributed a significant percentage to the nitrogen requirements of primary producers. Thus, the ontogenetic migration of adult krill during austral summer should be a key factor regulating the regenerated ammonium for primary production. A significant coupling of ammonium concentration in the water column and in situ krill biomass supported the significant role of krill excretion in the epipelagic realm. Results from short-term experiments with E. superba indicated that ammonium excretion rates were much higher than previously found. Because the use of experimental metabolic rates that are close to field rates would be more appropriate, we suggest to re-assess the ammonium supplied by the epipelagic marine biota. Moreover, the outcomes of experimental krill excretion rates, in situ measurements of ammonium and a review of data on primary production suggest that Antarctic krill sustain a high proportion of the daily phytoplankton production.</t>
  </si>
  <si>
    <t>[Lehette, Pascal; Hernandez-Leon, Santiago] Univ Las Palmas Gran Canaria, Inst Oceanog &amp; Global Change, Las Palmas Gran Canaria, Spain; [Tovar-Sanchez, Antonio; Duarte, Carlos M.] CSIC UIB, Inst Mediterraneo Estudios Avanzados, IMEDEA, Dept Global Change Res, Esporles, Mallorca, Spain; [Duarte, Carlos M.] Univ Western Australia, UWA Oceans Inst, Crawley, WA 6009, Australia</t>
  </si>
  <si>
    <t>Universidad de Las Palmas de Gran Canaria; University of Barcelona; Consejo Superior de Investigaciones Cientificas (CSIC); ATTITUS Educacao; Universitat de les Illes Balears; University of Western Australia</t>
  </si>
  <si>
    <t>Lehette, P (corresponding author), Univ Las Palmas Gran Canaria, Inst Oceanog &amp; Global Change, Las Palmas Gran Canaria, Spain.</t>
  </si>
  <si>
    <t>pascal.lehette101@doctorandos.ulpgc.es</t>
  </si>
  <si>
    <t>Tovar-Sánchez, Antonio/B-8003-2010; Hernández-León, Santiago/M-2563-2014; Duarte Quesada, Carlos Manuel/ABD-6208-2021; Duarte, Carlos M/A-7670-2013; Lehette, Pascal/L-3853-2017</t>
  </si>
  <si>
    <t>Duarte, Carlos M/0000-0002-1213-1361; Hernandez-Leon, Santiago/0000-0002-3085-4969; Lehette, Pascal/0000-0002-6923-6359; Tovar-Sanchez, Antonio/0000-0003-4375-1982</t>
  </si>
  <si>
    <t>project ICEPOS from the Spanish Commission for Science and Technology (CICYT) [Ren 2002-04165]</t>
  </si>
  <si>
    <t>project ICEPOS from the Spanish Commission for Science and Technology (CICYT)</t>
  </si>
  <si>
    <t>This research was financially supported by project ICEPOS (Ren 2002-04165) from the Spanish Commission for Science and Technology (CICYT). We acknowledge the assistance at sea by the members of the Unidad de Tecnologia Marina and the crew of the RV 'Hesperides'. The authors are indebted to R. Martinez and S. Putzeys for their help during the cruise and to J. C. Gomez Fernandez for advice.</t>
  </si>
  <si>
    <t>10.3354/meps09746</t>
  </si>
  <si>
    <t>973AC</t>
  </si>
  <si>
    <t>WOS:000306322300003</t>
  </si>
  <si>
    <t>McCoy, KD; Beis, P; Barbosa, A; Cuervo, JJ; Fraser, WR; González-Solís, J; Jourdain, E; Poisbleau, M; Quillfeldt, P; Léger, E; Dietrich, M</t>
  </si>
  <si>
    <t>McCoy, K. D.; Beis, P.; Barbosa, A.; Cuervo, J. J.; Fraser, W. R.; Gonzalez-Solis, J.; Jourdain, E.; Poisbleau, M.; Quillfeldt, P.; Leger, E.; Dietrich, M.</t>
  </si>
  <si>
    <t>Population genetic structure and colonisation of the western Antarctic Peninsula by the seabird tick Ixodes uriae</t>
  </si>
  <si>
    <t>Climate change; Host-parasite interactions; Invasion; Pygoscelis; Seabird population dynamics</t>
  </si>
  <si>
    <t>KITTIWAKE RISSA-TRIDACTYLA; LYME BORRELIOSIS; CLIMATE-CHANGE; PENGUIN COLONIES; HOST RACES; PARASITE; ADELIE; CYCLE; DISPERSAL; ISLAND</t>
  </si>
  <si>
    <t>Recent observations on the western Antarctic Peninsula have suggested that changing climatic conditions may be increasing pressure on breeding seabirds due to higher exploitation rates by the tick Ixodes uriae. Using data from 8 microsatellite markers and ticks from 6 Pygoscelis spp. colonies, we employed a population genetics approach to specifically test the hypothesis that I. uriae is expanding south-westward along the peninsula from the Subantarctic region. Contrary to expectations, tick genetic diversity was high within all colonies, and no remaining signal of colonisation events was evident. Although significant geographic genetic structure occurred among ticks from different colonies, these ectoparasites tended to belong to 2 major genetic groups, one found principally in south-western locations (Palmer Station area) and the other in more north-eastern areas (South Shetland Islands). More central colonies showed a mixture of ticks from each genetic group, suggesting that this area represents a hybridisation zone of ticks from 2 distinct origins. A subsequent clustering analysis, including ticks from 2 Subantarctic locations, did not reveal the source population for the northern peninsula group. Overall, our data refute the hypothesis of a recent south-westward expansion of I. uriae along the peninsula and suggest that this tick has been present at more southern latitudes for an extended period of time. Further studies on the distribution and genetic characteristics of this ectoparasite around Antarctica are now required to better understand the colonisation process and predict how changing environmental conditions may affect its presence and diversity in seabird colonies.</t>
  </si>
  <si>
    <t>[McCoy, K. D.; Beis, P.; Leger, E.; Dietrich, M.] Ctr IRD, UR IRD 224, UMR UM1 UM2 CNRS 5290, F-34394 Montpellier, France; [Barbosa, A.; Cuervo, J. J.] CSIC, Dept Ecol Func &amp; Evolut, Estn Expt Zonas Aridas, Almeria 04120, Spain; [Fraser, W. R.] Polar Oceans Res Grp, Sheridan, MT 59749 USA; [Gonzalez-Solis, J.] Univ Barcelona, Inst Recerca Biodiversitat IRBio, E-08028 Barcelona, Spain; [Gonzalez-Solis, J.] Univ Barcelona, Dept Biol Anim, E-08028 Barcelona, Spain; [Jourdain, E.] Linnaeus Univ Kalmar, SE-39182 Kalmar, Sweden; [Poisbleau, M.; Quillfeldt, P.] Max Planck Inst Ornithol, D-78315 Vogelwarte Radolfzell, Radolfzell, Germany</t>
  </si>
  <si>
    <t>Institut de Recherche pour le Developpement (IRD); Universite de Montpellier; Consejo Superior de Investigaciones Cientificas (CSIC); CSIC - Estacion Experimental de Zonas Aridas (EEZA); University of Barcelona; University of Barcelona; Linnaeus University; Max Planck Society</t>
  </si>
  <si>
    <t>McCoy, KD (corresponding author), Ctr IRD, UR IRD 224, UMR UM1 UM2 CNRS 5290, F-34394 Montpellier, France.</t>
  </si>
  <si>
    <t>karen.mccoy@ird.fr</t>
  </si>
  <si>
    <t>Barbosa, Andrés/C-3208-2008; dietrich, muriel/A-6430-2015; González-Solís, Jacob/AAB-1161-2019; Quillfeldt, Petra/A-9549-2009; Poisbleau, Maud/B-9968-2014; Cuervo, José Javier/K-1646-2014; Gonzalez-Solis, Jacob/C-3942-2008; McCoy, Karen D/F-7061-2012</t>
  </si>
  <si>
    <t>Barbosa, Andrés/0000-0001-8434-3649; Quillfeldt, Petra/0000-0002-4450-8688; Cuervo, José Javier/0000-0001-7943-7835; Gonzalez-Solis, Jacob/0000-0002-8691-9397; McCoy, Karen D/0000-0002-8972-3808; Dietrich, Muriel/0000-0002-2665-7970</t>
  </si>
  <si>
    <t>European Regional Development Fund; Ministerio de Ciencia e Innovacion from the Spanish Government [POL2006-06635, POL2006-05175, CGL2004-01348, CGL2007-60369, CGL 2009-11278/BOS, CMT 2011-24427]; Agence National de la Recherche, France [ANR-06-JCJC-0095-01]; New Island Conservation Trust; Deutsche Forschungsgemeinschaft (DFG) [Qu 148-1 ff.]; French Ministry for National Education and Research; PhD scholarship from the University of Montpellier I, France</t>
  </si>
  <si>
    <t>European Regional Development Fund(European Union (EU)); Ministerio de Ciencia e Innovacion from the Spanish Government(Spanish Government); Agence National de la Recherche, France(Agence Nationale de la Recherche (ANR)); New Island Conservation Trust; Deutsche Forschungsgemeinschaft (DFG)(German Research Foundation (DFG)); French Ministry for National Education and Research; PhD scholarship from the University of Montpellier I, France</t>
  </si>
  <si>
    <t>We thank V. Noel, C. Chevillon, Y. Michalakis, B. Olsen, E. de Mas, J. Hernandez, D. Gonzalez Acuna, L. Demongin, A. Quesada, E. Elguero and T. Boulinier for assistance at various stages of this work. Data used in this study were partly produced using the technical facilities of the IFR119 'Montpellier Environnement Biodiversite'. Financial support was provided by the European Regional Development Fund, the Ministerio de Ciencia e Innovacion from the Spanish Government (Projects POL2006-06635, POL2006-05175, CGL2004-01348, CGL2007-60369, CGL 2009-11278/BOS, CMT 2011-24427) and the Agence National de la Recherche, France (ANR-06-JCJC-0095-01). Fieldwork on New Island was made possible by support from the New Island Conservation Trust and financial support from the Deutsche Forschungsgemeinschaft (DFG, Qu 148-1 ff.). M.D. was supported by a fellowship from the French Ministry for National Education and Research, and E.L., by a PhD scholarship from the University of Montpellier I, France. Permission for tick collection was granted by the Spanish Polar Committee. We thank the Spanish Antarctic base 'Gabriel de Castilla', the Argentinean Antarctic base 'Teniente Jubany', the Spanish Polar ship 'Las Palmas', the Maritime Logistic Unit (CSIC) and the Chilean Antarctic Secretariat and the Argentinean Antarctic Institute for logistic support and transport. This study is a contribution to the International Polar Year Project 172 BIRDHEALTH and to the PINGUCLIM project.</t>
  </si>
  <si>
    <t>10.3354/meps09749</t>
  </si>
  <si>
    <t>Bronze, Green Submitted, Green Published</t>
  </si>
  <si>
    <t>WOS:000306322300010</t>
  </si>
  <si>
    <t>Flores, H; Atkinson, A; Kawaguchi, S; Krafft, BA; Milinevsky, G; Nicol, S; Reiss, C; Tarling, GA; Werner, R; Rebolledo, EB; Cirelli, V; Cuzin-Roudy, J; Fielding, S; Groeneveld, JJ; Haraldsson, M; Lombana, A; Marschoff, E; Meyer, B; Pakhomov, EA; Rombolá, E; Schmidt, K; Siegel, V; Teschke, M; Tonkes, H; Toullec, JY; Trathan, PN; Tremblay, N; Van de Putte, AP; van Franeker, JA; Werner, T</t>
  </si>
  <si>
    <t>Flores, H.; Atkinson, A.; Kawaguchi, S.; Krafft, B. A.; Milinevsky, G.; Nicol, S.; Reiss, C.; Tarling, G. A.; Werner, R.; Rebolledo, E. Bravo; Cirelli, V.; Cuzin-Roudy, J.; Fielding, S.; Groeneveld, J. J.; Haraldsson, M.; Lombana, A.; Marschoff, E.; Meyer, B.; Pakhomov, E. A.; Rombola, E.; Schmidt, K.; Siegel, V.; Teschke, M.; Tonkes, H.; Toullec, J. Y.; Trathan, P. N.; Tremblay, N.; Van de Putte, A. P.; van Franeker, J. A.; Werner, T.</t>
  </si>
  <si>
    <t>Impact of climate change on Antarctic krill</t>
  </si>
  <si>
    <t>Euphausia superba; Climate change; Sea ice; Ocean acidification; UV radiation; Fisheries management; CCAMLR; Southern Ocean</t>
  </si>
  <si>
    <t>EUPHAUSIA-SUPERBA DANA; SPATIAL-DISTRIBUTION PATTERNS; NATURAL GROWTH-RATES; SEA-ICE EXTENT; SOUTHERN-OCEAN; SCOTIA SEA; CIRCUMPOLAR CURRENT; ECOLOGICAL RESPONSES; IRON FERTILIZATION; MARINE ECOSYSTEMS</t>
  </si>
  <si>
    <t>Antarctic krill Euphausia superba (hereafter 'krill') occur in regions undergoing rapid environmental change, particularly loss of winter sea ice. During recent years, harvesting of krill has in creased, possibly enhancing stress on krill and Antarctic ecosystems. Here we review the overall impact of climate change on krill and Antarctic ecosystems, discuss implications for an ecosystem-based fisheries management approach and identify critical knowledge gaps. Sea ice decline, ocean warming and other environmental stressors act in concert to modify the abundance, distribution and life cycle of krill. Although some of these changes can have positive effects on krill, their cumulative impact is most likely negative. Recruitment, driven largely by the winter survival of larval krill, is probably the population parameter most susceptible to climate change. Predicting changes to krill populations is urgent, because they will seriously impact Antarctic ecosystems. Such predictions, however, are complicated by an intense inter-annual variability in recruitment success and krill abundance. To improve the responsiveness of the ecosystem-based management approach adopted by the Commission for the Conservation of Antarctic Marine Living Resources (CCAMLR), critical knowledge gaps need to be filled. In addition to a better understanding of the factors influencing recruitment, management will require a better understanding of the resilience and the genetic plasticity of krill life stages, and a quantitative understanding of under-ice and benthic habitat use. Current precautionary management measures of CCAMLR should be maintained until a better understanding of these processes has been achieved. [GRAPHICS] .</t>
  </si>
  <si>
    <t>[Flores, H.; van Franeker, J. A.] Inst Marine Resources &amp; Ecosyst Studies IMARES, NL-1790 AD Den Burg, Texel, Netherlands; [Flores, H.] Alfred Wegener Inst Polar &amp; Marine Res, D-27570 Bremerhaven, Germany; [Atkinson, A.] Plymouth Marine Lab, Plymouth PL1 3DH, Devon, England; [Atkinson, A.; Tarling, G. A.; Fielding, S.; Schmidt, K.; Trathan, P. N.] British Antarctic Survey, NERC, Cambridge CB3 0ET, England; [Rebolledo, E. Bravo; Tonkes, H.] Wageningen Univ, Dept Environm Sci, NL-6708 PB Wageningen, Netherlands; [Cirelli, V.] FVSA, Buenos Aires, DF, Argentina; [Cuzin-Roudy, J.] Univ Paris 06, CNRS, Observ Oceanol, LOV, F-06230 Villefranche Sur Mer, France; [Groeneveld, J. J.] Minist Econ Affairs Agr &amp; Innovat, NL-2594 AV The Hague, Netherlands; [Haraldsson, M.] Univ Gothenburg, Dept Marine Ecol, S-45178 Kristineberg, Fiskebackskil, Sweden; [Kawaguchi, S.; Nicol, S.] Australian Antarctic Div, Kingston, Tas 7050, Australia; [Kawaguchi, S.] Antarctic Climate &amp; Ecosyst Cooperat Res Ctr, Hobart, Tas 7001, Australia; [Krafft, B. A.] Inst Marine Res, N-5817 Bergen, Norway; [Lombana, A.] World Wildlife Fund, Washington, DC 20037 USA; [Marschoff, E.] Inst Antartico Argentino, RA-1010 Buenos Aires, DF, Argentina; [Meyer, B.; Teschke, M.; Tremblay, N.; Werner, T.] Alfred Wegener Inst Polar &amp; Marine Res, D-27570 Bremerhaven, Germany; [Milinevsky, G.] Kyiv Natl Taras Shevchenko Univ, Space Phys Lab, Kiev, Ukraine; [Nicol, S.] Univ Tasmania, Inst Marine &amp; Antarctic Studies, Hobart, Tas 7001, Australia; [Pakhomov, E. A.] Univ British Columbia, Dept Earth &amp; Ocean Sci, Vancouver, BC V6T 1Z4, Canada; [Reiss, C.] NOAA Fisheries, Antarctic Ecosyst Res Div, La Jolla, CA 92037 USA; [Rombola, E.] Inst Antartico Argentino, RA-1010 Buenos Aires, DF, Argentina; [Siegel, V.] Inst Sea Fisheries, D-22767 Hamburg, Germany; [Toullec, J. Y.] Univ Paris 06, CNRS, Stn Biol Roscoff, UMR 7144, F-29682 Roscoff, France; [Van de Putte, A. P.] Royal Belgian Inst Nat Sci, B-1000 Brussels, Belgium; [Van de Putte, A. P.] Catholic Univ Louvain, Lab Biodivers &amp; Evolutionary Genom, B-3000 Louvain, Belgium; [Werner, T.] Pew Charitable Trusts, Antarctic Int Policy Program, Pew Environm Grp, RA-8400 San Carlos De Bariloche, Rio Negro, Argentina</t>
  </si>
  <si>
    <t>Wageningen University &amp; Research; Helmholtz Association; Alfred Wegener Institute, Helmholtz Centre for Polar &amp; Marine Research; Plymouth Marine Laboratory; UK Research &amp; Innovation (UKRI); Natural Environment Research Council (NERC); NERC British Antarctic Survey; Wageningen University &amp; Research; Centre National de la Recherche Scientifique (CNRS); Sorbonne Universite; University of Gothenburg; Australian Antarctic Division; Antarctic Climate &amp; Ecosystems Cooperative Research Centre (ACE CRC); Institute of Marine Research - Norway; World Wildlife Fund; Instituto Antartico Argentino; Helmholtz Association; Alfred Wegener Institute, Helmholtz Centre for Polar &amp; Marine Research; Ministry of Education &amp; Science of Ukraine; Taras Shevchenko National University of Kyiv; University of Tasmania; University of British Columbia; National Oceanic Atmospheric Admin (NOAA) - USA; Instituto Antartico Argentino; Centre National de la Recherche Scientifique (CNRS); CNRS - Institute of Ecology &amp; Environment (INEE); Sorbonne Universite; Royal Belgian Institute of Natural Sciences; Universite Catholique Louvain</t>
  </si>
  <si>
    <t>Flores, H (corresponding author), Inst Marine Resources &amp; Ecosyst Studies IMARES, NL-1790 AD Den Burg, Texel, Netherlands.</t>
  </si>
  <si>
    <t>hauke.flores@awi.de</t>
  </si>
  <si>
    <t>Flores, Hauke/ABD-1888-2020; Meyer, Bettina/ABB-5311-2020; Van de Putte, Anton/S-3729-2019; Kawaguchi, So/N-1795-2017; Atkinson, Angus/HOH-3417-2023; Milinevsky, Gennadi/AAD-8801-2019; , Nelly/K-2552-2014; Fielding, Sophie/E-5137-2012</t>
  </si>
  <si>
    <t>Flores, Hauke/0000-0003-1617-5449; Meyer, Bettina/0000-0001-6804-9896; Van de Putte, Anton/0000-0003-1336-5554; Milinevsky, Gennadi/0000-0002-2342-2615; , Nelly/0000-0002-8221-4680; Kawaguchi, So/0000-0002-2042-5095; Rombola, Emilce Florencia/0000-0003-1863-1911</t>
  </si>
  <si>
    <t>European Commission; DG MARE [SI2.588382]; Netherlands' Polar Programme (NPP) [851.03.000]; Dutch Ministry for Economic Affairs, Agriculture and Innovation (Statutory Research Tasks Nature and Environment) [WOT-04-003-002]; IMARES; NERC [bas0100025, pml010004] Funding Source: UKRI; Natural Environment Research Council [bas0100025, pml010004] Funding Source: researchfish</t>
  </si>
  <si>
    <t>European Commission(European Union (EU)European Commission Joint Research Centre); DG MARE; Netherlands' Polar Programme (NPP); Dutch Ministry for Economic Affairs, Agriculture and Innovation (Statutory Research Tasks Nature and Environment); IMARES; NERC(UK Research &amp; Innovation (UKRI)Natural Environment Research Council (NERC)); Natural Environment Research Council(UK Research &amp; Innovation (UKRI)Natural Environment Research Council (NERC))</t>
  </si>
  <si>
    <t>The workshop 'Antarctic Krill in a Changing Ocean' was held on the island of Texel, The Netherlands, between 11 and 15 April 2011. Funds were provided by the European Commission, DG MARE (grant agreement no. SI2.588382), the Netherlands' Polar Programme (NPP; grant no. 851.03.000), the Dutch Ministry for Economic Affairs, Agriculture and Innovation (Statutory Research Tasks Nature and Environment, Project no. WOT-04-003-002) and IMARES. The workshop participants were supported by their home institutions. We particularly thank S. T. Gille, E. Maksym, J. Turner and E. F. Young for providing graphical material. We thank J. Gomez-Gutierrez, who contributed significantly to the improvement of the manuscript. B. Aggenbach (Royal Netherlands Institute for Sea Research, NIOZ) and T. van Dalen provided logistic support.</t>
  </si>
  <si>
    <t>10.3354/meps09831</t>
  </si>
  <si>
    <t>968GW</t>
  </si>
  <si>
    <t>Green Accepted, Green Submitted, Green Published, Bronze</t>
  </si>
  <si>
    <t>WOS:000305966400001</t>
  </si>
  <si>
    <t>Stauss, C; Bearhop, S; Bodey, TW; Garthe, S; Gunn, C; Grecian, WJ; Inger, R; Knight, ME; Newton, J; Patrick, SC; Phillips, RA; Waggitt, JJ; Votier, SC</t>
  </si>
  <si>
    <t>Stauss, C.; Bearhop, S.; Bodey, T. W.; Garthe, S.; Gunn, C.; Grecian, W. J.; Inger, R.; Knight, M. E.; Newton, J.; Patrick, S. C.; Phillips, R. A.; Waggitt, J. J.; Votier, S. C.</t>
  </si>
  <si>
    <t>Sex-specific foraging behaviour in northern gannets Morus bassanus: incidence and implications</t>
  </si>
  <si>
    <t>Sexual segregation; Stable isotope; Foraging ecology; Breeding season; Non-breeding; Fishery discards</t>
  </si>
  <si>
    <t>STABLE-ISOTOPES; MANX SHEARWATERS; PARENTAL CARE; SEGREGATION; SEABIRD; FOOD; DIET; DISCRIMINATION; CONSERVATION; NITROGEN</t>
  </si>
  <si>
    <t>Sexual segregation in foraging and migratory behaviour is widespread among sexually dimorphic marine vertebrates. It has also been described for a number of monomorphic species, yet the underlying mechanisms are poorly understood. We examined variation among years, seasons and age-classes in sex-specific foraging and over-wintering behaviour in the northern gannet Morus bassanus, a species with slight sexual dimorphism. Our results revealed consistent sexual differences in the stable isotope ratios of breeding birds: over 3 different breeding periods, adult females consistently consumed prey with significantly lower delta C-13 and delta N-15 values than adult males. Additionally, GPS tracking data showed that breeding females foraged further offshore than breeding males (a result consistent with the delta C-13 data), and the home ranges of the 2 sexes were distinct. Analyses of stable isotope ratios using a Bayesian mixing model (SIAR) revealed that breeding males consumed a higher proportion of fishery discards than females. Analysis of stable isotope ratios in red blood cells of immature gannets (aged 2 to 4) indicated that sexual segregation was not present in this age-class. Although sample sizes were small and statistical power correspondingly low, analysis of geolocator data and of stable isotope ratios in winter-grown flight feathers revealed no clear evidence of sexual segregation during the non-breeding period. Together these results provide detailed insight into sex-specific behaviour in gannets throughout the annual cycle, and although the mechanisms remain unclear they are unlikely to be explained by slight differences in size.</t>
  </si>
  <si>
    <t>[Stauss, C.; Gunn, C.; Grecian, W. J.; Knight, M. E.; Patrick, S. C.; Waggitt, J. J.; Votier, S. C.] Univ Plymouth, Marine Biol &amp; Ecol Res Ctr, Plymouth PL4 8AA, Devon, England; [Bearhop, S.; Bodey, T. W.; Inger, R.] Univ Exeter, Sch Biosci, Ctr Ecol &amp; Conservat, Penryn TR10 9EZ, Cornwall, England; [Garthe, S.] Univ Kiel, Res &amp; Technol Ctr FTZ, D-25761 Busum, Germany; [Newton, J.] Scottish Univ Environm Res Ctr, Nat Environm Res Council Life Sci Mass Spectromet, E Kilbride G75 0QF, Lanark, Scotland; [Phillips, R. A.] British Antarctic Survey, NERC, Cambridge CB3 0ET, Cambs, England</t>
  </si>
  <si>
    <t>University of Plymouth; University of Exeter; University of Kiel; Scottish Universities Research &amp; Reactor Center; UK Research &amp; Innovation (UKRI); Natural Environment Research Council (NERC); NERC British Antarctic Survey</t>
  </si>
  <si>
    <t>Votier, SC (corresponding author), Univ Plymouth, Marine Biol &amp; Ecol Res Ctr, Plymouth PL4 8AA, Devon, England.</t>
  </si>
  <si>
    <t>stephen.votier@plymouth.ac.uk</t>
  </si>
  <si>
    <t>Grecian, James/A-7689-2012; Votier, Stephen/IUO-0154-2023; Newton, Jason/A-9536-2009; Inger, Richard/D-3445-2009; Bearhop, Stuart/G-3105-2012</t>
  </si>
  <si>
    <t>Grecian, James/0000-0002-6428-719X; Votier, Stephen/0000-0002-0976-0167; Newton, Jason/0000-0001-7594-3693; Bodey, Thomas/0000-0002-5334-9615; Inger, Richard/0000-0003-1660-3706; Bearhop, Stuart/0000-0002-5864-0129</t>
  </si>
  <si>
    <t>Peninsula Research Institute for Marine Renewable Energy (PRIMaRE); EU INTERREG project CHARM-III; NERC [NE/G001014/1, NE/H007466/1]; Natural Environment Research Council [NE/G001014/1, NE/H007199/1, bas0100025, NE/H007466/1] Funding Source: researchfish; NERC [bas0100025, NE/H007466/1, lsmsf010002, NE/G001014/1, NE/H007199/1] Funding Source: UKRI</t>
  </si>
  <si>
    <t>Peninsula Research Institute for Marine Renewable Energy (PRIMaRE); EU INTERREG project CHARM-III; NERC(UK Research &amp; Innovation (UKRI)Natural Environment Research Council (NERC)); Natural Environment Research Council(UK Research &amp; Innovation (UKRI)Natural Environment Research Council (NERC)); NERC(UK Research &amp; Innovation (UKRI)Natural Environment Research Council (NERC))</t>
  </si>
  <si>
    <t>We are very grateful to Greg and Lisa Morgan for help and exhaustive support in the field, and the Royal Society for the Protection of Birds for providing permission to work on Grassholm. Tim &amp; Beth Brooke at VentureJet helped with the taxing task of landing safely on Grassholm. Device attachment was conducted with permission from the Countryside Council for Wales. This work was supported by the Peninsula Research Institute for Marine Renewable Energy (PRIMaRE), EU INTERREG project CHARM-III, and NERC (NE/G001014/1 &amp; NE/H007466/1). Thanks also to 4 anonymous reviewers whose comments helped to improve this manuscript.</t>
  </si>
  <si>
    <t>10.3354/meps09734</t>
  </si>
  <si>
    <t>978PB</t>
  </si>
  <si>
    <t>WOS:000306755000012</t>
  </si>
  <si>
    <t>Cleary, AC; Durbin, EG; Rynearson, TA</t>
  </si>
  <si>
    <t>Cleary, Alison C.; Durbin, Edward G.; Rynearson, Tatiana A.</t>
  </si>
  <si>
    <t>Krill feeding on sediment in the Gulf of Maine (North Atlantic)</t>
  </si>
  <si>
    <t>Meganyctiphanes norvegica; Gut contents; 18S rDNA; Benthic-pelagic coupling; PNA-PCR</t>
  </si>
  <si>
    <t>EUPHAUSIID MEGANYCTIPHANES-NORVEGICA; MULTIPLE SEQUENCE ALIGNMENT; ANTARCTIC KRILL; GEORGES-BANK; EUKARYOTIC DIVERSITY; MIGRATORY BEHAVIOR; QUANTITATIVE PCR; M SARS; SEA; ZOOPLANKTON</t>
  </si>
  <si>
    <t>Krill are key members of many marine ecosystems, serving as a critical trophic link between microscopic organisms and large predators such as whales, fish, and seabirds. Krill feeding is thus important to ecosystem carbon cycling. Traditional approaches to determining in-situ krill feeding require a priori assumptions, and may have prey-type detection biases. We took a DNA-based approach to measuring in-situ feeding by northern krill Meganyctiphanes norvegica. The diversity of prey consumed by M. norvegica in situ was analyzed for 80 krill at 8 stations throughout the Gulf of Maine (North Atlantic) using peptide nucleic acid mediated polymerase chain reaction (PNA-PCR) clone library sequencing of 18S rDNA. Relative abundance of the 2 most common prey types was measured with quantitative PCR (qPCR) in the guts of 16 krill. The 245 prey sequences recovered from krill gut contents included copepods, salps, phytoplankton, and a poorly known organism found to be sediment associated. Calanus finmarchicus and the sediment-associated organism were found most commonly, at 7 and 8 stations, respectively, and their 18S rDNA was present in nearly equal quantities in individual krill guts. M. norvegica, like most krill, are typically considered planktivorous; thus krill feeding on sediment organisms represents an unrecognized pathway for carbon flow from the sediment to the pelagic. Calculations suggest that this unrecognized pathway could potentially bring over 100 000 t of carbon annually back into the Gulf of Maine pelagic ecosystem, equivalent to 4% of annual primary production, or the energy demands of 80% of the region's fin whale population.</t>
  </si>
  <si>
    <t>[Cleary, Alison C.; Durbin, Edward G.; Rynearson, Tatiana A.] Univ Rhode Isl, Grad Sch Oceanog, Narragansett, RI 02882 USA</t>
  </si>
  <si>
    <t>University of Rhode Island</t>
  </si>
  <si>
    <t>Cleary, AC (corresponding author), Univ Rhode Isl, Grad Sch Oceanog, Narragansett, RI 02882 USA.</t>
  </si>
  <si>
    <t>acleary@gso.uri.edu</t>
  </si>
  <si>
    <t>NSF [0748963, 909415]; National Science Foundation (MRI) [DBI-0215393]; National Science Foundation (EPSCoR) [0554548]; US Department of Agriculture [2002-34438-12688, 2003-34438-13111, 2008-34438-19246]; University of Rhode Island; Division Of Ocean Sciences; Directorate For Geosciences [0748963] Funding Source: National Science Foundation; Office of Polar Programs (OPP); Directorate For Geosciences [0909415] Funding Source: National Science Foundation; NIFA [2008-34438-19246, 583353] Funding Source: Federal RePORTER</t>
  </si>
  <si>
    <t>NSF(National Science Foundation (NSF)); National Science Foundation (MRI)(National Science Foundation (NSF)); National Science Foundation (EPSCoR)(National Science Foundation (NSF)); US Department of Agriculture(United States Department of Agriculture (USDA)); University of Rhode Island; Division Of Ocean Sciences; Directorate For Geosciences(National Science Foundation (NSF)NSF - Directorate for Geosciences (GEO)); Office of Polar Programs (OPP); Directorate For Geosciences(National Science Foundation (NSF)NSF - Directorate for Geosciences (GEO)); NIFA(United States Department of Agriculture (USDA)National Institute of Food and Agriculture)</t>
  </si>
  <si>
    <t>We thank D. C. Smith of the University of Rhode Island, Graduate School of Oceanography, for use of laboratory space. We also thank J. Hare and J. Prezioso of NOAA NEFSC for assistance with sample collection and krill and prey abundance data. This research is based in part upon work supported by NSF Grants 0748963 and 909415 awarded to E.D. and T.R. and conducted using the Rhode Island Genomics and Sequencing Center and the Rhode Island Center of Excellence in the Marine Life Sciences, which are both supported in part by the National Science Foundation (MRI Grant No. DBI-0215393 and EPSCoR Grant no. 0554548), the US Department of Agriculture (Grant no. 2002-34438-12688, 2003-34438-13111 and 2008-34438-19246), and the University of Rhode Island.</t>
  </si>
  <si>
    <t>10.3354/meps09632</t>
  </si>
  <si>
    <t>949WI</t>
  </si>
  <si>
    <t>WOS:000304607100011</t>
  </si>
  <si>
    <t>Leduc, D; Rowden, AA; Bowden, DA; Probert, PK; Pilditch, CA; Nodder, SD</t>
  </si>
  <si>
    <t>Leduc, Daniel; Rowden, Ashley A.; Bowden, David A.; Probert, P. Keith; Pilditch, Conrad A.; Nodder, Scott D.</t>
  </si>
  <si>
    <t>Unimodal relationship between biomass and species richness of deep-sea nematodes: implications for the link between productivity and diversity</t>
  </si>
  <si>
    <t>Southwest Pacific; Kaikoura Canyon; Ross Sea; Southern Ocean; Nematodes; Macroecology; Biomass</t>
  </si>
  <si>
    <t>OXYGEN MINIMUM ZONE; CHATHAM RISE; SUBTROPICAL FRONT; ORGANIC-CARBON; COMMUNITY STRUCTURE; MARINE NEMATODES; BENTHIC BIOMASS; NORTH-ATLANTIC; NAZARE CANYON; ENERGY THEORY</t>
  </si>
  <si>
    <t>Describing large-scale patterns of biological diversity is a first step towards understanding the mechanisms that generate and maintain diversity. The highly diverse deep-sea floor is the largest ecosystem on Earth, but the productivity-diversity relationship in this biome is not well characterized. We investigated this relationship by using biomass of nematodes as a proxy for productivity (particulate organic carbon flux to the seabed). We used sample data collected from the New Zealand and Antarctic regions and combined these with published data from around the globe for broader analyses. There was a significant unimodal relationship between nematode biomass and diversity, i.e. expected number of species, ES(51) both within the New Zealand region and across ocean basins. This relationship remained significant after accounting for the effects of both water depth and nematode abundance. These findings support earlier suggestions of a unimodal productivity-diversity relationship in the deep sea that were based on other proxies (e. g. water depth, modelled particulate organic carbon flux). We argue that the 'productivity context' is of primary importance when determining the strength and nature of the relationship between other environmental factors and diversity. Studies that include either or both extremes of the productivity scale are likely to find that productivity is the main factor limiting deep-sea diversity, whereas those focusing on the intermediate productivity range are more likely to find that other factors (e. g. disturbance, habitat heterogeneity) play a role.</t>
  </si>
  <si>
    <t>[Leduc, Daniel; Probert, P. Keith] Univ Otago, Dept Marine Sci, Dunedin, New Zealand; [Leduc, Daniel; Rowden, Ashley A.; Bowden, David A.; Nodder, Scott D.] Natl Inst Water &amp; Atmospher Res NIWA Ltd, Wellington 6021, New Zealand; [Pilditch, Conrad A.] Univ Waikato, Dept Biol Sci, Hamilton, New Zealand</t>
  </si>
  <si>
    <t>University of Otago; National Institute of Water &amp; Atmospheric Research (NIWA) - New Zealand; University of Waikato</t>
  </si>
  <si>
    <t>Leduc, D (corresponding author), Univ Otago, Dept Marine Sci, POB 56, Dunedin, New Zealand.</t>
  </si>
  <si>
    <t>daniel.leduc@niwa.co.nz</t>
  </si>
  <si>
    <t>Rowden, Ashley/ABG-6010-2020; Rowden, Ashley/O-9358-2019</t>
  </si>
  <si>
    <t>Leduc, Daniel/0000-0001-5310-9198; Rowden, Ashley/0000-0003-2975-2524</t>
  </si>
  <si>
    <t>Land Information New Zealand; Ministry of Fisheries; Department of Conservation; NIWA; FRST [UOOX0909]; programme 'Consequences of Earth-Ocean Change' [C01X0702]; programme 'Coasts Oceans OBI' [(C01X0501]; programme 'Impact of Resource Use on Vulnerable Deep-Sea Communities' [CO1X0906]; New Zealand Ministry of Business, Innovation &amp; Employment (MBIE) [UOOX0909] Funding Source: New Zealand Ministry of Business, Innovation &amp; Employment (MBIE)</t>
  </si>
  <si>
    <t>Land Information New Zealand; Ministry of Fisheries; Department of Conservation; NIWA; FRST(New Zealand Foundation for Research, Science and Technology); programme 'Consequences of Earth-Ocean Change'; programme 'Coasts Oceans OBI'; programme 'Impact of Resource Use on Vulnerable Deep-Sea Communities'; New Zealand Ministry of Business, Innovation &amp; Employment (MBIE)(New Zealand Ministry of Business, Innovation and Employment (MBIE))</t>
  </si>
  <si>
    <t>Sample data were generated under the Foundation for Research, Science and Technology (FRST) programme 'Ocean Ecosystems' (C01X0027) and the New Zealand Ocean Survey 20/20 Chatham-Challenger and IPY-CAML Ross Sea projects for which we thank the funding agencies, Land Information New Zealand, Ministry of Fisheries, Department of Conservation and NIWA, for permission to use the data. Funding was also provided by FRST through a postdoctoral fellowship to D. Leduc (UOOX0909), and the programmes 'Consequences of Earth-Ocean Change' (C01X0702), 'Coasts &amp; Oceans OBI' (C01X0501) and 'Impact of Resource Use on Vulnerable Deep-Sea Communities' (CO1X0906). As well as the aforementioned projects, this paper also represents a contribution to the Census of Marine Life CeDAMar project 'Impacts of Productivity Gradients on Biodiversity and Ecosystem Function in the Abyss'. We thank K. Berkenbusch for processing meiofauna samples (TAN0116), and E. Mackay and A. L. Verdier for their help with the preparation of figures. We also thank the other participants of NIWA voyages TAN0116, TAN0705, TAN0707 and TAN0802, the officers and crew of RV 'Tangaroa' and 4 anonymous reviewers for their constructive criticisms of the manuscript.</t>
  </si>
  <si>
    <t>10.3354/meps09609</t>
  </si>
  <si>
    <t>949VW</t>
  </si>
  <si>
    <t>WOS:000304605500004</t>
  </si>
  <si>
    <t>Hinke, JT; Polito, MJ; Reiss, CS; Trivelpiece, SG; Trivelpiece, WZ</t>
  </si>
  <si>
    <t>Hinke, Jefferson T.; Polito, Michael J.; Reiss, Christian S.; Trivelpiece, Susan G.; Trivelpiece, Wayne Z.</t>
  </si>
  <si>
    <t>Flexible reproductive timing can buffer reproductive success of Pygoscelis spp. penguins in the Antarctic Peninsula region</t>
  </si>
  <si>
    <t>Phenology; Adelie; Gentoo; Climate change; Migrant</t>
  </si>
  <si>
    <t>KING-GEORGE-ISLAND; CLIMATE-CHANGE; POPULATION-CHANGES; BREEDING SUCCESS; SEA-ICE; ADELIE; GENTOO; KRILL; CONSEQUENCES; VARIABILITY</t>
  </si>
  <si>
    <t>Varying the timing of reproduction in response to local environmental conditions is a key factor influencing reproductive success. We used 19 yr (1991 to 2009) of data on breeding chronology and reproductive success of Adelie penguins Pygoscelis adeliae and gentoo penguins P. papua at King George Island, Antarctica to compare clutch initiation dates (CIDs), hatch rates, and creche rates at population and individual levels. The CIDs of both species occurred earlier with warmer October temperatures, but gentoo penguins adjusted CIDs twice as much per C of temperature as Adelie penguins. Gentoo penguins also exhibited lower variances in hatch and creche rates than Adelie penguins, suggesting that greater ability to respond to ambient conditions can buffer reproductive success. Mixed-effects models revealed that individual-and year-specific random effects on the overall population mean best accounted for observed variation in CIDs, with some individuals routinely breeding earlier than others. However, individual differences in the relative timing of breeding provided no advantage for long-term reproductive success. The results suggest that, among gentoo and Adelie penguins, plasticity in CIDs with respect to environmental conditions is primarily a population-level rather than an individual-level response. Energetic constraints of contrasting migratory and fasting behaviors likely contribute to the different abilities to respond to warming spring temperatures. Overall, larger responses of gentoo penguin CIDs to October temperature and lower variability in reproductive success, despite reduced reproductive success with delayed breeding, suggests that gentoo penguins are better equipped than Adelie penguins to adjust to rapid warming in the Antarctic Peninsula ecosystem.</t>
  </si>
  <si>
    <t>[Hinke, Jefferson T.; Reiss, Christian S.; Trivelpiece, Susan G.; Trivelpiece, Wayne Z.] NOAA, Antarctic Ecosyst Res Div, SW Fisheries Sci Ctr, Natl Marine Fisheries Serv, La Jolla, CA 92037 USA; [Hinke, Jefferson T.] Univ Calif San Diego, Scripps Inst Oceanog, La Jolla, CA 92093 USA; [Polito, Michael J.] Univ N Carolina, Dept Biol &amp; Marine Biol, Wilmington, NC 28403 USA</t>
  </si>
  <si>
    <t>National Oceanic Atmospheric Admin (NOAA) - USA; University of California System; University of California San Diego; Scripps Institution of Oceanography; University of North Carolina; University of North Carolina Wilmington</t>
  </si>
  <si>
    <t>Hinke, JT (corresponding author), NOAA, Antarctic Ecosyst Res Div, SW Fisheries Sci Ctr, Natl Marine Fisheries Serv, 3333 N Torrey Pines Court, La Jolla, CA 92037 USA.</t>
  </si>
  <si>
    <t>jefferson.hinke@noaa.gov</t>
  </si>
  <si>
    <t>, Jefferson/AAG-1702-2021; Polito, Michael/G-9118-2012</t>
  </si>
  <si>
    <t>, Jefferson/0000-0002-3600-1414; Polito, Michael/0000-0001-8639-4431</t>
  </si>
  <si>
    <t>National Science Foundation (NSF) [1016936]; Pew Charitable Trusts</t>
  </si>
  <si>
    <t>National Science Foundation (NSF)(National Science Foundation (NSF)); Pew Charitable Trusts</t>
  </si>
  <si>
    <t>We thank the numerous researchers who have collected the long-term data sets used here. Data on monthly meteorology were obtained from the Russian Federation National Antarctic Data Center (NADC) at the Arctic and Antarctic Research Institute (AARI). We gratefully acknowledge funding from the National Science Foundation (NSF; grant #1016936) and the Lenfest Oceans Program of the Pew Charitable Trusts. Comments from M. Goebel, D. Kinzey, G. Kooyman, H. Lynch, G. Watters, and anonymous reviewers improved this manuscript.</t>
  </si>
  <si>
    <t>10.3354/meps09633</t>
  </si>
  <si>
    <t>WOS:000304605500008</t>
  </si>
  <si>
    <t>Sydeman, WJ; Thompson, SA; Kitaysky, A</t>
  </si>
  <si>
    <t>Sydeman, William J.; Thompson, Sarah Ann; Kitaysky, Alexander</t>
  </si>
  <si>
    <t>INTRODUCTION Seabirds and climate change: roadmap for the future</t>
  </si>
  <si>
    <t>Conference proceedings; Climate effects; Marine birds; Meta-analysis</t>
  </si>
  <si>
    <t>SEA-SURFACE TEMPERATURE; PENGUINS EUDYPTULA-MINOR; ANTARCTIC TOP PREDATOR; OCEAN CLIMATE; POPULATION-DYNAMICS; BREEDING PERFORMANCE; CALIFORNIA CURRENT; REPRODUCTIVE-PERFORMANCE; INTERANNUAL VARIABILITY; FOOD AVAILABILITY</t>
  </si>
  <si>
    <t>Based in part on a symposium held at the first World Seabird Conference in September, 2010 in Victoria, BC, Canada, we present a Theme Section (TS) on the topic of seabirds and climate change. We introduce this TS with a meta-analysis of key attributes of the current seabird-climate literature, based on 108 publications representing almost 3000 seabird-climate associations (mostly correlations) published up to 2011. Using the papers in this TS and our meta-analysis, a brief roadmap for the future of seabird-climate change research is presented. Seabird studies have contributed substantially to the literature on marine climate effects. To improve our understanding of climate change effects on seabirds at the global scale, however, additional low-latitude, mechanistic, and 'end-to-end' modeling studies, including integration of climatic, oceanographic, food web, and population dynamics models, should be conducted. This approach will enhance our understanding of the relationship between climate and population dynamics, and facilitate seabird conservation in a changing world.</t>
  </si>
  <si>
    <t>[Sydeman, William J.; Thompson, Sarah Ann] Farallon Inst Adv Ecosyst Res, Petaluma, CA 94952 USA; [Kitaysky, Alexander] Univ Alaska Fairbanks, Dept Biol &amp; Wildlife, Inst Arctic Biol, Fairbanks, AK 99775 USA</t>
  </si>
  <si>
    <t>University of Alaska System; University of Alaska Fairbanks</t>
  </si>
  <si>
    <t>Sydeman, WJ (corresponding author), Farallon Inst Adv Ecosyst Res, Petaluma, CA 94952 USA.</t>
  </si>
  <si>
    <t>wsydeman@comcast.net</t>
  </si>
  <si>
    <t>10.3354/meps09806</t>
  </si>
  <si>
    <t>WOS:000304605500009</t>
  </si>
  <si>
    <t>Barbraud, C; Rolland, V; Jenouvrier, S; Nevoux, M; Delord, K; Weimerskirch, H</t>
  </si>
  <si>
    <t>Barbraud, Christophe; Rolland, Virginie; Jenouvrier, Stephanie; Nevoux, Marie; Delord, Karine; Weimerskirch, Henri</t>
  </si>
  <si>
    <t>Effects of climate change and fisheries bycatch on Southern Ocean seabirds: a review</t>
  </si>
  <si>
    <t>Seabirds; Bycatch; Population dynamics; Demography; Distribution; Phenology; Sea ice; Sea-surface temperature</t>
  </si>
  <si>
    <t>SEA-ICE EXTENT; PETRELS PROCELLARIA-AEQUINOCTIALIS; ABANDONED PENGUIN COLONIES; ALBATROSS DIOMEDEA-EXULANS; CALIFORNIA CURRENT SYSTEM; HIGH ANNUAL VARIABILITY; ANTARCTIC TOP PREDATOR; OPTIMAL LIFE-HISTORIES; POPULATION-DYNAMICS; LONGLINE FISHERY</t>
  </si>
  <si>
    <t>Over the last century, major climate changes and intense human exploitation of natural living resources have occurred in the Southern Ocean, potentially affecting its ecosystems up to top marine predators. Fisheries may also directly affect seabirds through bycatch and additional food resources provided by discards. The past 20 yr of research has seen an increasing number of studies investigating the effects of climate change and fisheries activities on Southern Ocean seabirds. Here, we review these studies in order to identify patterns in changes in distribution, phenology, demography and population dynamics in response to changes in climate and fisheries bycatch. Shifts in distribution and breeding phenology were documented in parallel to increases in sea-surface temperatures and changes in sea-ice cover. Above all warm sea-surface temperatures negatively affected demographic parameters, although exceptions were found. Relationships suggest non-linear effects of sea-ice cover on demographic parameters and population dynamics, with optimum sea-ice cover conditions appearing to be the rule. Fishing efforts were mainly negatively related to survival rates, and only for a few species positively related to breeding success. A handful of studies found that chronic mortality of immature birds due to fisheries negatively affected populations. Climate factors and fisheries bycatch may simultaneously affect demographic parameters in a complex way, which can be integrated in population models to project population trajectories under future climate or fisheries scenarios. Needed are studies that integrate other environmental factors, trophic levels, foraging behaviour, climate-fisheries inter actions, and the mechanisms underlying phenotypic plasticity, such as some pioneering studies conducted elsewhere.</t>
  </si>
  <si>
    <t>[Barbraud, Christophe; Rolland, Virginie; Jenouvrier, Stephanie; Nevoux, Marie; Delord, Karine; Weimerskirch, Henri] CNRS, Ctr Etud Biol Chize, F-79360 Villiers En Bois, Beauvoir Sur Ni, France; [Rolland, Virginie] Univ Florida, Dept Wildlife Ecol &amp; Conservat, Gainesville, FL 32611 USA; [Jenouvrier, Stephanie] Woods Hole Oceanog Inst, Dept Biol, Woods Hole, MA 02543 USA; [Nevoux, Marie] Univ Pretoria, Dept Zool &amp; Entomol, Mammal Res Inst, ZA-0002 Pretoria, South Africa</t>
  </si>
  <si>
    <t>Centre National de la Recherche Scientifique (CNRS); State University System of Florida; University of Florida; Woods Hole Oceanographic Institution; University of Pretoria</t>
  </si>
  <si>
    <t>Barbraud, C (corresponding author), CNRS, Ctr Etud Biol Chize, F-79360 Villiers En Bois, Beauvoir Sur Ni, France.</t>
  </si>
  <si>
    <t>barbraud@cebc.cnrs.fr</t>
  </si>
  <si>
    <t>Barbraud, Christophe/A-5870-2012; Weimerskirch, Henri/K-7306-2019; Weimerskirch, Henri/F-5562-2013</t>
  </si>
  <si>
    <t>Barbraud, Christophe/0000-0003-0146-212X; Weimerskirch, Henri/0000-0002-0457-586X; jenouvrier, stephanie/0000-0003-3324-2383</t>
  </si>
  <si>
    <t>ANR Biodiversity</t>
  </si>
  <si>
    <t>ANR Biodiversity(Agence Nationale de la Recherche (ANR))</t>
  </si>
  <si>
    <t>We thank the French Polar Institute (IPEV), the Terres Australes et Antarctiques Francaises, the Zone Atelier de Recherches sur l'Environnement Antarctique et Subantarctique (Centre National de la Recherche Scientifique-Institut Ecologie et Environnement), and the program Behavioural and Demographic Responses of Indian Ocean Marine Top Predators to Global Changes (REMIGE) funded by ANR Biodiversity for their ongoing support and assistance, and 3 anonymous reviewers.</t>
  </si>
  <si>
    <t>10.3354/meps09616</t>
  </si>
  <si>
    <t>WOS:000304605500023</t>
  </si>
  <si>
    <t>Ainley, DG; Ribic, CA; Woehler, EJ</t>
  </si>
  <si>
    <t>Ainley, David G.; Ribic, Christine A.; Woehler, Eric J.</t>
  </si>
  <si>
    <t>Adding the ocean to the study of seabirds: a brief history of at-sea seabird research</t>
  </si>
  <si>
    <t>At-sea surveys; Food-web structure; Foraging ecology; Seabird; Seabird habitat</t>
  </si>
  <si>
    <t>PREDATOR-PREY INTERACTIONS; PACIFIC EQUATORIAL WATERS; SOUTHEASTERN BERING-SEA; MARINE PROTECTED AREAS; STREAM FRONTAL EDDIES; SOUTHERN-OCEAN; CALIFORNIA CURRENT; ANTARCTIC KRILL; ALEUTIAN ARCHIPELAGO; SPATIAL-DISTRIBUTION</t>
  </si>
  <si>
    <t>We review the history of how research directed towards marine ornithology has led to an appreciation of seabirds as highly specialized marine organisms. Beginning with R. C. Murphy (Pacific), V. C. Wynne-Edwards (Atlantic), and associates in the early 1900s, the research approach grew from an emphasis on seabird single-species ecology to an appreciation of interacting species assemblages and finally to seabirds being considered as important components of marine food webs. After a slow, drawn-out beginning, the initial main impetus for developing the field was a need to map seabird abundance and distribution tied to understanding impacts of continental shelf resource exploitation. Coalescing during the 1970s to 1980s to facilitate this line of research were 6 factors: (1) ability to identify birds at sea; (2) standardization of techniques to quantify abundance; (3) resources and techniques for mapping; (4) appreciation of how scale affects seabird relationships to hydrographic features and patchy prey; (5) development of computing power and appropriate statistics; and (6) seabird biologists becoming embedded in, as well as organizing, multidisciplinary marine research projects. Future advances in understanding the role of seabirds in marine food webs will be made by seabird biologists participating in multidisciplinary projects using grid-like surveys relative to oceanographic features in combination with instrumentation that reveals the finer details of seabird foraging behaviors.</t>
  </si>
  <si>
    <t>[Ainley, David G.] HT Harvey &amp; Associates, Los Gatos, CA 95032 USA; [Ribic, Christine A.] Univ Wisconsin, Dept Forest &amp; Wildlife Ecol, US Geol Survey Wisconsin Cooperat Wildlife Res Un, Madison, WI 53706 USA; [Woehler, Eric J.] Univ Tasmania, Sch Zool, Hobart, Tas 7005, Australia</t>
  </si>
  <si>
    <t>University of Wisconsin System; University of Wisconsin Madison; University of Tasmania</t>
  </si>
  <si>
    <t>Ainley, DG (corresponding author), HT Harvey &amp; Associates, 983 Univ Ave, Los Gatos, CA 95032 USA.</t>
  </si>
  <si>
    <t>Woehler, Eric/0000-0002-1125-0748</t>
  </si>
  <si>
    <t>National Science Foundation [OPP 0440463]; Directorate For Geosciences; Office of Polar Programs (OPP) [0944411] Funding Source: National Science Foundation</t>
  </si>
  <si>
    <t>We thank G. Hunt and R. Wilson for inviting us to participate in their World Seabird Conference symposium, of which this paper was a part; L. Ballance for discussions towards formulating this paper; Y. Tremblay for advice and sharing of his publication data base; and S. Bartle for helping to identify several difficult-to-find early publications. S. Howell, G. Hunt, P. Pyle, M. Tasker, and an anonymous reviewer provided helpful comments to improve the manuscript. D.G.A.'s effort was funded by National Science Foundation grant OPP 0440463. Any use of trade, product, or firm names is for descriptive purposes only and does not imply endorsement by the US Government.</t>
  </si>
  <si>
    <t>10.3354/meps09524</t>
  </si>
  <si>
    <t>940QL</t>
  </si>
  <si>
    <t>WOS:000303908000018</t>
  </si>
  <si>
    <t>Morley, SA; Martin, SM; Bates, AE; Clark, MS; Ericson, J; Lamare, M; Peck, LS</t>
  </si>
  <si>
    <t>Morley, S. A.; Martin, S. M.; Bates, A. E.; Clark, M. S.; Ericson, J.; Lamare, M.; Peck, L. S.</t>
  </si>
  <si>
    <t>Spatial and temporal variation in the heat tolerance limits of two abundant Southern Ocean invertebrates</t>
  </si>
  <si>
    <t>Temperature limit; Odontaster validus; Laternula elliptica; Antarctic; Seasonality; Acclimatisation</t>
  </si>
  <si>
    <t>THERMAL TOLERANCE; ACCLIMATORY CAPACITY; GAMETOGENIC ECOLOGY; ODONTASTER-VALIDUS; TEMPERATURE LIMITS; ANTARCTIC BIVALVE; CLIMATE-CHANGE; FOOD; ICE; VULNERABILITY</t>
  </si>
  <si>
    <t>While, in lower latitudes, population-level differences in heat tolerance are linked to temperature variability, in the Southern Ocean remarkably stable year-round temperatures prevail. Temporal variation in the physiology of Antarctic ectotherms is therefore thought to be driven by the intense seasonality in primary productivity. Here we tested for differences in the acute upper temperature limits (lethal and activity) of 2 Antarctic marine invertebrates (the omnivorous starfish Odontaster validus and the filter-feeding clam Laternula elliptica) across latitude, seasons and years. Acute thermal responses in the starfish (righting and feeding) and clam (burrowing) differed between populations collected at 77 degrees S (McMurdo Sound) and 67 degrees S (Marguerite Bay). Both species displayed significantly higher temperature performance at 67 degrees S, where seawater can reach a maximum of +1.8 degrees C in summer versus -0.5 degrees C at 77 degrees S, showing that even the narrow spatial and temporal variation in environmental temperature in Antarctica is biologically meaningful to these stenothermal invertebrates. Temporal comparisons of heat tolerance also demonstrated seasonal differences in acute upper limits for survival that were consistent with physiological acclimatisation: lethal limits were lower in winter than summer and higher in warm years than cool years. However, clams had greater inter-annual variation of temperature limits than was observed for starfish, suggesting that variation in food availability is also an important factor, particularly for primary consumers. Teasing out the interaction of multiple factors on thermal tolerance will be important for refining species-specific predictions of climate change impacts.</t>
  </si>
  <si>
    <t>[Morley, S. A.; Clark, M. S.; Peck, L. S.] British Antarctic Survey, Nat Environm Res Council, Cambridge CB3 0ET, England; [Bates, A. E.; Ericson, J.; Lamare, M.] Univ Otago, Dept Marine Sci, Dunedin 9054, New Zealand</t>
  </si>
  <si>
    <t>UK Research &amp; Innovation (UKRI); Natural Environment Research Council (NERC); NERC British Antarctic Survey; University of Otago</t>
  </si>
  <si>
    <t>Morley, SA (corresponding author), British Antarctic Survey, Nat Environm Res Council, Madingley Rd, Cambridge CB3 0ET, England.</t>
  </si>
  <si>
    <t>smor@bas.ac.uk</t>
  </si>
  <si>
    <t>Lamare, Miles M/A-7020-2010; Ericson, Jessica/AAP-1976-2020; Ericson, Jessica/B-1696-2016; Bates, Amanda E./ABD-6874-2021; Clark, Melody/D-7371-2014</t>
  </si>
  <si>
    <t>Ericson, Jessica/0000-0001-5220-8493; Ericson, Jessica/0000-0001-5220-8493; Bates, Amanda E./0000-0002-0198-4537; Clark, Melody/0000-0002-3442-3824; Lamare, Miles/0000-0001-8656-7240</t>
  </si>
  <si>
    <t>NERC British Antarctic Survey; University of Otago Research Committee, Antarctica New Zealand [K-068]; TransAntarctic Association [TAA05/08]; Natural Science and Engineering Research Council of Canada; NERC [dml011000, bas0100025] Funding Source: UKRI; Natural Environment Research Council [dml011000, bas0100025] Funding Source: researchfish</t>
  </si>
  <si>
    <t>NERC British Antarctic Survey(UK Research &amp; Innovation (UKRI)Natural Environment Research Council (NERC)); University of Otago Research Committee, Antarctica New Zealand; TransAntarctic Association; Natural Science and Engineering Research Council of Canada(Natural Sciences and Engineering Research Council of Canada (NSERC)); NERC(UK Research &amp; Innovation (UKRI)Natural Environment Research Council (NERC)); Natural Environment Research Council(UK Research &amp; Innovation (UKRI)Natural Environment Research Council (NERC))</t>
  </si>
  <si>
    <t>This study is a contribution to the Retirement Symposium of Roger Hughes, a great scientist and friend. The work was co-funded by the NERC British Antarctic Survey Polar Science for Planet Earth Programme (Ecosystems, Adaptations and Physiology Work Package), the University of Otago Research Committee, Antarctica New Zealand (event no. K-068) and the TransAntarctic Association (TAA05/08). A. E. B. was funded by a Natural Science and Engineering Research Council of Canada post-doctoral fellowship. S. M. M. was self funded. We thank K. Arrigo for provision of Ross Sea primary productivity data. This study forms a contribution to the EBA Latitudinal Gradients Programme.</t>
  </si>
  <si>
    <t>10.3354/meps09577</t>
  </si>
  <si>
    <t>915ZK</t>
  </si>
  <si>
    <t>WOS:000302066000006</t>
  </si>
  <si>
    <t>Hedd, A; Montevecchi, WA; Otley, H; Phillips, RA; Fifield, DA</t>
  </si>
  <si>
    <t>Hedd, April; Montevecchi, William A.; Otley, Helen; Phillips, Richard A.; Fifield, David A.</t>
  </si>
  <si>
    <t>Trans-equatorial migration and habitat use by sooty shearwaters Puffinus griseus from the South Atlantic during the nonbreeding season</t>
  </si>
  <si>
    <t>Trans-equatorial migration; Habitat preference; GLS loggers; Nonbreeding distribution; Activity patterns; Puffinus griseus; Atlantic Ocean</t>
  </si>
  <si>
    <t>WHITE-CHINNED PETRELS; CORYS SHEARWATERS; ACTIVITY PATTERNS; PELAGIC SEABIRD; PACIFIC-OCEAN; NORTH; GEOLOCATION; BEHAVIOR; FOOD; TRACKING</t>
  </si>
  <si>
    <t>The distributions of many marine birds, particularly those that are highly pelagic, remain poorly known outside the breeding period. Here we use geolocator-immersion loggers to study trans-equatorial migration, activity patterns and habitat use of sooty shearwaters Puffinus griseus from Kidney Island, Falkland Islands, during the 2008 and 2009 nonbreeding seasons. Between mid March and mid April, adults commenced a similar to 3 wk, &gt;15 000 km northward migration. Most birds (72%) staged in the northwest Atlantic from late April to early June in deep, warm and relatively productive waters west of the Mid-Atlantic Ridge (similar to 43-55 degrees N, similar to 32-43 degrees W) in what we speculate is an important moulting area. Primary feathers grown during the moult had average delta N-15 and delta C-13 values of 13.4 +/- 1.8% and -18.9 +/- 0.5%, respectively. Shearwaters moved into shallow, warm continental shelf waters of the eastern Canadian Grand Bank in mid June and resided there for the northern summer. Migrant Puffinus shearwaters from the southern hemisphere are the primary avian consumers of fish within this ecosystem in summer. During migration birds flew for 78% of the day and 59% of the night, whereas when resident in the northern hemisphere they spent much of their time on the water (70% daylight, 90% darkness). Shearwaters moved south late August to mid September, completing the similar to 30 000 km figure-of-eight round trip migration in similar to 2 to 3 wk. The Northern Patagonian Shelf and Argentine Basin were used as a terminal stopover site, where most (79%) shearwaters spent similar to 1 wk before first returning to the breeding colony for the season. Year-round tracking of seabirds aids the identification of important marine areas and highlights regions where conservation efforts need to be focused.</t>
  </si>
  <si>
    <t>[Hedd, April; Montevecchi, William A.; Fifield, David A.] Mem Univ, Dept Psychol, Cognit &amp; Behav Ecol Program, St John, NF A1C 3C9, Canada; [Otley, Helen] Falkland Isl Govt, Environm Planning Dept, Stanley FF1 1ZZ, Falkland Island, England; [Phillips, Richard A.] British Antarctic Survey, Nat Environm Res Council, Cambridge CB3 0ET, England</t>
  </si>
  <si>
    <t>Memorial University Newfoundland; UK Research &amp; Innovation (UKRI); Natural Environment Research Council (NERC); NERC British Antarctic Survey</t>
  </si>
  <si>
    <t>Hedd, A (corresponding author), Mem Univ, Dept Psychol, Cognit &amp; Behav Ecol Program, St John, NF A1C 3C9, Canada.</t>
  </si>
  <si>
    <t>ahedd@mun.ca</t>
  </si>
  <si>
    <t>Hedd, April/0000-0003-2222-2627</t>
  </si>
  <si>
    <t>NSERC; Government of Canada; Natural Environment Research Council [bas0100025] Funding Source: researchfish; NERC [bas0100025] Funding Source: UKRI</t>
  </si>
  <si>
    <t>NSERC(Natural Sciences and Engineering Research Council of Canada (NSERC)); Government of Canada(CGIAR); Natural Environment Research Council(UK Research &amp; Innovation (UKRI)Natural Environment Research Council (NERC)); NERC(UK Research &amp; Innovation (UKRI)Natural Environment Research Council (NERC))</t>
  </si>
  <si>
    <t>We thank the Falkland Islands Government for granting Research Licenses and Visitor access permits to Kidney Island and Memorial University's Institutional Animal Care Committee for granting approval for the protocols used in this study. We are grateful to Robin Snape, Anton Wolfaardt and Alastair Baylis for help retrieving loggers, and Falklands Conservation and Sally Poncet for providing us with field supplies and equipment. We also thank Paul Regular, who wrote R code to process and summarize the logger immersion data. This project was supported by an NSERC Discovery Grant and the Government of Canada's Program for International Polar Year to W. A. M. This re search represents a contribution to the British Ant arctic Survey Ecosystems Programme.</t>
  </si>
  <si>
    <t>10.3354/meps09538</t>
  </si>
  <si>
    <t>904XF</t>
  </si>
  <si>
    <t>WOS:000301231500022</t>
  </si>
  <si>
    <t>Ansorge, IJ; Froneman, PW; Durgadoo, JV</t>
  </si>
  <si>
    <t>Cruzado, A</t>
  </si>
  <si>
    <t>Ansorge, I. J.; Froneman, P. W.; Durgadoo, J. V.</t>
  </si>
  <si>
    <t>The Marine Ecosystem of the Sub-Antarctic, Prince Edward Islands</t>
  </si>
  <si>
    <t>MARINE ECOSYSTEMS</t>
  </si>
  <si>
    <t>MESOZOOPLANKTON COMMUNITY STRUCTURE; SHRIMP NAUTICARIS-MARIONIS; SOUTH INDIAN-OCEAN; POLAR FRONTAL ZONE; CIRCUMPOLAR CURRENT; MEAN FLOW; VARIABILITY; CIRCULATION; ENVIRONMENT; DYNAMICS</t>
  </si>
  <si>
    <t>[Ansorge, I. J.] Univ Cape Town, Marine Res Inst, Dept Oceanog, Cape Town, South Africa; [Froneman, P. W.] Rhodes Univ, Dept Zool &amp; Entomol, Southern Ocean Grp, Grahamstown, South Africa; [Durgadoo, J. V.] Helmholtz Ctr Ocean Res Kiel GEOMAR, Kiel, Germany</t>
  </si>
  <si>
    <t>University of Cape Town; Rhodes University; Helmholtz Association; GEOMAR Helmholtz Center for Ocean Research Kiel</t>
  </si>
  <si>
    <t>Ansorge, IJ (corresponding author), Univ Cape Town, Marine Res Inst, Dept Oceanog, Cape Town, South Africa.</t>
  </si>
  <si>
    <t>Froneman, William/C-9085-2012; ANSORGE, ISABELLE/AAY-7396-2020; Froneman, William/GLS-0460-2022</t>
  </si>
  <si>
    <t>Froneman, William/0000-0003-0615-1355</t>
  </si>
  <si>
    <t>978-953-51-0176-5</t>
  </si>
  <si>
    <t>10.5772/2131</t>
  </si>
  <si>
    <t>BG2EH</t>
  </si>
  <si>
    <t>WOS:000387290900004</t>
  </si>
  <si>
    <t>Figuerola, B; Núñez-Pons, L; Vázquez, J; Taboada, S; Cristobo, J; Ballesteros, M; Avila, C</t>
  </si>
  <si>
    <t>Figuerola, Blanca; Nunez-Pons, Laura; Vazquez, Jennifer; Taboada, Sergi; Cristobo, Javier; Ballesteros, Manuel; Avila, Conxita</t>
  </si>
  <si>
    <t>Chemical Interactions in Antarctic Marine Benthic Ecosystems</t>
  </si>
  <si>
    <t>CUCUMBER STAUROCUCUMIS LIOUVILLEI; TRITERPENE GLYCOSIDES; ENERGETIC COMPOSITION; POPULATION-STRUCTURE; SUBTIDAL MACROALGAE; DEFENSES; PALATABILITY; ABUNDANCE; GROWTH; OPISTHOBRANCHIA</t>
  </si>
  <si>
    <t>[Figuerola, Blanca; Nunez-Pons, Laura; Vazquez, Jennifer; Taboada, Sergi; Cristobo, Javier; Ballesteros, Manuel; Avila, Conxita] Univ Barcelona, Spanish Inst Oceanog, Barcelona, Spain</t>
  </si>
  <si>
    <t>University of Barcelona; Spanish Institute of Oceanography</t>
  </si>
  <si>
    <t>Figuerola, B (corresponding author), Univ Barcelona, Spanish Inst Oceanog, Barcelona, Spain.</t>
  </si>
  <si>
    <t>Ballesteros, Manuel/M-1664-2014; Taboada, Sergi/AAB-9390-2021; Cristobo, Javier/M-1949-2014; Figuerola, Blanca/C-6252-2015; Avila, Conxita/B-9466-2008; Vazquez, Jennifer/K-7579-2017</t>
  </si>
  <si>
    <t>Taboada, Sergi/0000-0003-1669-1152; Figuerola, Blanca/0000-0003-4731-9337; Avila, Conxita/0000-0002-5489-8376; Vazquez, Jennifer/0000-0002-1510-0034</t>
  </si>
  <si>
    <t>WOS:000387290900006</t>
  </si>
  <si>
    <t>Pitman, RL; Durban, JW</t>
  </si>
  <si>
    <t>Pitman, Robert L.; Durban, John W.</t>
  </si>
  <si>
    <t>Cooperative hunting behavior, prey selectivity and prey handling by pack ice killer whales (Orcinus orca), type B, in Antarctic Peninsula waters</t>
  </si>
  <si>
    <t>MARINE MAMMAL SCIENCE</t>
  </si>
  <si>
    <t>Antarctica; hunting behavior; killer whale; Leptonychotes weddellii; Orcinus orca; prey handling; prey specialization; Weddell seal</t>
  </si>
  <si>
    <t>SEQUENTIAL MEGAFAUNAL COLLAPSE; NORTH PACIFIC-OCEAN; BALEEN WHALES; FORAGING BEHAVIOR; BRITISH-COLUMBIA; MARINE MAMMALS; WEDDELL SEALS; PREDATION; DIVERGENCE; HYPOTHESIS</t>
  </si>
  <si>
    <t>Currently, there are three recognized ecotypes (or species) of killer whales (Orcinus orca) in Antarctic waters, including type B, a putative prey specialist on seals, which we refer to as pack ice killer whale (PI killer whale). During January 2009, we spent a total of 75.4 h observing three different groups of PI killer whales hunting off the western Antarctic Peninsula. Observed prey taken included 16 seals and 1 Antarctic minke whale (Balaenoptera bonaerensis). Weddell seals (Leptonychotes weddellii) were taken almost exclusively (14/15 identified seal kills), despite the fact that they represented only 15% of 365 seals identified on ice floes; the whales entirely avoided taking crabeater seals (Lobodon carcinophaga; 82% relative abundance) and leopard seals (Hydrurga leptonyx; 3%). Of the seals killed, the whales took 12/14 (86%) off ice floes using a cooperative wave-washing behavior; they produced 120 waves during 22 separate attacks and successfully took 12/16 (75%) of the Weddell seals attacked. The mean number of waves produced per successful attack was 4.1 (range 110) and the mean attack duration was 30.4 min (range 1562). Seal remains that we examined from one of the kills provided evidence of meticulous postmortem prey processing perhaps best termed butchering.</t>
  </si>
  <si>
    <t>[Pitman, Robert L.; Durban, John W.] Natl Ocean &amp; Atmospher Adm, Natl Marine Fisheries Serv, SW Fisheries Sci Ctr, Protected Resources Div, La Jolla, CA 92037 USA</t>
  </si>
  <si>
    <t>Pitman, RL (corresponding author), Natl Ocean &amp; Atmospher Adm, Natl Marine Fisheries Serv, SW Fisheries Sci Ctr, Protected Resources Div, 8604 La Jolla Shores Dr, La Jolla, CA 92037 USA.</t>
  </si>
  <si>
    <t>robert.pitman@noaa.gov</t>
  </si>
  <si>
    <t>National Geographic Society</t>
  </si>
  <si>
    <t>National Geographic Society(National Geographic Society)</t>
  </si>
  <si>
    <t>J. Poncet and D. Poncet helped with shipboard operations and BBC personnel on the Frozen Planet film crew-D. Alan, D. Anderson, and K. Jeffs-allowed us to work on the boat with them during their filming; all were generous with their time and enthusiasm for our project. Satellite tags were purchased from a grant by the National Geographic Society. We thank C. Pierpoint and J. Frizell of Greenpeace International for sharing their descriptions and video, respectively, of the McMurdo wave-wash event. O. Carlsson, J. Drennan, A. Friedlaender, J. Poncet, and T. Pusser provided details about their killer whale observations from the Peninsula area; Y. Ivashchenko translated Soviet papers for us, and H. Fearnbach provided field assistance. We had informative discussions about seal biology and identification with D. Siniff, B. Stewart, I. Stirling, and T. Smith and our paper was improved by the comments of R. Baird, L. Ballance, W. F. Perrin, D. Siniff, and two anonymous reviewers. K. Robertson at the Marine Mammal Genetics Laboratory at Southwest Fisheries Science Center, La Jolla, genetically confirmed the identification of two of our seal tissue samples. All research was conducted under ACA Permit No. 2009-013M#1, and MMPA No. 774-1714-08 issued to NOAA Fisheries, Southwest Fisheries Science Center.</t>
  </si>
  <si>
    <t>0824-0469</t>
  </si>
  <si>
    <t>1748-7692</t>
  </si>
  <si>
    <t>MAR MAMMAL SCI</t>
  </si>
  <si>
    <t>Mar. Mamm. Sci.</t>
  </si>
  <si>
    <t>10.1111/j.1748-7692.2010.00453.x</t>
  </si>
  <si>
    <t>869HH</t>
  </si>
  <si>
    <t>WOS:000298588300007</t>
  </si>
  <si>
    <t>Alexieva, Z; Yemendzhiev, H; Tossi, S; Krumova, E; Angelova, M; Terziyska, A; Peneva, N; Gerginova, M</t>
  </si>
  <si>
    <t>MendezVilas, A</t>
  </si>
  <si>
    <t>Alexieva, Z.; Yemendzhiev, H.; Tossi, S.; Krumova, E.; Angelova, M.; Terziyska, A.; Peneva, N.; Gerginova, M.</t>
  </si>
  <si>
    <t>Growth of fungal strains isolated from Livingston Island on phenolic compounds - biodegradation potential</t>
  </si>
  <si>
    <t>MICROBES IN APPLIED RESEARCH: CURRENT ADVANCES AND CHALLENGES</t>
  </si>
  <si>
    <t>4th International Conference on Environmental, Industrial and Applied Microbiology (BioMicroWorld)</t>
  </si>
  <si>
    <t>SEP 14-16, 2011</t>
  </si>
  <si>
    <t>Malaga, SPAIN</t>
  </si>
  <si>
    <t>Antarctic fungi; biodegradation; phenol; cresol; catechol; hydroquinone; resorcinol</t>
  </si>
  <si>
    <t>MIXTURE DEGRADATION; BACTERIA; CRESOL; SOIL</t>
  </si>
  <si>
    <t>Sixteen strains of filamentous fungi were isolated from soil samples collected from Livingston Island, Antarctica. The isolates' taxonomic identifications were performed based on morpho-dimensional parameters following the most suitable identification keys for the different genera. The affiliation of the investigated strains was established to the particular genera. The obtained fungal isolates were members mostly to the genera Penicillium, Aspergillus and Cladosporium. All strains were studied for their ability to adapt to aromatics containing media. Most of the investigated strains demonstrated good tolerance to the presence of 0.5 g/l phenol in the culture medium. More than that the investigations showed that strains were able to grow in a culture medium containing phenol in concentrations varying form 0.1 to 0.7 g/l as a single source of carbon and energy. The experiments carried out with hydroxyl-, methyl-and nitro-phenol derivatives revealed the capability of some of the strains to grow and utilize various of these aromatic compounds. The strains Aspergillus sp. AL1, Aspergillus sp. AL8, Aspergillus AL9, Aspergillus sp. AL15, Penicillium sp. AL5 and Penicillium AL11 were able to grow and utilize as a sole carbon sources 0.3 g/l of each examined aromatic compound. There were not found strains able to utilize any of the tested nitrophenols. The representatives of Cladosporium as well as strain Lecanicillium sp. AL12 did not show any capability to degrade phenol derivatives.</t>
  </si>
  <si>
    <t>[Alexieva, Z.; Yemendzhiev, H.; Krumova, E.; Angelova, M.; Terziyska, A.; Peneva, N.; Gerginova, M.] Bulgarian Acad Sci, Inst Microbiol, Acad G Bonchev Str,Bl 26, BU-1113 Sofia, Bulgaria; [Tossi, S.] Univ Pavia, Dipartimento Ecol Terr, I-27100 Pavia, Italy</t>
  </si>
  <si>
    <t>Medical University Sofia; Bulgarian Academy of Sciences; University of Pavia</t>
  </si>
  <si>
    <t>Alexieva, Z (corresponding author), Bulgarian Acad Sci, Inst Microbiol, Acad G Bonchev Str,Bl 26, BU-1113 Sofia, Bulgaria.</t>
  </si>
  <si>
    <t>zlatkama@yahoo.com</t>
  </si>
  <si>
    <t>Gerginova, Maria Gerginova/K-7815-2016; Alexieva, Zlatka/K-7822-2016</t>
  </si>
  <si>
    <t>Alexieva, Zlatka/0000-0002-2727-5667</t>
  </si>
  <si>
    <t>National Scientific Fund of the Ministry of Education and Science, Bulgaria [DO02-172/08, DTK02/74]</t>
  </si>
  <si>
    <t>National Scientific Fund of the Ministry of Education and Science, Bulgaria</t>
  </si>
  <si>
    <t>This work was supported by the National Scientific Fund of the Ministry of Education and Science, Bulgaria (grants DO02-172/08, DTK02/74).</t>
  </si>
  <si>
    <t>978-981-4405-03-4</t>
  </si>
  <si>
    <t>BA9JG</t>
  </si>
  <si>
    <t>WOS:000339479900027</t>
  </si>
  <si>
    <t>Hristova, I; Nedelcheva, P; Gushterova, A; Paskaleva, D; Krastanov, A</t>
  </si>
  <si>
    <t>Hristova, I.; Nedelcheva, P.; Gushterova, A.; Paskaleva, D.; Krastanov, A.</t>
  </si>
  <si>
    <t>Isolation of thermophilic actinomycetes producers of thermostable proteases</t>
  </si>
  <si>
    <t>Thermophilic actinomycetes; thermostable proteases</t>
  </si>
  <si>
    <t>PURIFICATION; ENZYMES</t>
  </si>
  <si>
    <t>In this study we isolated and screened 58 thermophilic actinomycetes strains for proteolytic activity. The 11A strain originally isolated from a soil sample collected from Antarctic areas that showed highest proteolytic activity was chosen for further analyses. The accomplished observations on the microbial growth in continuous shake flasks confirmed the strain's thermophilic nature and identified its maximal protease synthesis at 45 degrees C for 48h. The pH profile for enzyme production was investigated as well. The observed pH range was from 6.5 to 8.5 and the optimal value for the maximal enzyme synthesis was determined at pH 8.0. The influence of different temperatures on the enzyme activity was observed for period of 2 days. The enzyme retained more than 90% from its initial activity during incubation at 50 degrees C for 48h. It was also found that the enzyme is relatively stable up to 80 degrees C. The influence of different concentrations of carbon and nitrogen nutrient sources on the level of enzyme production was also investigated.</t>
  </si>
  <si>
    <t>[Hristova, I.; Nedelcheva, P.; Krastanov, A.] Univ Food Technol, Dept Biotechnol, 26 Maritza Blvd, Plovdiv 4002, Bulgaria; [Gushterova, A.; Paskaleva, D.] Bulgarian Acad Sci, Inst Microbiol, Sofia 1113, Bulgaria</t>
  </si>
  <si>
    <t>University of Food Technology - Bulgaria; Medical University Sofia; Bulgarian Academy of Sciences</t>
  </si>
  <si>
    <t>Hristova, I (corresponding author), Univ Food Technol, Dept Biotechnol, 26 Maritza Blvd, Plovdiv 4002, Bulgaria.</t>
  </si>
  <si>
    <t>ivelina_hristova_vn@abv.bg</t>
  </si>
  <si>
    <t>Krastanov, Albert/JAC-5626-2023; Krastanov, Albert/J-8706-2016; Krastanov, Albert/ABE-5856-2020; Hristova, Ivelina/M-1256-2016</t>
  </si>
  <si>
    <t>Krastanov, Albert/0000-0003-2794-1655; Hristova, Ivelina/0000-0003-0399-7507</t>
  </si>
  <si>
    <t>Commission of the European Communities, FP7 Thematic Area Aerostructures Flight physics [AAT-2010- 266029]</t>
  </si>
  <si>
    <t>Commission of the European Communities, FP7 Thematic Area Aerostructures Flight physics</t>
  </si>
  <si>
    <t>This study has been carried out with financial support from the Commission of the European Communities, FP7 Thematic Area Aerostructures Flight physics, AAT-2010- 266029 AEROMUCO. It does not necessarily reflect its views and in no way anticipates the Commission's future policy in this area.</t>
  </si>
  <si>
    <t>WOS:000339479900086</t>
  </si>
  <si>
    <t>Lo Giudice, A; Caruso, C; Mangano, S; Bruni, V; De Domenico, M; Michaud, L</t>
  </si>
  <si>
    <t>Lo Giudice, Angelina; Caruso, Consolazione; Mangano, Santina; Bruni, Vivia; De Domenico, Maria; Michaud, Luigi</t>
  </si>
  <si>
    <t>Marine Bacterioplankton Diversity and Community Composition in an Antarctic Coastal Environment</t>
  </si>
  <si>
    <t>MICROBIAL ECOLOGY</t>
  </si>
  <si>
    <t>TERRA-NOVA BAY; PARTICULATE ORGANIC-MATTER; GRAM-POSITIVE BACTERIA; 16S RIBOSOMAL-RNA; ROSS SEA; PLANKTONIC ARCHAEA; PSYCHROTROPHIC BACTERIA; PELAGIC BACTERIA; WATERS; ICE</t>
  </si>
  <si>
    <t>The bacterial community inhabiting the water column at Terra Nova Bay (Ross Sea, Antarctica) was examined by the fluorescent in situ hybridization (FISH) technique and the genotypic and phenotypic characterization of 606 bacterial isolates. Overall, the FISH analysis revealed a bacterioplankton composition that was typical of Antarctic marine environments with the Cytophaga/Flavobacter (CF) group of Bacteroidetes that was equally dominant with the Actinobacteria and Gammaproteobacteria. As sampling was performed during the decay of sea-ice, it is plausible to assume the origin of Bacteroidetes from the sea-ice compartment where they probably thrive in high concentration of DOM which is efficiently remineralized to inorganic nutrients. This finding was supported by the isolation of Gelidibacter, Polaribacter, and Psychroflexus members (generally well represented in Antarctic sea-ice) which showed the ability to hydrolyze macromolecules, probably through the production of extracellular enzymes. A consistently pronounced abundance of the Gammaproteobacteria (67.8%) was also detected within the cultivable fraction. Altogether, the genera Psychromonas and Pseudoalteromonas accounted for 65.4% of total isolates and were ubiquitous, thus suggesting that they may play a key role within the analyzed bacterioplankton community. In particular, Pseudoalteromonas isolates possessed nitrate reductase and were able to hydrolyze substrates for protease, esterase, and beta-galactosidase, thus indicating their involvement in the carbon and nitrogen cycling. Finally, the obtained results highlight the ability of the Actinobacteria to survive and proliferate in the Terra Nova Bay seawater as they generally showed a wide range of salt tolerance and appeared to be particularly competitive with strictly marine bacteria by better utilizing supplied carbon sources.</t>
  </si>
  <si>
    <t>[Lo Giudice, Angelina; Caruso, Consolazione; Mangano, Santina; Bruni, Vivia; De Domenico, Maria; Michaud, Luigi] Univ Messina, Dipartimento Biol Anim &amp; Ecol Marina DBAEM, I-98166 Messina, Italy</t>
  </si>
  <si>
    <t>University of Messina</t>
  </si>
  <si>
    <t>Lo Giudice, A (corresponding author), Univ Messina, Dipartimento Biol Anim &amp; Ecol Marina DBAEM, Viale Ferdinando Stagno Alcontres 31, I-98166 Messina, Italy.</t>
  </si>
  <si>
    <t>alogiudice@unime.it</t>
  </si>
  <si>
    <t>Italian Ministry of Education and Research [PNRA 2004/1.6]; MNA (Museo Nazionale dell'Antartide)</t>
  </si>
  <si>
    <t>Italian Ministry of Education and Research(Ministry of Education, Universities and Research (MIUR)); MNA (Museo Nazionale dell'Antartide)</t>
  </si>
  <si>
    <t>L Michaud and A Lo Giudice wish to thank the colleagues Michela Castellano and Enrico Olivari (University of Genoa, Italy) and the crew of the boat Malippo, for assistance with sample collections, and to all of the staff at Mario Zucchelli Station, for the logistic help and support, which made possible the expedition. We also thank Rosabruna La Ferla and Giovanna Maimone (IAMC-CNR Messina, Italy) for supplying the epifluorescence microscope, and four anonymous reviewers for helpful comments on the manuscript. This research was supported by grants from PNRA (Programma Nazionale di Ricerche in Antartide), Italian Ministry of Education and Research (PEA 2004, Research Project PNRA 2004/1.6), and from MNA (Museo Nazionale dell'Antartide).</t>
  </si>
  <si>
    <t>0095-3628</t>
  </si>
  <si>
    <t>1432-184X</t>
  </si>
  <si>
    <t>MICROB ECOL</t>
  </si>
  <si>
    <t>Microb. Ecol.</t>
  </si>
  <si>
    <t>10.1007/s00248-011-9904-x</t>
  </si>
  <si>
    <t>876CF</t>
  </si>
  <si>
    <t>WOS:000299084000020</t>
  </si>
  <si>
    <t>Goh, YS; Tan, IKP</t>
  </si>
  <si>
    <t>Goh, Yuh Shan; Tan, Irene Kit Ping</t>
  </si>
  <si>
    <t>Polyhydroxyalkanoate production by antarctic soil bacteria isolated from Casey Station and Signy Island</t>
  </si>
  <si>
    <t>MICROBIOLOGICAL RESEARCH</t>
  </si>
  <si>
    <t>Antarctic bacteria; Polyhydroxyalkanoate (PHA); Pseudomonas spp., Janthinobacterium spp</t>
  </si>
  <si>
    <t>LENGTH 3-HYDROXYALKANOIC ACIDS; BETA-HYDROXYBUTYRIC ACID; PSEUDOMONAS-PUTIDA; FATTY-ACIDS; POLY(3-HYDROXYVALERIC ACID); FLUORESCENT PSEUDOMONADS; STRESS RESISTANCE; SP NOV.; POLY(3-HYDROXYALKANOATES); CHROMOBACTERIUM</t>
  </si>
  <si>
    <t>Polyhydroxyalkanoate (PHA) is a family of biopolymers produced by some bacteria and is accumulated intracellularly as carbon and energy storage material. Fifteen PHA-producing bacterial strains were identified from bacteria isolated from Antarctic soils collected around Casey Station (66 degrees 17'S, 110 degrees 32'E) and Signy Island (60 degrees 45'S, 45 degrees 36W). Screening for PHA production was carried out by incubating the isolates in PHA production medium supplemented with 0.5% (w/v) sodium octanoate or glucose. 16S rRNA gene sequence analysis revealed that the isolated PHA-producing strains were mainly Pseudomonas spp. and a few were Janthinobacterium spp. All the isolated Pseudomonas strains were able to produce medium-chain-length (mcl) PHA using fatty acids as carbon source, while some could also produce mcl-PHA by using glucose. The Janthinobacterium strains could only utilize glucose to produce polyhydroxybutyrate (PHB). A Pseudomonas isolate, UMAB-40, accumulated PHA up to 48% cell dry mass when utilizing fatty acids as carbon source. This high accumulation occurred at between 5 degrees C and 20 degrees C, then decreased with increasing temperatures. Highly unsaturated mcl-PHA was produced by UMAB-40 from glucose. Such characteristics may be associated with the ability of UMAB-40 to survive in the cold. (C)2011 Elsevier GmbH. All rights reserved.</t>
  </si>
  <si>
    <t>[Goh, Yuh Shan; Tan, Irene Kit Ping] Univ Malaya, Inst Biol Sci, Fac Sci, Kuala Lumpur 50603, Malaysia</t>
  </si>
  <si>
    <t>Universiti Malaya</t>
  </si>
  <si>
    <t>Tan, IKP (corresponding author), Univ Malaya, Inst Biol Sci, Fac Sci, Kuala Lumpur 50603, Malaysia.</t>
  </si>
  <si>
    <t>itan@um.edu.my</t>
  </si>
  <si>
    <t>Tan, Irene Kit Ping/B-8661-2010</t>
  </si>
  <si>
    <t>Tan, Irene Kit Ping/0000-0001-9601-5810</t>
  </si>
  <si>
    <t>Malaysian Antarctic Research Programme (MARP); University of Malaya PPP [PS069/2007B]</t>
  </si>
  <si>
    <t>Malaysian Antarctic Research Programme (MARP); University of Malaya PPP(Universiti Malaya)</t>
  </si>
  <si>
    <t>This work was supported by the Malaysian Antarctic Research Programme (MARP) and University of Malaya PPP grant (PS069/2007B). The authors acknowledge Australian Antarctic Division (AAD) and British Antarctic Survey (BAS) for logistics support and field training in Antarctica.</t>
  </si>
  <si>
    <t>0944-5013</t>
  </si>
  <si>
    <t>MICROBIOL RES</t>
  </si>
  <si>
    <t>Microbiol. Res.</t>
  </si>
  <si>
    <t>10.1016/j.micres.2011.08.002</t>
  </si>
  <si>
    <t>925DV</t>
  </si>
  <si>
    <t>WOS:000302741900004</t>
  </si>
  <si>
    <t>Huber, BT</t>
  </si>
  <si>
    <t>Huber, Brian T.</t>
  </si>
  <si>
    <t>Maastrichtian-Paleocene benthic foraminifer holotypes from the James Ross Island region, Antarctic Peninsula</t>
  </si>
  <si>
    <t>MICROPALEONTOLOGY</t>
  </si>
  <si>
    <t>Smithsonian Inst, Dept Paleobiol, Washington, DC 20013 USA</t>
  </si>
  <si>
    <t>Smithsonian Institution; Smithsonian National Museum of Natural History</t>
  </si>
  <si>
    <t>Huber, BT (corresponding author), Smithsonian Inst, Dept Paleobiol, MRC 121, Washington, DC 20013 USA.</t>
  </si>
  <si>
    <t>huberb@si.edu</t>
  </si>
  <si>
    <t>MICRO PRESS</t>
  </si>
  <si>
    <t>FLUSHING</t>
  </si>
  <si>
    <t>6530 KISSENA BLVD, FLUSHING, NY 11367 USA</t>
  </si>
  <si>
    <t>0026-2803</t>
  </si>
  <si>
    <t>1937-2795</t>
  </si>
  <si>
    <t>Micropaleontology</t>
  </si>
  <si>
    <t>V34CS</t>
  </si>
  <si>
    <t>WOS:000209065100006</t>
  </si>
  <si>
    <t>Makarenko, RO; Ivashchuk, BA; Savchuk, OP; Rumiantseva, AE; Cherep, MN; Matveeva, NA; Kuchuk, MV; Morgun, BV</t>
  </si>
  <si>
    <t>Makarenko, R. O.; Ivashchuk, B. A.; Savchuk, O. P.; Rumiantseva, A. E.; Cherep, M. N.; Matveeva, N. A.; Kuchuk, M. V.; Morgun, B. V.</t>
  </si>
  <si>
    <t>CLONING AND MOLECULAR GENETIC ANALYSES OF DESCHAMPSIA ANTARCTIC DESV. CHLOROPLAST AND MITOCHONDRIAL DNA SEQUENCES</t>
  </si>
  <si>
    <t>MODERN PHYTOMORPHOLOGY</t>
  </si>
  <si>
    <t>Ukrainian</t>
  </si>
  <si>
    <t>Deschampsia antarctica; Antarctica; chloroplast genome; mitochondrial genome sequences</t>
  </si>
  <si>
    <t>Chloroplast and mitochondrial DNA sequences of Deschampsia antarctica were studied. We had made comparison analysis with completely sequenced genomes of other temperateness plants to find homology.</t>
  </si>
  <si>
    <t>[Makarenko, R. O.; Ivashchuk, B. A.] Taras Shevchenko Natl Univ Kyiv, Kiev, Ukraine; [Savchuk, O. P.; Rumiantseva, A. E.] Natl Tech Univ Ukraine, Kyiv Politech Inst, Kiev, Ukraine; [Cherep, M. N.; Matveeva, N. A.; Kuchuk, M. V.; Morgun, B. V.] Natl Acad Sci Ukraine, Inst Cell Biol &amp; Genet Engn, UA-03680 Kiev, Ukraine</t>
  </si>
  <si>
    <t>Ministry of Education &amp; Science of Ukraine; Taras Shevchenko National University of Kyiv; Ministry of Education &amp; Science of Ukraine; Igor Sikorsky Kyiv Polytechnic Institute; National Academy of Sciences Ukraine; Institute of Cell Biology &amp; Genetic Engineering of the National Academy of Sciences of Ukraine</t>
  </si>
  <si>
    <t>Makarenko, RO (corresponding author), Taras Shevchenko Natl Univ Kyiv, Kiev, Ukraine.</t>
  </si>
  <si>
    <t>bmorgun@icbge.org.ua</t>
  </si>
  <si>
    <t>Morgun, Bogdan/C-8051-2018; Kuchuk, Mykola/S-6631-2016; Savchuk, Oleg P./C-8628-2013</t>
  </si>
  <si>
    <t>Kuchuk, Mykola/0000-0001-7365-7474;</t>
  </si>
  <si>
    <t>STATE NATURAL HISTORY MUSEUM NAS UKRAINE</t>
  </si>
  <si>
    <t>VUL DOROSHENKA, 41, LVIV, 79000, UKRAINE</t>
  </si>
  <si>
    <t>2226-3063</t>
  </si>
  <si>
    <t>2227-9555</t>
  </si>
  <si>
    <t>MOD PHYTOL</t>
  </si>
  <si>
    <t>Mod. Phytol.</t>
  </si>
  <si>
    <t>VD4FJ</t>
  </si>
  <si>
    <t>WOS:000436725000065</t>
  </si>
  <si>
    <t>Yadav, AP; Mishra, KP; Ganju, L; Singh, SB</t>
  </si>
  <si>
    <t>Yadav, Anand Prakash; Mishra, Kamla Prasad; Ganju, Lilly; Singh, Shashi Bala</t>
  </si>
  <si>
    <t>Wintering in Antarctica: Impact on Immune Response of Indian Expeditioners</t>
  </si>
  <si>
    <t>NEUROIMMUNOMODULATION</t>
  </si>
  <si>
    <t>Antarctica; Stress; Isolation; Cytokines; IgA</t>
  </si>
  <si>
    <t>CELL-MEDIATED-IMMUNITY; SUMMER EXPEDITIONERS; EXPOSURE; STRESS; RAT; IGA</t>
  </si>
  <si>
    <t>The immune system is one of the major thrust areas in understanding the effects of adverse climatic conditions on human health. Exposure to the Antarctic environment, such as isolation, cold, UV radiations, magnetic field, blizzards, circadian biorhythms, and fear of the unknown, modify various components of the immune system. Members of Antarctic expeditions suffer significant emotional strain as a result of physical isolation and social deprivation. The present study was performed on winter team members of the 28th Indian Scientific Expedition. In this study, different immunological parameters, which mainly include cytokines (TNF-alpha, IFN-gamma, TGF-beta, and IL-4), chemokine MIP-1 alpha, immunoglobulins (IgA, IgM and IgG), cortisol and netrin-1, were assayed in sera by ELISA. Results showed that TNF-alpha and MIP-1 alpha levels were significantly increased in March, May and August while IFN-gamma levels were increased in March and May while TGF-beta levels showed a significant decrease in March and May. Serum IgA levels were significantly increased during the entire period of the stressful expedition. Therefore, the present study suggests that serum IgA could be a potential biomarker for extreme environmental conditions. Copyright (c) 2012 S. Karger AG, Basel</t>
  </si>
  <si>
    <t>[Yadav, Anand Prakash; Mishra, Kamla Prasad; Ganju, Lilly; Singh, Shashi Bala] Def Inst Physiol &amp; Allied Sci, Immunomodulat Lab, Delhi 110054, India</t>
  </si>
  <si>
    <t>Defence Research &amp; Development Organisation (DRDO); Defence Institute of Physiology &amp; Allied Sciences (DIPAS)</t>
  </si>
  <si>
    <t>Ganju, L (corresponding author), Def Inst Physiol &amp; Allied Sci, Immunomodulat Lab, Lucknow Rd, Delhi 110054, India.</t>
  </si>
  <si>
    <t>lganju@rediffmail.com</t>
  </si>
  <si>
    <t>Singh, Shashi Bala/AAS-9889-2021</t>
  </si>
  <si>
    <t>Mishra, KP/0000-0002-8371-3772</t>
  </si>
  <si>
    <t>DRDO, Ministry of Defence, Government of India</t>
  </si>
  <si>
    <t>The authors are thankful to all the 28th Indian Antarctic expeditioners who have voluntarily given their blood sample for conducting this study. Special thanks to the National Centre for Antarctic and Ocean Research, India for providing all the facilities required for the study. K.P.M. was summer member and A.P.Y. was winter member of the 28th Indian Antarctic Expedition. The study was supported by DRDO, Ministry of Defence, Government of India.</t>
  </si>
  <si>
    <t>KARGER</t>
  </si>
  <si>
    <t>BASEL</t>
  </si>
  <si>
    <t>ALLSCHWILERSTRASSE 10, CH-4009 BASEL, SWITZERLAND</t>
  </si>
  <si>
    <t>1021-7401</t>
  </si>
  <si>
    <t>1423-0216</t>
  </si>
  <si>
    <t>NEUROIMMUNOMODULAT</t>
  </si>
  <si>
    <t>Neuroimmunomodulation</t>
  </si>
  <si>
    <t>10.1159/000339512</t>
  </si>
  <si>
    <t>Endocrinology &amp; Metabolism; Immunology; Neurosciences</t>
  </si>
  <si>
    <t>Endocrinology &amp; Metabolism; Immunology; Neurosciences &amp; Neurology</t>
  </si>
  <si>
    <t>033AK</t>
  </si>
  <si>
    <t>WOS:000310764400001</t>
  </si>
  <si>
    <t>Heereman, D</t>
  </si>
  <si>
    <t>Bellini, G</t>
  </si>
  <si>
    <t>Heereman, D.</t>
  </si>
  <si>
    <t>IceCube Collaboration</t>
  </si>
  <si>
    <t>Supernova neutrino detection with IceCube</t>
  </si>
  <si>
    <t>NEUTRINO PHYSICS AND ASTROPHYSICS</t>
  </si>
  <si>
    <t>Proceedings of the International School of Physics Enrico Fermi</t>
  </si>
  <si>
    <t>182nd International School of Physics Enrico Fermi of the Italian-Physical-Society (SIF) on Neutrino Physics and Astrophysics</t>
  </si>
  <si>
    <t>JUL 26-AUG 05, 2011</t>
  </si>
  <si>
    <t>Varenna LC, ITALY</t>
  </si>
  <si>
    <t>The IceCube Neutrino Observatory, situated at the geographic South Pole, was completed in December 2010. A lattice of 5160 photomultiplier tubes monitors one cubic kilometer of deep Antarctic ice in order to detect neutrinos via Cherenkov photons emitted by charged by-products of their interaction in matter. We report on IceCube's response to MeV neutrinos generated by core-collapse supernova explosions of nearby massive stars. This unique telescope was designed to detect energies greater than 100 GeV. Due to subfreezing ice temperatures, the photomultipliers' dark noise rates are particularly low. Therefore IceCube can also detect large numbers of MeV neutrinos by observing a collective rise in all photomultiplier rates on top of the dark noise. In the case of a supernova at the galactic center, IceCube's sensitivity matches that of a background free megaton-scale supernova search experiment and decreases to 20 and 6 standard deviations for star explosions at the galactic edge (30 kpc) and the Large Magellanic Cloud (50 kpc), respectively.</t>
  </si>
  <si>
    <t>[Heereman, D.; IceCube Collaboration] Univ Libre Bruxelles, Interuniv Inst High Energies, Brussels, Belgium</t>
  </si>
  <si>
    <t>Vrije Universiteit Brussel; Universite Libre de Bruxelles</t>
  </si>
  <si>
    <t>Heereman, D (corresponding author), Univ Libre Bruxelles, Interuniv Inst High Energies, Brussels, Belgium.</t>
  </si>
  <si>
    <t>Sánchez, Juan Antonio Aguilar/H-4467-2015</t>
  </si>
  <si>
    <t>IOS PRESS</t>
  </si>
  <si>
    <t>NIEUWE HEMWEG 6B, 1013 BG AMSTERDAM, NETHERLANDS</t>
  </si>
  <si>
    <t>0074-784X</t>
  </si>
  <si>
    <t>978-1-61499-173-1; 978-1-61499-172-4</t>
  </si>
  <si>
    <t>P INT SCH PHYS</t>
  </si>
  <si>
    <t>10.3254/978-1-61499-173-1-359</t>
  </si>
  <si>
    <t>Astronomy &amp; Astrophysics; Physics, Multidisciplinary; Physics, Particles &amp; Fields</t>
  </si>
  <si>
    <t>BC2FN</t>
  </si>
  <si>
    <t>WOS:000350877600023</t>
  </si>
  <si>
    <t>Shang, ZH; Hu, KL; Hu, Y; Li, JL; Li, J; Liu, Q; Ma, B; Quinn, JL; Sun, JZ; Wang, LF; Xiao, J; Yu, J; Yu, C; Yang, MJ; Yuan, XY; Zeng, Z</t>
  </si>
  <si>
    <t>Peck, AB; Seaman, RL; Comeron, F</t>
  </si>
  <si>
    <t>Shang, Zhaohui; Hu, Keliang; Hu, Yi; Li, Jiliang; Li, Jin; Liu, Qiang; Ma, Bin; Quinn, Jason Lee; Sun, Jizhou; Wang, Lifan; Xiao, Jian; Yu, Jia; Yu, Ce; Yang, Mujin; Yuan, Xiangyan; Zeng, Zhen</t>
  </si>
  <si>
    <t>Operation, control, and data system for Antarctic Survey Telescope (AST3)</t>
  </si>
  <si>
    <t>OBSERVATORY OPERATIONS: STRATEGIES, PROCESSES, AND SYSTEMS IV</t>
  </si>
  <si>
    <t>Conference on Observatory Operations - Strategies, Processes and Systems IV</t>
  </si>
  <si>
    <t>JUL 04-06, 2012</t>
  </si>
  <si>
    <t>Telescope operation; remote control; AST3; pipeline</t>
  </si>
  <si>
    <t>IMAGE SUBTRACTION; DOME; TRANSPARENCY</t>
  </si>
  <si>
    <t>The first of the trio Antarctic Survey Telescopes (AST3) has been deployed to Dome A, Antarctica in January 2012. This largest optical survey telescope in Antarctica is equipped with a 10k x 10k CCD. The huge amount of data, limited satellite communication bandwidth, low temperature, low pressure and limited energy supply all place challenges to the control and operation of the telescope. We have developed both the hardware and software systems to operate the unattended telescope and carry out the survey automatically. Our systems include the main survey control, data storage, real-time pipeline, and database, for all of which we have dealt with various technical difficulties. These include developing customized computer systems and data storage arrays working at the harsh environment, temperature control for the disk arrays, automatic and fast data reduction in real-time, and building robust database system.</t>
  </si>
  <si>
    <t>[Shang, Zhaohui; Hu, Keliang; Hu, Yi; Li, Jin; Liu, Qiang; Ma, Bin; Quinn, Jason Lee; Yu, Jia; Zeng, Zhen] Chinese Acad Sci, Natl Astron Observ, Beijing, Peoples R China; [Shang, Zhaohui] Tianjin Normal Univ, Tianjin, Peoples R China; [Li, Jiliang; Sun, Jizhou; Xiao, Jian; Yu, Ce; Yang, Mujin] Tianjin Univ, Tianjin, Peoples R China; [Quinn, Jason Lee] Pontificia Univ Catolica Chile, Santiago, Chile; [Wang, Lifan] Texas A&amp;M Univ, College Stn, TX USA; [Wang, Lifan] Chinese Acad Sci, Purple Mt Observ, Nanjing, Peoples R China; [Yuan, Xiangyan] Chinese Acad Sci, Nanjing Inst Astron Opt &amp; Technol, Nanjing, Peoples R China</t>
  </si>
  <si>
    <t>Chinese Academy of Sciences; National Astronomical Observatory, CAS; Tianjin Normal University; Tianjin University; Pontificia Universidad Catolica de Chile; Texas A&amp;M University System; Texas A&amp;M University College Station; Purple Mountain Observatory, CAS; Chinese Academy of Sciences; Nanjing Institute of Astronomical Optics &amp; Technology, NAOC, CAS; Chinese Academy of Sciences; Nanjing Institute of Astronomical Optics &amp; Technology, NAOC, CAS</t>
  </si>
  <si>
    <t>Shang, ZH (corresponding author), Chinese Acad Sci, Natl Astron Observ, Beijing, Peoples R China.</t>
  </si>
  <si>
    <t>zshang@gmail.com</t>
  </si>
  <si>
    <t>hu, yi/0000-0003-3317-4771</t>
  </si>
  <si>
    <t>National Natural Science Foundation of China [11003027]; Chinese Polar Environment Comprehensive Investigation &amp; Assessment Programmes [CHINARE2012-02-03]; Tianjin Distinguished Professor Funds</t>
  </si>
  <si>
    <t>National Natural Science Foundation of China(National Natural Science Foundation of China (NSFC)); Chinese Polar Environment Comprehensive Investigation &amp; Assessment Programmes; Tianjin Distinguished Professor Funds</t>
  </si>
  <si>
    <t>This work has been supported by the National Natural Science Foundation of China under grant No. 11003027, by Chinese Polar Environment Comprehensive Investigation &amp; Assessment Programmes under grand No. CHINARE2012-02-03, and by Tianjin Distinguished Professor Funds.</t>
  </si>
  <si>
    <t>978-0-8194-9149-7</t>
  </si>
  <si>
    <t>10.1117/12.925600</t>
  </si>
  <si>
    <t>Astronomy &amp; Astrophysics; Instruments &amp; Instrumentation; Optics</t>
  </si>
  <si>
    <t>BDA90</t>
  </si>
  <si>
    <t>WOS:000312389300069</t>
  </si>
  <si>
    <t>Kerr, R; Heywood, KJ; Mata, MM; Garcia, CAE</t>
  </si>
  <si>
    <t>Kerr, R.; Heywood, K. J.; Mata, M. M.; Garcia, C. A. E.</t>
  </si>
  <si>
    <t>On the outflow of dense water from the Weddell and Ross Seas in OCCAM model</t>
  </si>
  <si>
    <t>OCEAN SCIENCE</t>
  </si>
  <si>
    <t>ANTARCTIC BOTTOM WATER; DEEP-WATER; CONTINENTAL-SHELF; SOUTHERN-OCEAN; CIRCULATION; VARIABILITY; ICE; TRANSPORT; MASSES; EXPORT</t>
  </si>
  <si>
    <t>We describe the seasonal and interannual variability of volume transports in the Weddell and Ross Seas using the 1/12A degrees 20-yr simulation of the OCCAM global ocean general circulation model. The average simulated full-depth cumulative volume transports were 28.5 +/- 2.9 Sv (1 Sv parts per thousand 10(6) m(3) s(-1)) and 13.4 +/- 5.2 Sv, across the main export regions of the Weddell and Ross Seas, respectively. The values of mean outflow of Antarctic Bottom Water (AABW) (defined by neutral density gamma(n) parts per thousand 28.27 kg m(-3)) from the Weddell and Ross Seas of 10.6 +/- 3.1 Sv and 0.5 +/- 0.7 Sv, respectively, agree with the range reported in historical observational studies. The export of Weddell Sea dense water in OCCAM is primarily determined by the strength of the Weddell Gyre. Variability in AABW export is predominantly at periods of similar to 1 yr and 2-4 yr.</t>
  </si>
  <si>
    <t>[Kerr, R.; Mata, M. M.; Garcia, C. A. E.] Fundacao Univ Fed Rio Grande, Inst Oceanog, Lab Estudos Oceanos &amp; Clima, BR-96203900 Rio Grande, RS, Brazil; [Heywood, K. J.] Univ E Anglia, Sch Environm Sci, Norwich NR4 7TJ, Norfolk, England</t>
  </si>
  <si>
    <t>Universidade Federal do Rio Grande; University of East Anglia</t>
  </si>
  <si>
    <t>Kerr, R (corresponding author), Fundacao Univ Fed Rio Grande, Inst Oceanog, Lab Estudos Oceanos &amp; Clima, BR-96203900 Rio Grande, RS, Brazil.</t>
  </si>
  <si>
    <t>rodrigokerr@furg.br</t>
  </si>
  <si>
    <t>Kerr, Rodrigo/I-2494-2012; yan, peifang/G-2730-2011; Garcia, Carlos A. E./K-7382-2012; Mata, Mauricio/H-4605-2011; Heywood, Karen/L-1757-2016</t>
  </si>
  <si>
    <t>Kerr, Rodrigo/0000-0002-2632-3137; Mata, Mauricio/0000-0002-9028-8284; Heywood, Karen/0000-0001-9859-0026</t>
  </si>
  <si>
    <t>Brazilian Ministry of the Environment (MMA); Brazilian Ministry of Science, Technology and Innovation (MCTI); Council for Research and Scientific Development of Brazil (CNPq) [550370/2002-1, 520189/2006-0]; POGO-SCOR Fellowship Program; CNPq PhD Split Fellowship Program [SWE - 201843/2008-0]; CAPES Foundation; Natural Environment Research Council [NE/E012965/1] Funding Source: researchfish; NERC [NE/E012965/1] Funding Source: UKRI</t>
  </si>
  <si>
    <t>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POGO-SCOR Fellowship Program; CNPq PhD Split Fellowship Program; CAPES Foundation(Coordenacao de Aperfeicoamento de Pessoal de Nivel Superior (CAPES)); Natural Environment Research Council(UK Research &amp; Innovation (UKRI)Natural Environment Research Council (NERC)); NERC(UK Research &amp; Innovation (UKRI)Natural Environment Research Council (NERC))</t>
  </si>
  <si>
    <t>This study is a contribution to International Polar Year - SASSI (UK) and SOS-CLIMATE (Brazil) projects through the activities of the Brazilian High Latitudes Oceanography Group (GOAL) in the Brazilian Antarctic Program (PROANTAR). GOAL has been funded by the Brazilian Ministry of the Environment (MMA), the Brazilian Ministry of Science, Technology and Innovation (MCTI), and the Council for Research and Scientific Development of Brazil (CNPq; 550370/2002-1; 520189/2006-0). The authors also thank the Brazilian National Institute of Science and Technology of Cryosphere (INCT-CRIOSFERA; 573720/2008-8). R. Kerr acknowledges financial support received from POGO-SCOR Fellowship Program, CNPq PhD Split Fellowship Program (SWE - 201843/2008-0), and CAPES Foundation. Two anonymous reviewers are acknowledged for their constructive comments, which greatly improved the manuscript.</t>
  </si>
  <si>
    <t>1812-0784</t>
  </si>
  <si>
    <t>OCEAN SCI</t>
  </si>
  <si>
    <t>Ocean Sci.</t>
  </si>
  <si>
    <t>10.5194/os-8-369-2012</t>
  </si>
  <si>
    <t>Meteorology &amp; Atmospheric Sciences; Oceanography</t>
  </si>
  <si>
    <t>966IG</t>
  </si>
  <si>
    <t>gold, Green Published, Green Submitted</t>
  </si>
  <si>
    <t>WOS:000305830500005</t>
  </si>
  <si>
    <t>Shimada, K; Aoki, S; Ohshima, KI; Rintoul, SR</t>
  </si>
  <si>
    <t>Shimada, K.; Aoki, S.; Ohshima, K. I.; Rintoul, S. R.</t>
  </si>
  <si>
    <t>Influence of Ross Sea Bottom Water changes on the warming and freshening of the Antarctic Bottom Water in the Australian-Antarctic Basin</t>
  </si>
  <si>
    <t>SCALING TURBULENT DISSIPATION; ADELIE LAND; THERMOHALINE CIRCULATION; GLOBAL ABYSSAL; SOUTHERN-OCEAN; INDIAN-OCEAN; LEVEL RISE; EXPORT; THERMOCLINE; DIFFUSION</t>
  </si>
  <si>
    <t>Changes to the properties of Antarctic Bottom Water in the Australian-Antarctic Basin (AA-AABW) between the 1990s and 2000s are documented using data from the WOCE Hydrographic Program (WHP) and repeated hydrographic surveys. Strong cooling and freshening are observed on isopycnal layers denser than gamma(n) = 28.30 kg m(-3). Changes in the average salinity and potential temperature below this isopycnal correspond to a basin-wide warming of 1300 +/- 200 GW and freshening of 24 +/- 3 Gt year(-1). Recent changes to dense shelf water in the source regions in the Ross Sea and George V Land can explain the freshening of AA-AABW but not its extensive warming. An alternative mechanism for this warming is a decrease in the supply of AABW from the Ross Sea (RSBW). Hydrographic profiles between the western Ross Sea and George V Land (171-158 degrees E) were analyzed with a simple advective-diffusive model to assess the causes of the observed changes. The model suggests that the warming of RSBW observed between the 1970s and 2000s can be explained by a 21 +/- 23% reduction in RSBW transport and the enhancement of the vertical diffusion of heat resulting from a 30 +/- 7 % weakening of the abyssal stratification. The documented freshening of Ross Sea dense shelf water leads to a reduction in both salinity and density stratification. Therefore the direct freshening of RSBW at its source also produces an indirect warming of the RSBW. A simple box model suggests that the changes in RSBW properties and volume transport (a decrease of 6.7 To is assumed between the year 1995 and 2005) can explain 51 +/- 6% of the warming and 84 +/- 10% of the freshening observed in AA-AABW.</t>
  </si>
  <si>
    <t>[Shimada, K.; Aoki, S.; Ohshima, K. I.] Hokkaido Univ, Inst Low Temp Sci, Sapporo, Hokkaido 060, Japan; [Rintoul, S. R.] CSIRO Marine &amp; Atmospher Res, Hobart, Tas, Australia; [Rintoul, S. R.] Ctr Australian Weather &amp; Climate Res, Hobart, Tas, Australia; [Rintoul, S. R.] Univ Tasmania, Antarctic Climate &amp; Ecosyst Cooperat Res Ctr, Hobart, Tas, Australia; [Rintoul, S. R.] CSIRO Wealth Oceans Natl Res Flagship, Hobart, Tas, Australia</t>
  </si>
  <si>
    <t>Hokkaido University; Commonwealth Scientific &amp; Industrial Research Organisation (CSIRO); Commonwealth Scientific &amp; Industrial Research Organisation (CSIRO); University of Tasmania; Antarctic Climate &amp; Ecosystems Cooperative Research Centre (ACE CRC); Commonwealth Scientific &amp; Industrial Research Organisation (CSIRO)</t>
  </si>
  <si>
    <t>Shimada, K (corresponding author), Hokkaido Univ, Inst Low Temp Sci, Sapporo, Hokkaido 060, Japan.</t>
  </si>
  <si>
    <t>k_shimada@lowtem.hokudai.ac.jp</t>
  </si>
  <si>
    <t>Rintoul, Stephen R/A-1471-2012; Aoki, Shigeru/D-9105-2012; Ohshima, Kay I/D-6909-2012</t>
  </si>
  <si>
    <t>Rintoul, Stephen R/0000-0002-7055-9876;</t>
  </si>
  <si>
    <t>Japanese Ministry of Education, Culture, Sports, Science and Technology [20221001, 21310002]; Australian Government's Cooperative Research Centre program through the Antarctic Climate and Ecosystem Cooperative Research Centre; Australian Climate Change Research Program; Grants-in-Aid for Scientific Research [21310002, 20221001] Funding Source: KAKEN</t>
  </si>
  <si>
    <t>Japanese Ministry of Education, Culture, Sports, Science and Technology(Ministry of Education, Culture, Sports, Science and Technology, Japan (MEXT)); Australian Government's Cooperative Research Centre program through the Antarctic Climate and Ecosystem Cooperative Research Centre(Australian GovernmentDepartment of Industry, Innovation and ScienceCooperative Research Centres (CRC) Programme); Australian Climate Change Research Program; Grants-in-Aid for Scientific Research(Ministry of Education, Culture, Sports, Science and Technology, Japan (MEXT)Japan Society for the Promotion of ScienceGrants-in-Aid for Scientific Research (KAKENHI))</t>
  </si>
  <si>
    <t>This work was supported by the fund from Grant-in-Aids for Scientific Research (20221001 and 21310002) of the Japanese Ministry of Education, Culture, Sports, Science and Technology. This work was also supported by the Australian Government's Cooperative Research Centre program through the Antarctic Climate and Ecosystem Cooperative Research Centre and by the Australian Climate Change Research Program. We thank the Topic editor and anonymous reviewer for their contribution to improvement of the manuscript.</t>
  </si>
  <si>
    <t>10.5194/os-8-419-2012</t>
  </si>
  <si>
    <t>017UL</t>
  </si>
  <si>
    <t>WOS:000309616400002</t>
  </si>
  <si>
    <t>Martinson, DG; McKee, DC</t>
  </si>
  <si>
    <t>Martinson, D. G.; McKee, D. C.</t>
  </si>
  <si>
    <t>Transport of warm Upper Circumpolar Deep Water onto the western Antarctic Peninsula continental shelf</t>
  </si>
  <si>
    <t>SOUTHERN-OCEAN; EXCHANGE; CIRCULATION; FRONTS</t>
  </si>
  <si>
    <t>Five thermistor moorings were placed on the continental shelf of the western Antarctic Peninsula (between 2007 and 2010) in an effort to identify the mechanism(s) responsible for delivering warm Upper Circumpolar Deep Water (UCDW) onto the broad continental shelf from the Antarctic Circumpolar Current (ACC) flowing over the adjacent continental slope. Historically, four mechanisms have been suggested: (1) eddies shed from the ACC, (2) flow into the cross-shelf-cutting canyons with overflow onto the nominal shelf, (3) general upwelling, and (4) episodic advective diversions of the ACC onto the shelf. The mooring array showed that for the years of deployment, the dominant mechanism is eddies; upwelling may also contribute but to an unknown extent. Mechanism 2 played no role, though the canyons have been shown previously to channel UCDW across the shelf into Marguerite Bay. Mechanism 4 played no role independently, though eddies may be advected within a greater intrusion of the background flow.</t>
  </si>
  <si>
    <t>[Martinson, D. G.; McKee, D. C.] Columbia Univ, Lamont Doherty Earth Observ, Div Ocean &amp; Climate Phys, Palisades, NY 10964 USA; [Martinson, D. G.; McKee, D. C.] Columbia Univ, Dept Earth &amp; Environm Sci, New York, NY USA</t>
  </si>
  <si>
    <t>Columbia University; Columbia University</t>
  </si>
  <si>
    <t>Martinson, DG (corresponding author), Columbia Univ, Lamont Doherty Earth Observ, Div Ocean &amp; Climate Phys, 61 Route 9W, Palisades, NY 10964 USA.</t>
  </si>
  <si>
    <t>dgm@ldeo.columbia.edu</t>
  </si>
  <si>
    <t>NSF [ANT-0701232, 0217282, 0523261]; Directorate For Geosciences; Office of Polar Programs (OPP) [0523261, 0944211] Funding Source: National Science Foundation; Office of Polar Programs (OPP); Directorate For Geosciences [0217282] Funding Source: National Science Foundation</t>
  </si>
  <si>
    <t>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</si>
  <si>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acknowledge the LTER scientific teams, our shipboard mooring team (Matthew Erikson (team leader), Michael Garzio, Megan Cimino and Kate Ruck), the captain and crew of the RVIB L. M. Gould and RPSC for excellent field support in the deployment, recovery, servicing and redeployment of the moorings. As always, Rich Iannuzzi's contribution to this project is immeasurable; he prepares the replacement mooring parts (e.g., new string with sensor locations marked, etc.), and performed much of the actual data analysis; he also contributed invaluable scientific and editorial insights. Finally, this project would not have been possible without support from the entire LTER field team, frequently participating in the recovery and redeployments of the moorings and the crew of the LM Gould and Raytheon support personnel. This work was supported by NSF grants ANT-0701232, 0217282 and 0523261. This work was done in cooperation with the Palmer Long Term Ecological Research project, and is Pal LTER contribution number 0409, and Lamont-Doherty Earth Observatory contribution number 7509. This IPY SASSI project has ended, but the moorings have been picked up by our LTER project affording more years of analyses and insights.</t>
  </si>
  <si>
    <t>10.5194/os-8-433-2012</t>
  </si>
  <si>
    <t>WOS:000309616400003</t>
  </si>
  <si>
    <t>Heywood, KJ; Muench, R; Williams, G</t>
  </si>
  <si>
    <t>Heywood, K. J.; Muench, R.; Williams, G.</t>
  </si>
  <si>
    <t>An Overview of the Synoptic Antarctic Shelf-Slope Interactions (SASSI) project for the International Polar Year</t>
  </si>
  <si>
    <t>CIRCUMPOLAR DEEP-WATER; WEDDELL; TRANSPORT; OCEAN; FRONT</t>
  </si>
  <si>
    <t>As Guest Editors, we introduce the special issue of Ocean Science dedicated to the Synoptic Antarctic Shelf-Slope Interactions (SASSI) project for the International Polar Year. We set the scientific context for SASSI and note the objectives and goals of the project. The observational data set collected around Antarctica is summarised, and the scientific results of SASSI are briefly introduced.</t>
  </si>
  <si>
    <t>[Heywood, K. J.] Univ E Anglia, Sch Environm Sci, Norwich NR4 7TJ, Norfolk, England; [Muench, R.] Earth &amp; Space Res, Seattle, WA USA; [Williams, G.] Univ Tasmania, Antarctic Climate &amp; Ecosyst Cooperat Res Ctr, Hobart, Tas, Australia</t>
  </si>
  <si>
    <t>University of East Anglia; University of Tasmania; Antarctic Climate &amp; Ecosystems Cooperative Research Centre (ACE CRC)</t>
  </si>
  <si>
    <t>Heywood, KJ (corresponding author), Univ E Anglia, Sch Environm Sci, Norwich NR4 7TJ, Norfolk, England.</t>
  </si>
  <si>
    <t>k.heywood@uea.ac.uk</t>
  </si>
  <si>
    <t>Heywood, Karen/L-1757-2016</t>
  </si>
  <si>
    <t>Heywood, Karen/0000-0001-9859-0026</t>
  </si>
  <si>
    <t>SCAR; NERC [NE/E012965/1] Funding Source: UKRI</t>
  </si>
  <si>
    <t>SCAR; NERC(UK Research &amp; Innovation (UKRI)Natural Environment Research Council (NERC))</t>
  </si>
  <si>
    <t>We would like to thank all participants in SASSI for their collaborative spirit and enthusiasm. We thank SCAR for funding some scientific management, Ben Webber for compiling Table 1, and Steve Diggs at CCHDO for his sterling efforts for data management of SASSI. We thank the International Polar Year organisers for stimulating and supporting our work.</t>
  </si>
  <si>
    <t>1812-0792</t>
  </si>
  <si>
    <t>10.5194/os-8-1117-2012</t>
  </si>
  <si>
    <t>059IT</t>
  </si>
  <si>
    <t>WOS:000312698600014</t>
  </si>
  <si>
    <t>Suazo, CG; Arriagada, AM; Baessolo, L; Castro, M; Salas, MA</t>
  </si>
  <si>
    <t>Suazo, Cristian G.; Arriagada, Aldo M.; Baessolo, Luisa; Castro, Macarena; Salas, Milton A.</t>
  </si>
  <si>
    <t>NOTES ON BREEDING BIOLOGY AND ECOLOGY OF CHILEAN SKUA (STERCORARIUS CHILENSIS) SUB-ANTARCTIC ARCHIPELAGOS OF WESTERN PATAGONIA</t>
  </si>
  <si>
    <t>ORNITOLOGIA NEOTROPICAL</t>
  </si>
  <si>
    <t>Chilean Skua; Stercoratius chilensis; breeding; morphometry; feeding; seabird; sub-Antarctic</t>
  </si>
  <si>
    <t>The Chilean Skua Stercorafius chilensis is an endemic species in sub-Antarctic waters of southern South America. Gaps exist in our understanding of basic aspects of this species ranging from morphometry to reproductive ecology. In this study, we present basic information in the form of notes on the biology and reproductive ecology of this species, based on three years of study on Guamblin island (44 degrees S) in the sub-Antarctic islands of western Patagonia. Among our results, we highlight the important role of sandy beaches, both for the maintenance of nests, and protection of offspring after hatching. We emphasize an active parental role when defending their young, with more aggressive behaviors (e.g., discharge of excrement, persecution), both in the presence of conspecifics and other land or air threats to their brood. The early stages of growth of Chilean Skua, evidence of similar strategies to that recorded in other seabirds, with the presence of early stages with weights higher than those recorded historically in adults of this species. Finally, with regard to foods of this species we observed the wide dietary spectrum and opportunistic feeding strategies of this species reported in historical records and unpublished records from this part of Patagonia. Accepted 11 June 2012.</t>
  </si>
  <si>
    <t>[Suazo, Cristian G.] Univ Los Lagos, Dept Ciencias Basicas, Lab Ecol, Osorno, Chile; [Suazo, Cristian G.] Birdlife Int, Albatross Task Force Chile, Concepcion, Chile; [Arriagada, Aldo M.] Univ Concepcion, Fac Ciencias Nat &amp; Oceanog, Dept Zool, Concepcion, Chile; [Baessolo, Luisa] Univ Los Lagos, Programa IBAM, Programa Educ &amp; Invest Biol &amp; Ambiental, Osorno, Chile; [Castro, Macarena] CIEP, Coyhaique, Chile; [Salas, Milton A.] Inst Fomento Pesquero IFOP, Dept Medio Ambiente, Isla De Chiloe, Chile</t>
  </si>
  <si>
    <t>Universidad de Los Lagos; BirdLife International; Universidad de Concepcion; Universidad de Los Lagos; Instituto de Fomento Pesquero (Valparaiso)</t>
  </si>
  <si>
    <t>Suazo, CG (corresponding author), Univ Los Lagos, Dept Ciencias Basicas, Lab Ecol, Av Fuchslocher 1305,Casilla 933, Osorno, Chile.</t>
  </si>
  <si>
    <t>biosuazo@gmail.com</t>
  </si>
  <si>
    <t>Suazo, Cristian/0000-0003-3336-3660</t>
  </si>
  <si>
    <t>Armada de Chile; Corporacion Nacional Forestal (CONAF); Ministerio de Medio Ambiente de Chile; Centro de Investigacion en Ecosistemas de la Patagonia (CIEP)</t>
  </si>
  <si>
    <t>Armada de Chile; Corporacion Nacional Forestal (CONAF); Ministerio de Medio Ambiente de Chile; Centro de Investigacion en Ecosistemas de la Patagonia (CIEP)(Comision Nacional de Investigacion Cientifica y Tecnologica (CONICYT)CONICYT Regional/CIEP)</t>
  </si>
  <si>
    <t>Authors thank Roberto P. Schlatter and Jaime Ojeda for information about skuas and little pelagic fishes in southern Chile. We acknowledge the comments during the revision of the manuscript by Jaime A. Cursach, Andrea Raya Rey, Andre-A. Weller, and one anonymous reviewer. Thanks to Juan C. Gutierrez for photographic and visual records, also to Gloria and Tim Dowell for their always friendly support. To Jeanette Santana from Biblioteca Facultad de Ciencias del Mar, Universidad de Valparaiso (Chile), and Luis A. Cabezas for providing us relevant literature. We appreciate the improvements in English made by Peter Lowther and Phil Whitford through the Association of Field Ornithologists' program of editorial assistance. We thank Armada de Chile, Corporacion Nacional Forestal (CONAF), Ministerio de Medio Ambiente de Chile, and Centro de Investigacion en Ecosistemas de la Patagonia (CIEP) for transport, authorization, funding, and supporting this work. CGS and AMA thank the Comision Nacional de Investigacion Cientifica y Tecnologica (CONICYT-Chile).</t>
  </si>
  <si>
    <t>NEOTROPICAL ORNITHOLOGICAL SOC, USGS PATUXENT WILDLIFE RESEARCH CTR</t>
  </si>
  <si>
    <t>ATHENS</t>
  </si>
  <si>
    <t>UNIV GEORGIA, WARNELL SCH FOREST RESOURCES, ATHENS, GA 30602-2152 USA</t>
  </si>
  <si>
    <t>1075-4377</t>
  </si>
  <si>
    <t>ORNITOL NEOTROP</t>
  </si>
  <si>
    <t>ORNITOL. NEOTROP.</t>
  </si>
  <si>
    <t>V40HH</t>
  </si>
  <si>
    <t>WOS:000209469200009</t>
  </si>
  <si>
    <t>Massini, JG; Channing, A; Guido, DM; Zamuner, AB</t>
  </si>
  <si>
    <t>Garcia Massini, Juan; Channing, Alan; Guido, Diego M.; Zamuner, Alba B.</t>
  </si>
  <si>
    <t>FIRST REPORT OF FUNGI AND FUNGUS-LIKE ORGANISMS FROM MESOZOIC HOT SPRINGS</t>
  </si>
  <si>
    <t>PALAIOS</t>
  </si>
  <si>
    <t>ARBUSCULAR MYCORRHIZAL FUNGI; RHYNIE CHERT; ANTARCTIC PENINSULA; GEOTHERMAL SOILS; DESEADO MASSIF; SAN AGUSTIN; PATAGONIA; YELLOWSTONE; STRAMINIPILA; VEGETATION</t>
  </si>
  <si>
    <t>Herein we provide the first report of the diversity of fungi and fungus-like organisms within a Mesozoic hot spring ecosystem. The Jurassic San Agustin hot spring deposit (Patagonia, Argentina), represents only the second known Phanerozoic hot spring ecosystem with an associated microflora and contains diverse, exceptionally preserved microorganisms. Preserved propagules include flask-shaped pycnidia produced by extant coelomycetes, shield-like and nearly round thyriothecia of extant Microthyriales in the ascomycetes, variously shaped spore-like bodies representing chytrid and chytrid-like zoosporangia and other life cycle forms, and additional fungal and fungus-like remains (spores, hyphal fragments, reproductive structures) of uncertain affinity. Many of these microorganisms are associated with variously decayed organic remains, most commonly of horsetails. This expands the fungal fossil record and provides a unique opportunity to learn about the biology of Mesozoic microorganisms.</t>
  </si>
  <si>
    <t>[Garcia Massini, Juan] Consejo Nacl Invest Cient &amp; Tecn CONICET, Ctr Reg Invest Cient &amp; Transferencia Tecnol CRILA, RA-5301 La Rioja, Argentina; [Channing, Alan] Cardiff Univ, Sch Earth &amp; Ocean Sci, Cardiff CF10 3YE, S Glam, Wales; [Guido, Diego M.] CONICET UNLP, Inst Recursos Minerales, RA-1900 La Plata, Buenos Aires, Argentina; [Zamuner, Alba B.] UNLP, CONICET UNLP, Div Paleobot, Fac Ciencias Nat &amp; Museo, RA-1900 La Plata, Buenos Aires, Argentina</t>
  </si>
  <si>
    <t>Cardiff University; Consejo Nacional de Investigaciones Cientificas y Tecnicas (CONICET); Consejo Nacional de Investigaciones Cientificas y Tecnicas (CONICET); National University of La Plata; Museo La Plata</t>
  </si>
  <si>
    <t>Massini, JG (corresponding author), Consejo Nacl Invest Cient &amp; Tecn CONICET, Ctr Reg Invest Cient &amp; Transferencia Tecnol CRILA, Entre Rios &amp; Mendoza S-N, RA-5301 La Rioja, Argentina.</t>
  </si>
  <si>
    <t>massini112@yahoo.com.ar; channinga@cardiff.ac.uk; diegoguido@yahoo.com; albazamuner@yahoo.com.ar</t>
  </si>
  <si>
    <t>channing, alan/B-2478-2010</t>
  </si>
  <si>
    <t>garcia massini, juan/0000-0002-9480-2164; Guido, Diego/0000-0003-4696-5644; channing, alan/0000-0002-1336-6744</t>
  </si>
  <si>
    <t>Consejo Nacional de Investigaciones Cientificas y Tecnicas (CONICET) [2318, 202, 173]; Natural Environment Research Council (NERC) [NE/F004788/1]; Natural Environment Research Council [NE/F004788/1] Funding Source: researchfish; NERC [NE/F004788/1] Funding Source: UKRI</t>
  </si>
  <si>
    <t>Consejo Nacional de Investigaciones Cientificas y Tecnicas (CONICET)(Consejo Nacional de Investigaciones Cientificas y Tecnicas (CONICET));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</si>
  <si>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funded by the Consejo Nacional de Investigaciones Cientificas y Tecnicas (CONICET) (Res. D. 2318, P. 202 &amp; 173) (to JLGM) and Natural Environment Research Council (NERC) (grant NE/F004788/1) (to AC).</t>
  </si>
  <si>
    <t>SEPM-SOC SEDIMENTARY GEOLOGY</t>
  </si>
  <si>
    <t>TULSA</t>
  </si>
  <si>
    <t>6128 EAST 38TH ST, STE 308, TULSA, OK 74135-5814 USA</t>
  </si>
  <si>
    <t>0883-1351</t>
  </si>
  <si>
    <t>1938-5323</t>
  </si>
  <si>
    <t>Palaios</t>
  </si>
  <si>
    <t>10.2110/palo.2011.p11-076r</t>
  </si>
  <si>
    <t>Geology; Paleontology</t>
  </si>
  <si>
    <t>908DA</t>
  </si>
  <si>
    <t>WOS:000301469400006</t>
  </si>
  <si>
    <t>Smith, TE; Wall, DH; Hogg, ID; Adams, BJ; Nielsen, UN; Virginia, RA</t>
  </si>
  <si>
    <t>Smith, T. E.; Wall, D. H.; Hogg, I. D.; Adams, B. J.; Nielsen, U. N.; Virginia, R. A.</t>
  </si>
  <si>
    <t>Thawing permafrost alters nematode populations and soil habitat characteristics in an Antarctic polar desert ecosystem</t>
  </si>
  <si>
    <t>PEDOBIOLOGIA</t>
  </si>
  <si>
    <t>Cold desert; Ecology; Frozen soils; Global change; Habitat suitability; Nematode</t>
  </si>
  <si>
    <t>MCMURDO DRY VALLEYS; TAYLOR VALLEY; MICROBIAL ACTIVITY; ORGANIC-MATTER; GEOCHEMISTRY; COMMUNITIES; ENVIRONMENT; DIVERSITY; INVERTEBRATES; BIODIVERSITY</t>
  </si>
  <si>
    <t>Spatial distribution of soil nematode populations in Antarctic terrestrial ecosystems is tightly controlled by environmental factors and thus highly sensitive to changes in soil properties. Increases in the magnitude and frequency of episodic warming events as well as eventual warming trends are likely to result in increased water availability due to glacial melting and permafrost thaw, and may also incite changes in soil physical and chemical characteristics that determine nematode habitat suitability. We hypothesized that climate warming would result in new suitable soil habitats leading to heightened diversity and activity in nematode communities. In order to test this hypothesis, we compared nematode populations in patches of soil wetted by naturally enhanced permafrost thaw versus adjacent soils unaffected by thaw. We found that thaw sites had significantly lower nematode abundances and living to dead ratios, contradicting our hypothesis. We also observed significantly altered soil texture (finer particle size), lower pH and higher salinity in permafrost seeps. These observations suggest that current and future changes in climate may alter soil properties and result in significant changes in nematode population structure. distribution and function. (c) 2011 Elsevier GmbH. All rights reserved.</t>
  </si>
  <si>
    <t>[Smith, T. E.; Wall, D. H.] Colorado State Univ, Dept Biol, Ft Collins, CO 80523 USA; [Smith, T. E.; Wall, D. H.] Colorado State Univ, Nat Resource Ecol Lab, Ft Collins, CO 80523 USA; [Hogg, I. D.] Univ Waikato, Dept Biol Sci, Hamilton, New Zealand; [Adams, B. J.] Brigham Young Univ, Dept Biol, Provo, UT 84602 USA; [Adams, B. J.] Brigham Young Univ, Evolutionary Ecol Labs, Provo, UT 84602 USA; [Virginia, R. A.] Dartmouth Coll, Environm Studies Program, Hanover, NH 03755 USA; [Nielsen, U. N.] Univ Western Sydney, Sch Sci &amp; Hlth, Penrith, NSW 2751, Australia; [Nielsen, U. N.] Univ Western Sydney, Hawkesbury Inst Environm, Penrith, NSW 2751, Australia</t>
  </si>
  <si>
    <t>Colorado State University; Colorado State University; University of Waikato; Brigham Young University; Brigham Young University; Dartmouth College; Western Sydney University; Western Sydney University</t>
  </si>
  <si>
    <t>Smith, TE (corresponding author), Colorado State Univ, Dept Biol, Ft Collins, CO 80523 USA.</t>
  </si>
  <si>
    <t>tracy.tes@gmail.com</t>
  </si>
  <si>
    <t>Hogg, Ian D./HNS-7393-2023; Wall, Diana H/F-5491-2011; Adams, Byron/C-3808-2009</t>
  </si>
  <si>
    <t>Hogg, Ian D./0000-0002-6685-0089; Adams, Byron/0000-0002-7815-3352; Nielsen, Uffe N/0000-0003-2400-7453</t>
  </si>
  <si>
    <t>NSF [OPP-0423595]; New Zealand Foundation for Research, Science and Technology (FRST); University of Waikato; Antarctica New Zealand; New Zealand Terrestrial Antarctic Bio-complexity Survey (NZTABS)</t>
  </si>
  <si>
    <t>NSF(National Science Foundation (NSF)); New Zealand Foundation for Research, Science and Technology (FRST)(New Zealand Foundation for Research, Science and Technology); University of Waikato; Antarctica New Zealand; New Zealand Terrestrial Antarctic Bio-complexity Survey (NZTABS)</t>
  </si>
  <si>
    <t>Funding and logistical support for this research was provided by the NSF-funded McMurdo Dry Valleys Long-Term Ecological Research program (OPP-0423595) to DHW, RAV and BJA, and by the New Zealand Foundation for Research, Science and Technology (FRST), the University of Waikato, and Antarctica New Zealand to IH and TS. TS also received a New Zealand Terrestrial Antarctic Bio-complexity Survey (NZTABS) Research Fellowship in support of this research. Additional logistical support was provided by PHI, and Raytheon Polar Services Corporation. We thank Bishwo Adhikari, Nick Demetras, Eddie Molina, Karen Seaver, Breana Simmons, Kathy Welch, Colin Pinney and Dan Reuss for field and lab support, as well as Rich Conant and Alan Knapp for their insightful reviews of this manuscript.</t>
  </si>
  <si>
    <t>0031-4056</t>
  </si>
  <si>
    <t>1873-1511</t>
  </si>
  <si>
    <t>Pedobiologia</t>
  </si>
  <si>
    <t>10.1016/j.pedobi.2011.11.001</t>
  </si>
  <si>
    <t>Ecology; Soil Science</t>
  </si>
  <si>
    <t>Environmental Sciences &amp; Ecology; Agriculture</t>
  </si>
  <si>
    <t>928LK</t>
  </si>
  <si>
    <t>WOS:000302984000002</t>
  </si>
  <si>
    <t>Takahashi, T; Kondo, T; Tanaka, K; Hattori, S; Irie, S; Kudoh, S; Imura, S; Kanda, H</t>
  </si>
  <si>
    <t>Takahashi, Tetsuya; Kondo, Tetsuo; Tanaka, Keisuke; Hattori, Shunji; Irie, Shinkichi; Kudoh, Sakae; Imura, Satoshi; Kanda, Hiroshi</t>
  </si>
  <si>
    <t>Measurement of solar UV radiation in Antarctica with collagen sheets</t>
  </si>
  <si>
    <t>PHOTOCHEMICAL &amp; PHOTOBIOLOGICAL SCIENCES</t>
  </si>
  <si>
    <t>CUT MATERIALS; OZONE; SKIN</t>
  </si>
  <si>
    <t>Collagen sheets were used in a unique evaluation method to examine skin damage caused by ultraviolet (UV) light of short wavelength during a season of the Antarctic ozone hole. The collagen sheets were exposed outdoors for 25 and 50 d, in the spring when the ozone hole was formed and in the ozone-hole-free autumn. Extracts from the exposed collagen sheets were analyzed for total protein and terminal amino acid concentrations as an index of collagen fragmentation. The results show that the amount of extractable collagen and terminal amino acid concentration in the spring exposure were approximately double and five times higher, respectively, when compared with those in the autumn exposure. During the ozone hole occurrence, the terminal amino acid concentration of the extracted collagen was about five times higher when exposure lasted 50 d from mid-September to the end of October compared to when exposure lasted 25 d from mid-September to early October. This result could be attributed to a limited amount of short-wavelength UV radiation reaching the ground surface as a result of the low height of the sun in September, when the ozone hole occurred. In fact, UV radiation measurements taken at Syowa Station indicate that short-wavelength UV radiation in the range 290-295 nm was not detected until approximately 1-2 months after the beginning of the ozone hole occurrence.</t>
  </si>
  <si>
    <t>[Takahashi, Tetsuya] Shimane Univ, Fac Educ, Matsue, Shimane 6908504, Japan; [Kondo, Tetsuo] Kyushu Univ, Fac Agr, Higashi Ku, Fukuoka 8128581, Japan; [Tanaka, Keisuke; Hattori, Shunji; Irie, Shinkichi] Nippi Res Inst Biomatrix, Toride, Ibaragi 3020017, Japan; [Kudoh, Sakae; Imura, Satoshi; Kanda, Hiroshi] Natl Inst Polar Res, Tachikawa, Tokyo 1908518, Japan</t>
  </si>
  <si>
    <t>Shimane University; Kyushu University; Research Organization of Information &amp; Systems (ROIS); National Institute of Polar Research (NIPR) - Japan</t>
  </si>
  <si>
    <t>Takahashi, T (corresponding author), Shimane Univ, Fac Educ, 1060 Nishikawatsu Cho, Matsue, Shimane 6908504, Japan.</t>
  </si>
  <si>
    <t>SPRINGERNATURE</t>
  </si>
  <si>
    <t>1474-905X</t>
  </si>
  <si>
    <t>1474-9092</t>
  </si>
  <si>
    <t>PHOTOCH PHOTOBIO SCI</t>
  </si>
  <si>
    <t>Photochem. Photobiol. Sci.</t>
  </si>
  <si>
    <t>10.1039/c2pp05365a</t>
  </si>
  <si>
    <t>Biochemistry &amp; Molecular Biology; Biophysics; Chemistry, Physical</t>
  </si>
  <si>
    <t>Biochemistry &amp; Molecular Biology; Biophysics; Chemistry</t>
  </si>
  <si>
    <t>962HH</t>
  </si>
  <si>
    <t>WOS:000305533100007</t>
  </si>
  <si>
    <t>Mahaney, WC; Hart, KM; O'Reilly, SS; Allen, CCR; Dohm, JM; Hancock, RGV; Kelleher, BP; Milner, MW</t>
  </si>
  <si>
    <t>Mahaney, William C.; Hart, Kris M.; O'Reilly, Shane S.; Allen, Christopher C. R.; Dohm, James M.; Hancock, Ronald G. V.; Kelleher, Brian P.; Milner, Michael W.</t>
  </si>
  <si>
    <t>Coleoptera and microbe biomass in Antarctic Dry Valley paleosols adjacent to the Inland Ice: Implications for Mars</t>
  </si>
  <si>
    <t>PLANETARY AND SPACE SCIENCE</t>
  </si>
  <si>
    <t>Paleosols in the Dry Valleys; Antarctica and on Mars; SEM analysis of Coleoptera in Dry Valley paleosols; Bacteriology of Antarctic paleosols</t>
  </si>
  <si>
    <t>GRADIENT GEL-ELECTROPHORESIS; EXTRACTABLE FE; BACTERIAL DIVERSITY; DEGRADING BACTERIA; DNA EXTRACTION; SP NOV.; SOILS; AL; STATION; GROWTH</t>
  </si>
  <si>
    <t>Bulk paleosol samples collected from a Middle to Early Miocene moraine in the New Mountain area of the Dry Valleys, Antarctica, yielded Coleoptera exoskeletons and occasional endoskeletons showing considerable diagenetic effects along with several species of bacteria, all lodged in a dry-frozen but salt-rich horizon at shallow depth to the land surface. The till is at the older end of a chronologic sequence of glacial deposits, thought to have been deposited before the transition from wet-based to cold-based ice (similar to 15 Ma), and hence, entirely weathered in contact with the subaerial atmosphere. It is possible, though not absolutely verifiable, that the skeletons date from this early stage of emplacement having undergone modifications whenever light snowmelt occurred or salt concentrations lowered the freezing temperature to maintain water as liquid. Correlation of the Coleoptera species with cultured bacteria in the sample and the likelihood of co-habitation with Beauveria bassiani found in two adjacent, although younger paleosols, leads to new questions about the antiquity of the Coleoptera and the source of N and glucose from chitinase derived from the insects. The skeletons in the 831 section may date close to the oldest preserved chitin (Oligocene) yet found on Earth. While harsh Martian conditions make it seemingly intolerable for complex, multicellular organisms such as insects to exist in the near-surface and subaerially, life within similar cold, dry paleosol microenvironments (Cryosols) of Antarctica point to life potential for the Red Planet, especially when considering the relatively diverse microbe (bacteria and fungi) population. (C) 2011 Elsevier Ltd. All rights reserved.</t>
  </si>
  <si>
    <t>[Mahaney, William C.] Quaternary Surveys, Thornhill, ON L4J 1J4, Canada; [Hart, Kris M.; O'Reilly, Shane S.; Kelleher, Brian P.] Dublin City Univ, Sch Chem Sci, Dublin 9, Ireland; [Allen, Christopher C. R.] Queens Univ Belfast, Sch Biol Sci, Ctr Med Biol, Belfast BT9 5AG, Antrim, North Ireland; [Dohm, James M.] Univ Arizona, Dept Hydrol &amp; Water Resources, Tucson, AZ 85721 USA; [Hancock, Ronald G. V.] McMaster Univ, Dept Anthropol, Hamilton, ON L8S 4K1, Canada; [Milner, Michael W.] MWM Consulting, Toronto, ON M4K 3P1, Canada</t>
  </si>
  <si>
    <t>Dublin City University; Queens University Belfast; University of Arizona; McMaster University</t>
  </si>
  <si>
    <t>Mahaney, WC (corresponding author), Quaternary Surveys, 26 Thornhill Ave, Thornhill, ON L4J 1J4, Canada.</t>
  </si>
  <si>
    <t>arkose@rogers.com; kris.hart2@mail.dcu.ie; shane.oreilly8@gmail.com; C.allen@qub.ac.uk; jmd@hwr.arizona.edu; ronhancock@ca.inter.net; brian.kelleher@dcu.ie; Michael.milner@sympatico.ca</t>
  </si>
  <si>
    <t>O'Reilly, Shane/L-8918-2013; Kelleher, Brian/D-6224-2012; Dohm, James M/A-3831-2014; O'Reilly, Shane/AAC-8698-2019</t>
  </si>
  <si>
    <t>O'Reilly, Shane/0000-0001-6303-4329; O'Reilly, Shane/0000-0001-6303-4329; Allen, Christopher/0000-0002-2435-4327</t>
  </si>
  <si>
    <t>Quaternary Surveys, Toronto; Science Foundation Ireland (SFI); Irish Environmental Protection Agency; QUESTOR; Irish Research Council for Science, Engineering &amp; Technology (IRCSET); Geological Survey of Ireland (GSI)</t>
  </si>
  <si>
    <t>Quaternary Surveys, Toronto; Science Foundation Ireland (SFI)(Science Foundation Ireland); Irish Environmental Protection Agency(Environmental Protection Agency Ireland (EPA)); QUESTOR; Irish Research Council for Science, Engineering &amp; Technology (IRCSET)(Irish Research Council for Science, Engineering and Technology); Geological Survey of Ireland (GSI)</t>
  </si>
  <si>
    <t>This research was funded by Quaternary Surveys, Toronto, Science Foundation Ireland (SFI), the Irish Environmental Protection Agency, QUESTOR, the Irish Research Council for Science, Engineering &amp; Technology (IRCSET), and the Geological Survey of Ireland (GSI).</t>
  </si>
  <si>
    <t>0032-0633</t>
  </si>
  <si>
    <t>1873-5088</t>
  </si>
  <si>
    <t>PLANET SPACE SCI</t>
  </si>
  <si>
    <t>Planet Space Sci.</t>
  </si>
  <si>
    <t>10.1016/j.pss.2011.11.008</t>
  </si>
  <si>
    <t>Astronomy &amp; Astrophysics</t>
  </si>
  <si>
    <t>895GC</t>
  </si>
  <si>
    <t>WOS:000300483200044</t>
  </si>
  <si>
    <t>Kopalová, K; Veselá, J; Elster, J; Nedbalová, L; Komárek, J; Van de Vijver, B</t>
  </si>
  <si>
    <t>Kopalova, Katerina; Vesela, Jana; Elster, Josef; Nedbalova, Linda; Komarek, Jiri; Van de Vijver, Bart</t>
  </si>
  <si>
    <t>Benthic diatoms (Bacillariophyta) from seepages and streams on James Ross Island (NW Weddell Sea, Antarctica)</t>
  </si>
  <si>
    <t>PLANT ECOLOGY AND EVOLUTION</t>
  </si>
  <si>
    <t>Antarctic Peninsula; Bacillariophyceae; diatoms; biogeography; James Ross Island; seepages; streams</t>
  </si>
  <si>
    <t>SOUTH SHETLAND ISLANDS; LA POSSESSION CROZET; FRESH-WATER DIATOMS; MCMURDO DRY VALLEYS; KING-GEORGE-ISLAND; LIVINGSTON ISLAND; DECEPTION ISLAND; NORTHERN PART; GENUS; COMMUNITIES</t>
  </si>
  <si>
    <t>Background and aim - The non-marine diatom communities in the Antarctic Region are characterized by a typical species composition, in close relationship with their environment. Despite the growing interest, the diatom flora of James Ross Island is only poorly known. The present paper discusses the diversity of limnoterrestrial diatoms on this island: seepages and streams. Methods - The diatom flora of 53 samples taken on the eastern side of the Ulu peninsula on James Ross Island has been studied using light and scanning electron microscopy. Key results - A total of 69 diatom taxa belonging to 26 genera have been observed. The genera Luticola, Diadesmis, Muelleria and Pinnularia dominated the species composition. The flora shows an interesting mixture of cosmopolitan and Antarctic species containing several species reaching on James Ross Island their most northern distribution in the Antarctic Region. The taxonomical position of one widespread Antarctic species, Psammothidium papilio (D.E.Kellogg, Stuiver, T.B.Kellogg &amp; Denton) Kopalova &amp; Van de Vijver comb. nov., is corrected. Conclusions - The limnoterrestrial diatom flora of James Ross Island has a rather low number of species, of which a large proportion shows a restricted Antarctic distribution.</t>
  </si>
  <si>
    <t>[Kopalova, Katerina; Nedbalova, Linda] Charles Univ Prague, Fac Sci, Dept Ecol, CZ-12844 Prague 2, Czech Republic; [Vesela, Jana; Elster, Josef; Komarek, Jiri] Univ S Bohemia, Fac Sci, Dept Bot, CZ-37005 Ceske Budejovice, Czech Republic; [Elster, Josef; Nedbalova, Linda; Komarek, Jiri] Acad Sci Czech Republ, Inst Bot, Sect Plant Ecol, CZ-37982 Trebon, Czech Republic; [Van de Vijver, Bart] Natl Bot Garden Belgium, Dept Bryophyta &amp; Thallophyta, BE-1860 Meise, Belgium</t>
  </si>
  <si>
    <t>Charles University Prague; University of South Bohemia Ceske Budejovice; Czech Academy of Sciences; Institute of Botany of the Czech Academy of Sciences</t>
  </si>
  <si>
    <t>Kopalová, K (corresponding author), Charles Univ Prague, Fac Sci, Dept Ecol, Vinicna 7, CZ-12844 Prague 2, Czech Republic.</t>
  </si>
  <si>
    <t>k.kopalova@hotmail.com</t>
  </si>
  <si>
    <t>Komarek, Jiri/H-1597-2014; Elster, Josef/B-1031-2008; Nedbalová, Linda/AFF-8321-2022; Vesela, Jana/E-7738-2016; Kopalová, Kateřina/H-1598-2014; Nedbalová, Linda/AAF-1001-2022; Kopalova, Katerina/M-6207-2017</t>
  </si>
  <si>
    <t>Nedbalová, Linda/0000-0003-1800-714X; Nedbalová, Linda/0000-0003-1800-714X; Elster, Josef/0000-0002-4535-5636; Kopalova, Katerina/0000-0002-7905-4268</t>
  </si>
  <si>
    <t>Czech Science Foundation [GA CR 206/05/0253, 206/075/0917]; FWO [G.0533.07]; [MSMT 0021620828]; [AV0Z60050516]; [MSMT KON-TAKT ME 945]; [ME 934]</t>
  </si>
  <si>
    <t>Czech Science Foundation(Grant Agency of the Czech Republic); FWO(FWO); ; ; ;</t>
  </si>
  <si>
    <t>This study has been supported by the projects GA CR 206/05/0253 and 206/075/0917 (Czech Science Foundation). Part of the research was funded by the following projects: MSMT 0021620828, AV0Z60050516 and MSMT KON-TAKT ME 945 and ME 934. Additional funding was provided by the FWO project G.0533.07. The authors would also like to thank the members of expeditions to the Czech Antarctic Station J.G. Mendel for their support. Dr. Elie Verleyen is thanked for his help with the species accumulation curve. We thank Dr. Gabriela Mataloni and one anonymous referee for the constructive remarks that helped to improve this manuscript.</t>
  </si>
  <si>
    <t>SOC ROYAL BOTAN BELGIQUE</t>
  </si>
  <si>
    <t>MEISE</t>
  </si>
  <si>
    <t>NIEUWELAAN 38, B-1860 MEISE, BELGIUM</t>
  </si>
  <si>
    <t>2032-3913</t>
  </si>
  <si>
    <t>2032-3921</t>
  </si>
  <si>
    <t>PLANT ECOL EVOL</t>
  </si>
  <si>
    <t>Plant Ecol. Evol.</t>
  </si>
  <si>
    <t>10.5091/plecevo.2012.639</t>
  </si>
  <si>
    <t>972TJ</t>
  </si>
  <si>
    <t>WOS:000306302900006</t>
  </si>
  <si>
    <t>Chown, SL</t>
  </si>
  <si>
    <t>Chown, Steven L.</t>
  </si>
  <si>
    <t>Antarctic Marine Biodiversity and Deep-Sea Hydrothermal Vents</t>
  </si>
  <si>
    <t>PLOS BIOLOGY</t>
  </si>
  <si>
    <t>GLOBAL PATTERNS; SPECIES RICHNESS; BIOGEOGRAPHY; DIVERSITY; OCEAN; DISTRIBUTIONS; DISCOVERY; ENERGY</t>
  </si>
  <si>
    <t>The diversity of many marine benthic groups is unlike that of most other taxa. Rather than declining from the tropics to the poles, much of the benthos shows high diversity in the Southern Ocean. Moreover, many species are unique to the Antarctic region. Recent work has shown that this is also true of the communities of Antarctic deep-sea hydrothermal vents. Vent ecosystems have been documented from many sites across the globe, associated with the thermally and chemically variable habitats found around these, typically high temperature, streams that are rich in reduced compounds and polymetallic sulphides. The animal communities of the East Scotia Ridge vent ecosystems are very different to those elsewhere, though the microbiota, which form the basis of vent food webs, show less differentiation. Much of the biological significance of deep-sea hydrothermal vents lies in their biodiversity, the diverse biochemistry of their bacteria, the remarkable symbioses among many of the marine animals and these bacteria, and the prospects that investigations of these systems hold for understanding the conditions that may have led to the first appearance of life. The discovery of diverse and unusual Antarctic hydrothermal vent ecosystems provides opportunities for new understanding in these fields. Moreover, the Antarctic vents south of 60 degrees S benefit from automatic conservation under the Convention on the Conservation of Antarctic Marine Living Resources and the Antarctic Treaty. Other deep-sea hydrothermal vents located in international waters are not protected and may be threatened by growing interests in deep-sea mining.</t>
  </si>
  <si>
    <t>Univ Stellenbosch, Ctr Invas Biol, ZA-7600 Stellenbosch, South Africa</t>
  </si>
  <si>
    <t>Stellenbosch University</t>
  </si>
  <si>
    <t>Chown, SL (corresponding author), Univ Stellenbosch, Ctr Invas Biol, ZA-7600 Stellenbosch, South Africa.</t>
  </si>
  <si>
    <t>slchown@sun.ac.za</t>
  </si>
  <si>
    <t>Chown, Steven/ABD-7646-2021; Chown, Steven/H-3347-2011</t>
  </si>
  <si>
    <t>Chown, Steven/0000-0001-6069-5105</t>
  </si>
  <si>
    <t>PUBLIC LIBRARY SCIENCE</t>
  </si>
  <si>
    <t>SAN FRANCISCO</t>
  </si>
  <si>
    <t>1160 BATTERY STREET, STE 100, SAN FRANCISCO, CA 94111 USA</t>
  </si>
  <si>
    <t>1544-9173</t>
  </si>
  <si>
    <t>1545-7885</t>
  </si>
  <si>
    <t>PLOS BIOL</t>
  </si>
  <si>
    <t>PLoS. Biol.</t>
  </si>
  <si>
    <t>e1001232</t>
  </si>
  <si>
    <t>10.1371/journal.pbio.1001232</t>
  </si>
  <si>
    <t>Biochemistry &amp; Molecular Biology; Biology</t>
  </si>
  <si>
    <t>Biochemistry &amp; Molecular Biology; Life Sciences &amp; Biomedicine - Other Topics</t>
  </si>
  <si>
    <t>894IM</t>
  </si>
  <si>
    <t>WOS:000300420400004</t>
  </si>
  <si>
    <t>Rogers, AD; Tyler, PA; Connelly, DP; Copley, JT; James, R; Larter, RD; Linse, K; Mills, RA; Garabato, AN; Pancost, RD; Pearce, DA; Polunin, NVC; German, CR; Shank, T; Boersch-Supan, PH; Alker, BJ; Aquilina, A; Bennett, SA; Clarke, A; Dinley, RJJ; Graham, AGC; Green, DRH; Hawkes, JA; Hepburn, L; Hilario, A; Huvenne, VAI; Marsh, L; Ramirez-Llodra, E; Reid, WDK; Roterman, CN; Sweeting, CJ; Thatje, S; Zwirglmaier, K</t>
  </si>
  <si>
    <t>Rogers, Alex D.; Tyler, Paul A.; Connelly, Douglas P.; Copley, Jon T.; James, Rachael; Larter, Robert D.; Linse, Katrin; Mills, Rachel A.; Garabato, Alfredo Naveira; Pancost, Richard D.; Pearce, David A.; Polunin, Nicholas V. C.; German, Christopher R.; Shank, Timothy; Boersch-Supan, Philipp H.; Alker, Belinda J.; Aquilina, Alfred; Bennett, Sarah A.; Clarke, Andrew; Dinley, Robert J. J.; Graham, Alastair G. C.; Green, Darryl R. H.; Hawkes, Jeffrey A.; Hepburn, Laura; Hilario, Ana; Huvenne, Veerle A. I.; Marsh, Leigh; Ramirez-Llodra, Eva; Reid, William D. K.; Roterman, Christopher N.; Sweeting, Christopher J.; Thatje, Sven; Zwirglmaier, Katrin</t>
  </si>
  <si>
    <t>The Discovery of New Deep-Sea Hydrothermal Vent Communities in the Southern Ocean and Implications for Biogeography</t>
  </si>
  <si>
    <t>EAST SCOTIA RIDGE; MOLECULAR PHYLOGENY; BRANSFIELD STRAIT; WEST PACIFIC; MARINE; SEQUENCE; DNA; CRUSTACEA; PATTERNS; BIODIVERSITY</t>
  </si>
  <si>
    <t>Since the first discovery of deep-sea hydrothermal vents along the Galapagos Rift in 1977, numerous vent sites and endemic faunal assemblages have been found along mid-ocean ridges and back-arc basins at low to mid latitudes. These discoveries have suggested the existence of separate biogeographic provinces in the Atlantic and the North West Pacific, the existence of a province including the South West Pacific and Indian Ocean, and a separation of the North East Pacific, North East Pacific Rise, and South East Pacific Rise. The Southern Ocean is known to be a region of high deep-sea species diversity and centre of origin for the global deep-sea fauna. It has also been proposed as a gateway connecting hydrothermal vents in different oceans but is little explored because of extreme conditions. Since 2009 we have explored two segments of the East Scotia Ridge (ESR) in the Southern Ocean using a remotely operated vehicle. In each segment we located deep-sea hydrothermal vents hosting high-temperature black smokers up to 382.8 degrees C and diffuse venting. The chemosynthetic ecosystems hosted by these vents are dominated by a new yeti crab (Kiwa n. sp.), stalked barnacles, limpets, peltospiroid gastropods, anemones, and a predatory sea star. Taxa abundant in vent ecosystems in other oceans, including polychaete worms (Siboglinidae), bathymodiolid mussels, and alvinocaridid shrimps, are absent from the ESR vents. These groups, except the Siboglinidae, possess planktotrophic larvae, rare in Antarctic marine invertebrates, suggesting that the environmental conditions of the Southern Ocean may act as a dispersal filter for vent taxa. Evidence from the distinctive fauna, the unique community structure, and multivariate analyses suggest that the Antarctic vent ecosystems represent a new vent biogeographic province. However, multivariate analyses of species present at the ESR and at other deep-sea hydrothermal vents globally indicate that vent biogeography is more complex than previously recognised.</t>
  </si>
  <si>
    <t>[Rogers, Alex D.; Boersch-Supan, Philipp H.; Roterman, Christopher N.] Univ Oxford, Dept Zool, Oxford OX1 3PS, England; [Tyler, Paul A.; Copley, Jon T.; Mills, Rachel A.; Garabato, Alfredo Naveira; Aquilina, Alfred; Dinley, Robert J. J.; Hawkes, Jeffrey A.; Hepburn, Laura; Marsh, Leigh; Roterman, Christopher N.; Thatje, Sven] Univ Southampton, Natl Oceanog Ctr, Southampton, Hants, England; [Connelly, Douglas P.; James, Rachael; Alker, Belinda J.; Bennett, Sarah A.; Green, Darryl R. H.; Hawkes, Jeffrey A.; Huvenne, Veerle A. I.] Natl Oceanog Ctr, Nat Environm Res Council, Southampton, Hants, England; [Larter, Robert D.; Linse, Katrin; Pearce, David A.; Clarke, Andrew; Graham, Alastair G. C.; Zwirglmaier, Katrin] British Antarctic Survey, Cambridge CB3 0ET, England; [Pancost, Richard D.] Univ Bristol, Sch Chem, Bristol, Avon, England; [Polunin, Nicholas V. C.; Reid, William D. K.; Sweeting, Christopher J.] Newcastle Univ, Sch Marine Sci &amp; Technol, Newcastle Upon Tyne NE1 7RU, Tyne &amp; Wear, England; [German, Christopher R.; Shank, Timothy] Woods Hole Oceanog Inst, Woods Hole, MA 02543 USA; [Boersch-Supan, Philipp H.] Univ St Andrews, Scottish Oceans Inst, St Andrews, Fife, Scotland; [Hilario, Ana] Univ Aveiro, Dept Biol, Ctr Estudos Ambiente &amp; Mar, P-3800 Aveiro, Portugal; [Ramirez-Llodra, Eva] CSIC, Inst Ciencies Mar, Barcelona, Spain</t>
  </si>
  <si>
    <t>University of Oxford; NERC National Oceanography Centre; University of Southampton; NERC National Oceanography Centre; UK Research &amp; Innovation (UKRI); Natural Environment Research Council (NERC); NERC British Antarctic Survey; University of Bristol; Newcastle University - UK; Woods Hole Oceanographic Institution; University of St Andrews; Universidade de Aveiro; Consejo Superior de Investigaciones Cientificas (CSIC); CSIC - Centro Mediterraneo de Investigaciones Marinas y Ambientales (CMIMA); CSIC - Instituto de Ciencias del Mar (ICM)</t>
  </si>
  <si>
    <t>Rogers, AD (corresponding author), Univ Oxford, Dept Zool, S Parks Rd, Oxford OX1 3PS, England.</t>
  </si>
  <si>
    <t>alex.rogers@zoo.ox.ac.uk</t>
  </si>
  <si>
    <t>Boersch-Supan, Philipp H/A-3040-2012; Roterman, Christopher Nicolai/AAX-4395-2021; Hepburn, Laura/AAW-4324-2021; Bennett, Sarah/F-9831-2011; James, Rachael H/G-8613-2011; Marsh, Leigh/AAT-5597-2020; Garabato, Alberto Naveira/AAQ-1114-2020; Hilario, Ana/C-1260-2008; Roterman, Christopher/C-7327-2013; Copley, Jon/I-7076-2012; Marsh, Leigh/J-6068-2013; Mills, Rachel/A-1150-2011; Reid, William/J-8528-2013; Zwirglmaier, Katrin/H-9799-2014</t>
  </si>
  <si>
    <t>Boersch-Supan, Philipp H/0000-0001-6723-6833; Roterman, Christopher Nicolai/0000-0002-6636-6078; Bennett, Sarah/0000-0002-9811-4764; Marsh, Leigh/0000-0002-4613-1538; Garabato, Alberto Naveira/0000-0001-6071-605X; Hilario, Ana/0000-0001-8287-1528; Roterman, Christopher/0000-0002-6636-6078; Copley, Jon/0000-0003-3333-4325; Marsh, Leigh/0000-0002-4613-1538; Polunin, Nick/0000-0002-1480-8794; Mills, Rachel/0000-0002-9811-246X; Ramirez-Llodra, Eva/0000-0003-0137-1906; Larter, Robert/0000-0002-8414-7389; Reid, William/0000-0003-0190-0425; Linse, Katrin/0000-0003-3477-3047; Hepburn, Laura/0000-0003-3336-5340; Huvenne, Veerle A.I./0000-0001-7135-6360; Pearce, David/0000-0001-5292-4596; James, Rachael/0000-0001-7402-2315; Pancost, Richard/0000-0003-0298-4026; Zwirglmaier, Katrin/0000-0001-8598-9572; Graham, Alastair/0000-0002-2880-2908; Rogers, Alex David/0000-0002-4864-2980</t>
  </si>
  <si>
    <t>NERC Consortium [NE/DO1249X/1]; Census of Marine Life; Sloan Foundation; Total Foundation for Biodiversity [Abyss 2100]; NSF [ANT-0739675]; NERC [NE/D01429X/1, NE/H524922/1, NE/F010664/1]; Cusanuswerk doctoral fellowship; University of St. Andrews; NERC [bas0100026, NE/D013437/1, noc010004, noc010011, NE/D010470/2, NE/D01249X/1, noc010009] Funding Source: UKRI; Natural Environment Research Council [NE/D010470/2, NE/C517633/1, noc010011, NE/D01249X/1, noc010004, bas0100026, noc010009, NE/D013437/1] Funding Source: researchfish</t>
  </si>
  <si>
    <t>NERC Consortium(UK Research &amp; Innovation (UKRI)Natural Environment Research Council (NERC)); Census of Marine Life; Sloan Foundation(Alfred P. Sloan Foundation); Total Foundation for Biodiversity; NSF(National Science Foundation (NSF)); NERC(UK Research &amp; Innovation (UKRI)Natural Environment Research Council (NERC)); Cusanuswerk doctoral fellowship; University of St. Andrews; NERC(UK Research &amp; Innovation (UKRI)Natural Environment Research Council (NERC)); Natural Environment Research Council(UK Research &amp; Innovation (UKRI)Natural Environment Research Council (NERC))</t>
  </si>
  <si>
    <t>The ChEsSo research programme was funded by a NERC Consortium Grant (NE/DO1249X/1) and supported by the Census of Marine Life and the Sloan Foundation, and the Total Foundation for Biodiversity (Abyss 2100)(SVTH) all of which are gratefully acknowledged. We also acknowledge NSF grant ANT-0739675 (CG and TS), NERC PhD studentships NE/D01429X/1(LH, LM, CNR), NE/H524922/1(JH) and NE/F010664/1 (WDKR), a Cusanuswerk doctoral fellowship, and a Lesley &amp; Charles Hilton-Brown Scholarship, University of St. Andrews (PHBS). The funders had no role in study design, data collection and analysis, decision to publish, or preparation of the manuscript.</t>
  </si>
  <si>
    <t>e1001234</t>
  </si>
  <si>
    <t>10.1371/journal.pbio.1001234</t>
  </si>
  <si>
    <t>Green Published, gold, Green Submitted, Green Accepted</t>
  </si>
  <si>
    <t>WOS:000300420400006</t>
  </si>
  <si>
    <t>Meyer, B</t>
  </si>
  <si>
    <t>Meyer, Bettina</t>
  </si>
  <si>
    <t>The overwintering of Antarctic krill, Euphausia superba, from an ecophysiological perspective</t>
  </si>
  <si>
    <t>POLAR BIOLOGY</t>
  </si>
  <si>
    <t>Adult krill; Larval krill; Overwintering; Climate change</t>
  </si>
  <si>
    <t>SIMULATED LIGHT REGIMES; SOUTH SHETLAND-ISLANDS; MARGINAL ICE-ZONE; SEA-ICE; LARVAL KRILL; ENERGY BUDGETS; CLIMATE-CHANGE; SCOTIA SEA; ENVIRONMENTAL VARIABILITY; MICRONEKTONIC CRUSTACEA</t>
  </si>
  <si>
    <t>A major aim of this review is to determine which physiological functions are adopted by adults and larvae to survive the winter season with low food supply and their relative importance. A second aim is to clarify the extent to which seasonal variation in larval and adult krill physiology is mediated by environmental factors with a strong seasonality, such as food supply or day light. Experimental studies on adult krill have demonstrated that specific physiological adaptations during autumn and winter, such as reduced metabolic rates and feeding activity, are not caused simply by the scarcity of food, as was previously assumed. These adaptations appear to be influenced by the local light regime. The physiological functions that larval krill adopt during winter (reduced metabolism, delayed development, lipid utilisation, and variable growth rates) are, in contrast to the adults, under direct control by the available food supply. During winter, the adults often seem to have little association with sea ice (at least until early spring). The larvae, however, feed within sea ice but mainly on the grazers of the ice algal community rather than on the algae themselves. In this respect, a miss-match in timing of the occurrence of the last phytoplankton blooms in autumn and the start of the sea ice formation, as has been increasingly observed in the west Antarctic Peninsula (WAP) region, will impact larval krill development during winter in terms of food supply and consequently the krill stock in this region.</t>
  </si>
  <si>
    <t>Alfred Wegener Inst Polar &amp; Marine Res, Sci Div Polar Biol Oceanog, D-27570 Bremerhaven, Germany</t>
  </si>
  <si>
    <t>Meyer, B (corresponding author), Alfred Wegener Inst Polar &amp; Marine Res, Sci Div Polar Biol Oceanog, Handelshafen 12, D-27570 Bremerhaven, Germany.</t>
  </si>
  <si>
    <t>Bettina.Meyer@awi.de</t>
  </si>
  <si>
    <t>Meyer, Bettina/ABB-5311-2020</t>
  </si>
  <si>
    <t>Meyer, Bettina/0000-0001-6804-9896</t>
  </si>
  <si>
    <t>German Ministry of Education and Research (BMBF) [03PL025A, 03F0400A, ARG 02/Z01, SUA 05/008]</t>
  </si>
  <si>
    <t>German Ministry of Education and Research (BMBF)(Federal Ministry of Education &amp; Research (BMBF))</t>
  </si>
  <si>
    <t>My special thanks go to Lutz Auerswald, Gottfried Hempel, Steve Nicol, Mathias Teschke, Angus Atkinson, and So Kawaguchi for their critical reading of the review and the fruitful discussions we had and the constructive comments of two anonymous referees. The work done in my group was funded by the German Ministry of Education and Research (BMBF) through projects 03PL025A and 03F0400A, the International Bureau of the BMBF through projects ARG 02/Z01 and SUA 05/008. In this respect, I also want to thank the officers and crew of RV Polarstern for their professional support on all cruises (ANTVI-3, ANTXVIII-5b, ANTXXI-4, ANTXXIII-2, ANTXXIII-6) and the diving team under the direction of Ulrich Freier. My special thanks go also to Susanne Spahic for her technical support in my group. My gratitude extents to the colleges, graduate-, and undergraduate students who contributed to this work.</t>
  </si>
  <si>
    <t>0722-4060</t>
  </si>
  <si>
    <t>1432-2056</t>
  </si>
  <si>
    <t>POLAR BIOL</t>
  </si>
  <si>
    <t>Polar Biol.</t>
  </si>
  <si>
    <t>10.1007/s00300-011-1120-0</t>
  </si>
  <si>
    <t>Biodiversity Conservation; Ecology</t>
  </si>
  <si>
    <t>855WJ</t>
  </si>
  <si>
    <t>hybrid, Green Published</t>
  </si>
  <si>
    <t>WOS:000297596700002</t>
  </si>
  <si>
    <t>Pizarro, JC; Anderson, CB; Rozzi, R</t>
  </si>
  <si>
    <t>Pizarro, J. C.; Anderson, C. B.; Rozzi, R.</t>
  </si>
  <si>
    <t>Birds as marine-terrestrial linkages in sub-polar archipelagic systems: avian community composition, function and seasonal dynamics in the Cape Horn Biosphere Reserve (54-55°S), Chile</t>
  </si>
  <si>
    <t>Sub-Antarctic avifauna; Ecotone; Milvago chimango; Trans-ecosystemic links</t>
  </si>
  <si>
    <t>FOOD WEBS; ISLAND; DIVERSITY; SUBSIDIES; ABUNDANCE; HABITAT; PRODUCTIVITY; ASSEMBLAGES; SEABIRDS; ECOSYSTEMS</t>
  </si>
  <si>
    <t>Marine environments are known to affect adjacent terrestrial biotic communities. In South America's sub-Antarctic archipelago, birds are the most abundant and diverse terrestrial vertebrate assemblage. We hypothesized that birds would reflect a marine influence that would gradually decrease inland, expecting to find greater species richness, abundance, and biomass near the sea with decreases toward the island interior. We seasonally compared these parameters, with identified indicator species and assessed functional groups at 0, 150, and 300 m from the coast. Unexpectedly, we found a marked marine (0) and terrestrial (150-300) patterns for avian assemblages, rather than a gradient. In addition, seasonal patterns were warm (spring-summer) and cold (autumn-winter). The only parameter that displayed a true gradient was avian biomass in spring. During the cold season, higher values were observed in all variables for coastal assemblages, compared to inland sites. In the warm season, abundance and richness of coastal and terrestrial assemblages were similar, owing to migratory species. Milvago chimango was the only species abundant and frequent in both terrestrial and coastal systems, thereby indicating potential as a marine-terrestrial vector. Functionally, coastal assemblages were conformed of herbivores, carnivores, and scavengers, while terrestrial communities were made up of omnivores and insectivores. We conclude that the sea coast is a unique habitat in this archipelago, providing refuge for both marine and terrestrial sub-Antarctic birdlife particularly in the cold season. The relevance of the land/sea ecotone is poorly known, but important is given to high demand for the installation of salmon aquaculture facilities along the southern Chilean coastline.</t>
  </si>
  <si>
    <t>[Pizarro, J. C.; Anderson, C. B.; Rozzi, R.] Univ Magallanes, Punta Arenas, Chile; [Pizarro, J. C.; Anderson, C. B.; Rozzi, R.] Univ Magallanes, Masters Sci Program Management &amp; Conservat Subant, Fac Sci, Punta Arenas, Chile; [Pizarro, J. C.; Anderson, C. B.; Rozzi, R.] Inst Ecol &amp; Biodivers, Santiago, Chile; [Pizarro, J. C.; Anderson, C. B.; Rozzi, R.] Univ N Texas, Subantarctic Biocultural Conservat Program, Dept Philosophy &amp; Relig Studies, Denton, TX 76203 USA; [Pizarro, J. C.; Anderson, C. B.; Rozzi, R.] Univ N Texas, Dept Biol Sci, Denton, TX 76203 USA; [Pizarro, J. C.; Anderson, C. B.; Rozzi, R.] Univ Magallanes, Puerto Williams Univ Ctr, Puerto Williams, Chile</t>
  </si>
  <si>
    <t>Universidad de Magallanes; Universidad de Magallanes; University of North Texas System; University of North Texas Denton; University of North Texas System; University of North Texas Denton; Universidad de Magallanes</t>
  </si>
  <si>
    <t>Pizarro, JC (corresponding author), Univ Magallanes, Omora Ethnobot Pk, Punta Arenas, Chile.</t>
  </si>
  <si>
    <t>jcpizarrop@gmail.com</t>
  </si>
  <si>
    <t>Pizarro, Cristobal/J-8925-2014; Anderson, Christopher/V-4882-2019; Rozzi, Ricardo/G-1047-2012</t>
  </si>
  <si>
    <t>Pizarro, Cristobal/0000-0002-5240-2816; Anderson, Christopher/0000-0001-8120-5689; Rozzi, Ricardo/0000-0001-5265-8726</t>
  </si>
  <si>
    <t>Institute of Ecology and Biodiversity; CONICYT [PFB-23]; Millennium Scientific Initiative [P05-002]; Rufford Small Grant Foundation; Omora Bird Observatory: Long-Term Ornithological Studies and Conservation in the Cape Horn Biosphere Reserve, Chile [RSG 20.08.08]</t>
  </si>
  <si>
    <t>Institute of Ecology and Biodiversity; CONICYT(Comision Nacional de Investigacion Cientifica y Tecnologica (CONICYT)); Millennium Scientific Initiative; Rufford Small Grant Foundation; Omora Bird Observatory: Long-Term Ornithological Studies and Conservation in the Cape Horn Biosphere Reserve, Chile</t>
  </si>
  <si>
    <t>We are grateful for the participation and support of numerous people in the design, collection and analysis of these data, especially the volunteers, staff and directors of the sub-Antarctic Biocultural Conservation Program (Universidad de Magallanes, Institute of Ecology and Biodiversity and University of North Texas). JCP acknowledges his master's scholarship from the Institute of Ecology and Biodiversity and CONICYT through the Basal Financing Program (PFB-23) and the Millennium Scientific Initiative (P05-002) and the Rufford Small Grant Foundation, which helped finance the research as part of the project entitled Omora Bird Observatory: Long-Term Ornithological Studies and Conservation in the Cape Horn Biosphere Reserve, Chile (RSG 20.08.08). Birder's Exchange also donated field equipment. This publication is a contribution to the Omora Ethnobotanical Park, which is a long-term socio-ecological research site (http://www.ieb-chile.cl/ltser) in the Cape Horn Biosphere Reserve.</t>
  </si>
  <si>
    <t>10.1007/s00300-011-1029-7</t>
  </si>
  <si>
    <t>WOS:000297596700003</t>
  </si>
  <si>
    <t>Hamilton, LC; Cutler, MJ; Schaefer, A</t>
  </si>
  <si>
    <t>Hamilton, Lawrence; Cutler, Matthew; Schaefer, Andrew</t>
  </si>
  <si>
    <t>Public knowledge and concern about polar-region warming</t>
  </si>
  <si>
    <t>POLAR GEOGRAPHY</t>
  </si>
  <si>
    <t>CLIMATE-CHANGE; POLITICS; IMPACT; POLICY; VIEWS</t>
  </si>
  <si>
    <t>In 2006 and 2010, before and after the International Polar Year, the General Social Survey asked cross- sections of the US public for their knowledge and opinions about polar regions. The opinion items sought respondents' levels of concern about global warming in polar regions, and whether they favored opening Antarctica for development or reserving it for science. Polar knowledge scores show significant improvement from 2006 to 2010, while general science literacy scores and opinions remain largely unchanged. Regression of concern and Antarctic items on background characteristics, ideology, education and the two knowledge tests finds that ideology and knowledge have the most consistent effects. Conservative ideology negatively predicts all six concern items and supports for reserving the Antarctic. Polar knowledge exhibits a positive effect on most of the concern items and on support for reserving the Antarctic. General science knowledge has mainly positive effects on concern and Antarctic opinions as well, but its effects are moderated by ideology. These findings support two contrasting but not mutually exclusive views about the role of information: that more science information generally leads to greater concern about environmental changes, or greater support for science; but also that some informed but strongly ideological respondents acquire information selectively in ways that reinforce their existing beliefs.</t>
  </si>
  <si>
    <t>[Hamilton, Lawrence; Cutler, Matthew; Schaefer, Andrew] Univ New Hampshire, Dept Sociol, Durham, NH 03824 USA</t>
  </si>
  <si>
    <t>University System Of New Hampshire; University of New Hampshire</t>
  </si>
  <si>
    <t>Hamilton, LC (corresponding author), Univ New Hampshire, Dept Sociol, Durham, NH 03824 USA.</t>
  </si>
  <si>
    <t>Lawrence.Hamilton@unh.edu</t>
  </si>
  <si>
    <t>Arctic Social Sciences in the Office of Polar Programs, US National Science Foundation [OPP-1136887]</t>
  </si>
  <si>
    <t>Arctic Social Sciences in the Office of Polar Programs, US National Science Foundation</t>
  </si>
  <si>
    <t>The research described here was supported by a grant from Arctic Social Sciences in the Office of Polar Programs, US National Science Foundation (OPP-1136887).</t>
  </si>
  <si>
    <t>530 WALNUT STREET, STE 850, PHILADELPHIA, PA 19106 USA</t>
  </si>
  <si>
    <t>1088-937X</t>
  </si>
  <si>
    <t>1939-0513</t>
  </si>
  <si>
    <t>POLAR GEOGR</t>
  </si>
  <si>
    <t>Polar Geogr.</t>
  </si>
  <si>
    <t>10.1080/1088937X.2012.684155</t>
  </si>
  <si>
    <t>V64OA</t>
  </si>
  <si>
    <t>WOS:000211109100004</t>
  </si>
  <si>
    <t>Braun, C; Mustafa, O; Nordt, A; Pfeiffer, S; Peter, HU</t>
  </si>
  <si>
    <t>Braun, Christina; Mustafa, Osama; Nordt, Anja; Pfeiffer, Simone; Peter, Hans-Ulrich</t>
  </si>
  <si>
    <t>Environmental monitoring and management proposals for the Fildes Region, King George Island, Antarctica</t>
  </si>
  <si>
    <t>POLAR RESEARCH</t>
  </si>
  <si>
    <t>human impact; Antarctic; Fildes Region; environmental management; Antarctic Specially Managed Area; protected area</t>
  </si>
  <si>
    <t>PENGUINS; DISTURBANCE; TOURISM; STATION</t>
  </si>
  <si>
    <t>The Antarctic terrestrial environment is under increasing pressure from human activities. The Fildes Region is characterized by high biodiversity, but is also a major logistic centre for the northern Antarctic Peninsula. Different interests, from scientific research, nature conservation, protection of geological and historical values, station operations, transport logistics and tourism, regularly overlap in space and time. This has led to increasing conflict among the multiple uses of the region and breaches of the legal requirements for environmental protection that apply in the area. The aim of this study was to assess the impacts of human activities in the Fildes Region by monitoring the distribution of bird and seal breeding sites and recording human activities and their associated environmental impacts. Data from an initial monitoring period 2003-06 were compared with data from 2008-10. We observed similar or increased levels of air, land and ship traffic, but fewer violations of overflight limits near Antarctic Specially Protected Area No. 150 Ardley Island. Open waste dumping and oil contamination are still major environmental impacts. Scientific and outdoor leisure activities undertaken by station personnel are more frequent than tourist activities and are likely to have a commensurate level of environmental impact. Despite the initial success of some existing management measures, it is essential that scientific and environmental values continue to be safeguarded, otherwise environmental impacts will increase and the habitat will be further degraded. We argue that the Fildes Region should be considered for designation as an Antarctic Specially Managed Area, a measure that has proven effective for environmental management of vulnerable areas of the Antarctic.</t>
  </si>
  <si>
    <t>[Braun, Christina; Mustafa, Osama; Nordt, Anja; Peter, Hans-Ulrich] Univ Jena, Inst Ecol, Polar &amp; Bird Ecol Grp, DE-07743 Jena, Germany; [Pfeiffer, Simone] Univ Potsdam, Inst Biochem &amp; Biol, DE-14469 Potsdam, Germany</t>
  </si>
  <si>
    <t>Friedrich Schiller University of Jena; University of Potsdam</t>
  </si>
  <si>
    <t>Braun, C (corresponding author), Univ Jena, Inst Ecol, Polar &amp; Bird Ecol Grp, Dornburger Str 159, DE-07743 Jena, Germany.</t>
  </si>
  <si>
    <t>christina.braun77@gmx.de</t>
  </si>
  <si>
    <t>Russ, Anja/D-4797-2015</t>
  </si>
  <si>
    <t>Mustafa, Osama/0000-0002-1548-0647</t>
  </si>
  <si>
    <t>Alfred Wegener Institute; German Federal Environment Agency [FKZ 3708 91 102]</t>
  </si>
  <si>
    <t>Alfred Wegener Institute; German Federal Environment Agency</t>
  </si>
  <si>
    <t>We thank the station personnel and scientists on Fildes Peninsula for providing information and support and members of the Polar &amp; Bird Ecology Group at the University of Jena for their help in the field. This project would not have been possible without the logistic support from Hapag Lloyd Kreuzfahrten, Hansa Kreuzfahrten, the Korean Polar Research Institute, the Chilean Air Force, the airline Aerovias DAP, Polar Star Expeditions and support from the Alfred Wegener Institute. We thank F. Hertel, H. Herata and the reviewers, in particular K. A. Hughes, for their assistance with this work and helpful comments on the manuscript. The research was funded by the German Federal Environment Agency (grant no. FKZ 3708 91 102).</t>
  </si>
  <si>
    <t>CO-ACTION PUBLISHING</t>
  </si>
  <si>
    <t>JARFALLA</t>
  </si>
  <si>
    <t>RIPVAGEN 7, JARFALLA, SE-175 64, SWEDEN</t>
  </si>
  <si>
    <t>0800-0395</t>
  </si>
  <si>
    <t>POLAR RES</t>
  </si>
  <si>
    <t>Polar Res.</t>
  </si>
  <si>
    <t>10.3402/polar.v31i0.18206</t>
  </si>
  <si>
    <t>Ecology; Geosciences, Multidisciplinary; Oceanography</t>
  </si>
  <si>
    <t>Environmental Sciences &amp; Ecology; Geology; Oceanography</t>
  </si>
  <si>
    <t>961GI</t>
  </si>
  <si>
    <t>WOS:000305451800001</t>
  </si>
  <si>
    <t>Dudeney, JR; Walton, DWH</t>
  </si>
  <si>
    <t>Dudeney, John R.; Walton, David W. H.</t>
  </si>
  <si>
    <t>Leadership in politics and science within the Antarctic Treaty</t>
  </si>
  <si>
    <t>Governance; claimant states; Antarctic policy; scientific publications</t>
  </si>
  <si>
    <t>For over 50 years the Antarctic has been governed through the Antarctic Treaty, an international agreement now between 49 nations of whom 28 Consultative Parties (CPs) undertake the management role. Ostensibly, these Parties have qualified for their position on scientific grounds, though diplomacy also plays a major role. This paper uses counts of policy papers and science publications to assess the political and scientific outputs of all CPs over the last 18 years. We show that a subset of the original 12 Treaty signatories, consisting of the seven claimant nations, the USA and Russia, not only set the political agenda for the continent but also provide most of the science, with those CPs producing the most science generally having the greatest political influence. None of the later signatories to the Treaty appear to play a major role in managing Antarctica compared with this group, with half of all CPs collectively producing only 7% of the policy papers. Although acceptance as a CP requires demonstration of a substantial scientific programme, the Treaty has no formal mechanism to review whether a CP continues to meet this criterion. As a first step to addressing this deficiency, we encourage the CPs collectively to resolve to hold regular international peer reviews of their individual science programmes and to make the results available to the other CPs.</t>
  </si>
  <si>
    <t>[Walton, David W. H.] British Antarctic Survey, Nat Environm Res Council, Cambridge CB3 0ET, England</t>
  </si>
  <si>
    <t>Walton, DWH (corresponding author), British Antarctic Survey, Nat Environm Res Council, Madingley Rd, Cambridge CB3 0ET, England.</t>
  </si>
  <si>
    <t>dwhw@bas.ac.uk</t>
  </si>
  <si>
    <t>Walton, David/0000-0002-7103-4043</t>
  </si>
  <si>
    <t>Leverhulme Trust; Trans-Antarctic Association; Commissioner for British Antarctic Territory; NERC [bas010011] Funding Source: UKRI; Natural Environment Research Council [bas010011] Funding Source: researchfish</t>
  </si>
  <si>
    <t>Leverhulme Trust(Leverhulme Trust); Trans-Antarctic Association; Commissioner for British Antarctic Territory; NERC(UK Research &amp; Innovation (UKRI)Natural Environment Research Council (NERC)); Natural Environment Research Council(UK Research &amp; Innovation (UKRI)Natural Environment Research Council (NERC))</t>
  </si>
  <si>
    <t>We are grateful to the Leverhulme Trust, the Trans-Antarctic Association and the Commissioner for British Antarctic Territory for grants to enable us to carry out this research. The comments of two anonymous reviewers are gratefully acknowledged.</t>
  </si>
  <si>
    <t>OPEN ACADEMIA AB</t>
  </si>
  <si>
    <t>SPANGA</t>
  </si>
  <si>
    <t>STORMBYVAGEN 6, SPANGA, SE-163 55, SWEDEN</t>
  </si>
  <si>
    <t>1751-8369</t>
  </si>
  <si>
    <t>10.3402/polar.v31i0.11075</t>
  </si>
  <si>
    <t>937UV</t>
  </si>
  <si>
    <t>gold, Green Accepted</t>
  </si>
  <si>
    <t>WOS:000303685500001</t>
  </si>
  <si>
    <t>Gutt, J; Zurell, D; Bracegridle, TJ; Cheung, W; Clark, MS; Convey, P; Danis, B; David, B; De Broyer, C; di Prisco, G; Griffiths, H; Laffont, R; Peck, LS; Pierrat, B; Riddle, MJ; Saucède, T; Turner, J; Verde, C; Wang, ZM; Grimm, V</t>
  </si>
  <si>
    <t>Gutt, Julian; Zurell, Damaris; Bracegridle, Thomas J.; Cheung, William; Clark, Melody S.; Convey, Peter; Danis, Bruno; David, Bruno; De Broyer, Claude; di Prisco, Guido; Griffiths, Huw; Laffont, Remi; Peck, Lloyd S.; Pierrat, Benjamin; Riddle, Martin J.; Saucede, Thomas; Turner, John; Verde, Cinzia; Wang, Zhaomin; Grimm, Volker</t>
  </si>
  <si>
    <t>Correlative and dynamic species distribution modelling for ecological predictions in the Antarctic: a cross-disciplinary concept</t>
  </si>
  <si>
    <t>Environmental change; integrative modelling framework; spatially and temporally explicit modelling macroecology; biodiversity; habitat suitability models</t>
  </si>
  <si>
    <t>CLIMATE-CHANGE; HEAT-SHOCK; ENVIRONMENTAL PHYSIOLOGY; GLOBAL BIODIVERSITY; VASCULAR PLANTS; VICTORIA LAND; IMPACTS; DIVERSITY; COLD; COMMUNITIES</t>
  </si>
  <si>
    <t>Developments of future scenarios of Antarctic ecosystems are still in their infancy, whilst predictions of the physical environment are recognized as being of global relevance and corresponding models are under continuous development. However, in the context of environmental change simulations of the future of the Antarctic biosphere are increasingly demanded by decision makers and the public, and are of fundamental scientific interest. This paper briefly reviews existing predictive models applied to Antarctic ecosystems before providing a conceptual framework for the further development of spatially and temporally explicit ecosystem models. The concept suggests how to improve approaches to relating species' habitat description to the physical environment, for which a case study on sea urchins is presented. In addition, the concept integrates existing and new ideas to consider dynamic components, particularly information on the natural history of key species, from physiological experiments and biomolecular analyses. Thereby, we identify and critically discuss gaps in knowledge and methodological limitations. These refer to process understanding of biological complexity, the need for high spatial resolution oceanographic data from the entire water column, and the use of data from biomolecular analyses in support of such ecological approaches. Our goal is to motivate the research community to contribute data and knowledge to a holistic, Antarctic-specific, macroecological framework. Such a framework will facilitate the integration of theoretical and empirical work in Antarctica, improving our mechanistic understanding of this globally influential ecoregion, and supporting actions to secure this biodiversity hotspot and its ecosystem services.</t>
  </si>
  <si>
    <t>[Gutt, Julian] Alfred Wegener Inst Polar &amp; Marine Res, Dept Benthopelag Proc, DE-27568 Bremerhaven, Germany; [Zurell, Damaris] Univ Potsdam, Inst Earth &amp; Environm Sci, DE-14476 Potsdam, Germany; [Bracegridle, Thomas J.; Clark, Melody S.; Convey, Peter; Griffiths, Huw; Peck, Lloyd S.; Turner, John; Wang, Zhaomin] British Antarctic Survey, Cambridge CB3 0ET, England; [Cheung, William] Univ British Columbia, Fisheries Ctr, Vancouver, BC V5Z 1M9, Canada; [Danis, Bruno] Royal Belgian Inst Nat Sci, Dept Antarctic Biodivers Informat Facil, BE-1000 Brussels, Belgium; [David, Bruno; Laffont, Remi; Pierrat, Benjamin; Saucede, Thomas] Univ Bourgogne, Lab 6282, Ctr Natl Rech Sci, FR-21000 Dijon, France; [di Prisco, Guido; Verde, Cinzia] CNR, Inst Prot Biochem, IT-80131 Naples, Italy; [Riddle, Martin J.] Australian Antarctic Div, Kingston, Tas 7050, Australia; [Grimm, Volker] UFZ Helmholtz Ctr Environm Res, Dept Ecol Modelling, DE-04318 Leipzig, Germany; [De Broyer, Claude] Royal Belgian Inst Nat Sci, Dept Invertebrates, BE-1000 Brussels, Belgium</t>
  </si>
  <si>
    <t>Helmholtz Association; Alfred Wegener Institute, Helmholtz Centre for Polar &amp; Marine Research; University of Potsdam; UK Research &amp; Innovation (UKRI); Natural Environment Research Council (NERC); NERC British Antarctic Survey; University of British Columbia; Royal Belgian Institute of Natural Sciences; Universite de Bourgogne; Centre National de la Recherche Scientifique (CNRS); Consiglio Nazionale delle Ricerche (CNR); Istituto di Biochimica delle Proteine (IBP-CNR); Australian Antarctic Division; Helmholtz Association; Helmholtz Center for Environmental Research (UFZ); Royal Belgian Institute of Natural Sciences</t>
  </si>
  <si>
    <t>Gutt, J (corresponding author), Alfred Wegener Inst Polar &amp; Marine Res, Dept Benthopelag Proc, Columbusstr, DE-27568 Bremerhaven, Germany.</t>
  </si>
  <si>
    <t>julian.gutt@awi.de</t>
  </si>
  <si>
    <t>Zurell, Damaris/E-2439-2012; Griffiths, Huw J/D-4234-2009; DAVID, Bruno/N-8798-2013; Convey, Peter/AAV-5728-2020; Danis, Bruno/AAS-8444-2021; , William/F-5104-2013; Clark, Melody/D-7371-2014</t>
  </si>
  <si>
    <t>Zurell, Damaris/0000-0002-4628-3558; Griffiths, Huw J/0000-0003-1764-223X; Convey, Peter/0000-0001-8497-9903; Danis, Bruno/0000-0002-9037-7623; Laffont, Remi/0009-0009-3567-2214; VERDE, Cinzia/0000-0001-6185-282X; Gutt, Julian/0000-0003-3773-9370; , William/0000-0003-3626-1045; Turner, John/0000-0002-6111-5122; Clark, Melody/0000-0002-3442-3824; Bracegirdle, Thomas/0000-0002-8868-4739</t>
  </si>
  <si>
    <t>NERC [bas0100025, bas0100026, bas0100023] Funding Source: UKRI; Natural Environment Research Council [bas0100025, bas0100023, bas0100026] Funding Source: researchfish</t>
  </si>
  <si>
    <t>NORWEGIAN POLAR INST</t>
  </si>
  <si>
    <t>TROMSO</t>
  </si>
  <si>
    <t>POLAR ENVIRONMENTAL CENTRE, HJALMAR JOHANSENSGATE 14, TROMSO, FRAMSENTERET, NORWAY</t>
  </si>
  <si>
    <t>10.3402/polar.v31i0.11091</t>
  </si>
  <si>
    <t>941VY</t>
  </si>
  <si>
    <t>gold, Green Published, Green Accepted</t>
  </si>
  <si>
    <t>WOS:000303996200001</t>
  </si>
  <si>
    <t>Lei, RB; Zhang, ZH; Matero, I; Cheng, B; Li, Q; Huang, WF</t>
  </si>
  <si>
    <t>Lei, Ruibo; Zhang, Zhanhai; Matero, Ilkka; Cheng, Bin; Li, Qun; Huang, Wenfeng</t>
  </si>
  <si>
    <t>Reflection and transmission of irradiance by snow and sea ice in the central Arctic Ocean in summer 2010</t>
  </si>
  <si>
    <t>Sea ice; snow; solar irradiance; reflection; transmission; Arctic</t>
  </si>
  <si>
    <t>Reflection and transmission of irradiance by the combined snow and sea ice layer were measured at an ice camp (ca. 10 days) and several short-term stations (ca. 2 h) established in the western sector of the Arctic Ocean above 80 degrees N during the 2010 summer. These measurements were made with an intention to quantify the apparent optical properties of snow and sea ice, and to evaluate their roles in the mass balance of snow-covered sea ice in the High Arctic. The integrated 350-920 nm albedo ranged from 0.54 to 0.88, and was primarily dependent on the geophysical properties of snow, but not those of sea ice. This implies that all snow cover was still optically thick, even though snow melting had commenced at all measurement sites. For sea ice about 1.66 m thick and covered by 2.5-8.5 cm of snow at the ice camp, the integrated 350-920 nm transmittance ranged from 0.017 to 0.065. Rapid snow melting resulting from an event of slight drizzle doubled the available solar irradiance under the ice (from ca. 3.6 to 7.2 Wm(-2)), which further accelerated ice-bottom decay. During the measurement at the camp, the temporally averaged incident solar irradiance at 320-950 nm was 110.6 +/- 33.6 Wm(-2), 29.2 +/- 2.9% of which was absorbed by snow and sea ice and utilized to melt snow and sea ice. The melting of snow and sea ice had a distinctly greater effect on the spectral reflection and transmission for the near-infrared spectrum than for the ultraviolet and visible spectra.</t>
  </si>
  <si>
    <t>[Lei, Ruibo; Zhang, Zhanhai; Li, Qun] Polar Res Inst China, Polar Oceanog Div, 451 Jinqiao Rd, Shanghai 200136, Peoples R China; [Lei, Ruibo] Tongji Univ, State Key Lab Marine Geol, 1239 Siping Rd, Shanghai 200092, Peoples R China; [Matero, Ilkka] Univ Helsinki, Dept Phys, POB 48, FI-00014 Helsinki, Finland; [Cheng, Bin] Finnish Meteorol Inst, Marine Dept, POB 503, FI-00101 Helsinki, Finland; [Huang, Wenfeng] Dalian Univ Technol, State Key Lab Coastal &amp; Offshore Engn, 2 Linggong Rd, Dalian 116024, Peoples R China</t>
  </si>
  <si>
    <t>Polar Research Institute of China; Tongji University; University of Helsinki; Finnish Meteorological Institute; Dalian University of Technology</t>
  </si>
  <si>
    <t>Lei, RB (corresponding author), Polar Res Inst China, Polar Oceanog Div, 451 Jinqiao Rd, Shanghai 200136, Peoples R China.</t>
  </si>
  <si>
    <t>leiruibo@pric.gov.cn</t>
  </si>
  <si>
    <t>Matero, Ilkka/0000-0002-2333-9010</t>
  </si>
  <si>
    <t>National Natural Science Foundation of China [40930848, 41106160]; Shanghai Postdoctoral Sustentation Fund [11R21421800]; Norwegian Research Council [193592/S30]; Chinese Arctic and Antarctic Administration [IC2010007]; Academy of Finland [122412]; Academy of Finland (AKA) [122412] Funding Source: Academy of Finland (AKA)</t>
  </si>
  <si>
    <t>National Natural Science Foundation of China(National Natural Science Foundation of China (NSFC)); Shanghai Postdoctoral Sustentation Fund; Norwegian Research Council(Research Council of Norway); Chinese Arctic and Antarctic Administration; Academy of Finland(Research Council of Finland); Academy of Finland (AKA)(Research Council of Finland)</t>
  </si>
  <si>
    <t>This work was financially supported by the National Natural Science Foundation of China (grant nos. 40930848 and 41106160), the Shanghai Postdoctoral Sustentation Fund (grant no. 11R21421800), the Norwegian Research Council through support to the Advancing Modeling and Observing Solar Radiation of Arctic Sea Ice project (grant no. 193592/S30), the Chinese Arctic and Antarctic Administration (grant no. IC2010007) and the Academy of Finland (grant no. 122412). We thank Dr Marcel Nicolaus for his suggestions on developing the platform for spectral optical measurements. Two anonymous reviewers are thanked for their comments, which considerably improved this work.</t>
  </si>
  <si>
    <t>10.3402/polar.v31i0.17325</t>
  </si>
  <si>
    <t>VC0AJ</t>
  </si>
  <si>
    <t>WOS:000425500100001</t>
  </si>
  <si>
    <t>Tejedo, P; Pertierra, LR; Benayas, J; Convey, P; Justel, A; Quesada, A</t>
  </si>
  <si>
    <t>Tejedo, Pablo; Pertierra, Luis R.; Benayas, Javier; Convey, Peter; Justel, Ana; Quesada, Antonio</t>
  </si>
  <si>
    <t>Trampling on maritime Antarctica: can soil ecosystems be effectively protected through existing codes of conduct?</t>
  </si>
  <si>
    <t>Trampling impacts; environmental monitoring; low impact practices; soil resilience; soil penetration resistance; collembolan abundance</t>
  </si>
  <si>
    <t>TERRESTRIAL ARTHROPOD FAUNA; SOUTH SHETLAND ISLANDS; LIVINGSTON-ISLAND; BYERS-PENINSULA; IMPACTS; COLLEMBOLA</t>
  </si>
  <si>
    <t>Soil trampling is one of the most obvious direct negative human impacts in Antarctica. Through a range of experiments and field studies based on quantitative physical (soil penetration resistance) and biological (collembolan abundance) indicators, we evaluate the current codes of conduct relating to the protection of Antarctic soils from the consequences of pedestrian impacts. These guidelines include using, where available, established paths that cross vegetation-free soils. However, the effectiveness of this strategy is highly dependent on context. Limited intensity use-below 100 foot passes per year-produces small changes at the soil surface that can recover relatively rapidly, suggesting that the dispersal of activity across wider corridors may be the most appropriate option. However, for paths with a higher use level and those located in steep-sloped sites, it is desirable to define a single track, following stony or bouldery surfaces wherever possible, to keep the disturbed area to a minimum. It is clear that both environmental conditions and expected use levels must be taken into account in determining when and where it is more appropriate to concentrate or disperse human activities. Even though they may have performed satisfactorily to date, the increasing pressure in terms of numbers of visits for certain sites may make it necessary to revise existing codes of conduct.</t>
  </si>
  <si>
    <t>[Tejedo, Pablo; Pertierra, Luis R.; Benayas, Javier] Univ Autonoma Madrid, Dept Ecol, Fac Sci, ES-28049 Madrid, Spain; [Convey, Peter] British Antarctic Survey, Nat Environm Res Council, Cambridge CB3 0ET, England; [Justel, Ana] Univ Autonoma Madrid, Dept Math, Fac Sci, ES-28049 Madrid, Spain; [Quesada, Antonio] Univ Autonoma Madrid, Dept Biol, Fac Sci, ES-28049 Madrid, Spain</t>
  </si>
  <si>
    <t>Autonomous University of Madrid; UK Research &amp; Innovation (UKRI); Natural Environment Research Council (NERC); NERC British Antarctic Survey; Autonomous University of Madrid; Autonomous University of Madrid</t>
  </si>
  <si>
    <t>Tejedo, P (corresponding author), Univ Autonoma Madrid, Dept Ecol, Fac Sci, C Darwin 2, ES-28049 Madrid, Spain.</t>
  </si>
  <si>
    <t>pablo.tejedo@uam.es</t>
  </si>
  <si>
    <t>Convey, Peter/AAV-5728-2020; Justel, Ana/A-3955-2010; Pertierra, Luis R./K-3727-2017; Benayas Del Alamo, Fco. Javier/E-5663-2017; Quesada, Antonio/L-2430-2013; Tejedo, Pablo/A-7163-2010</t>
  </si>
  <si>
    <t>Convey, Peter/0000-0001-8497-9903; Justel, Ana/0000-0003-3335-0579; Pertierra, Luis R./0000-0002-2232-428X; Benayas Del Alamo, Fco. Javier/0000-0002-5906-9569; Quesada, Antonio/0000-0002-8913-5993; Tejedo, Pablo/0000-0002-1865-0445</t>
  </si>
  <si>
    <t>Spanish Government [REN2000-0435-ANT, REN2002-11617-E, CGL2004-20451-E, CGL2005/06549/02/01-ANT, POL2006-06635, CGL2007-28761-E/ANT, CTM2009-06604-E]; NERC [bas0100025] Funding Source: UKRI; Natural Environment Research Council [bas0100025] Funding Source: researchfish</t>
  </si>
  <si>
    <t>Spanish Government(Spanish Government); NERC(UK Research &amp; Innovation (UKRI)Natural Environment Research Council (NERC)); Natural Environment Research Council(UK Research &amp; Innovation (UKRI)Natural Environment Research Council (NERC))</t>
  </si>
  <si>
    <t>This article is a contribution to several research programmes: Limnopolar Project; Monitoring System for Human Activity on Deception Island; SCAR's Evolution and Biodiversity in Antarctica; and the British Antarctic Survey's Polar Science for Planet Earth. Field work and experiments were supported by the Spanish Government (grant nos. REN2000-0435-ANT, REN2002-11617-E, CGL2004-20451-E, CGL2005/06549/02/01-ANT, POL2006-06635, CGL2007-28761-E/ANT and CTM2009-06604-E). Logistical support was provided by the Marine Technology Unit of the Spanish National Research Council and the Spanish Navy. We thank especially the Limnopolar team that collected, during different expeditions, many of the data presented in this article, and in particular C. Rochera and Drs. Velazquez and Camacho. Dr Maria Jose Lucianez and her team checked the identification of collembolan species. The authors would also like to thank two anonymous reviewers for their helpful comments and suggestions.</t>
  </si>
  <si>
    <t>10.3402/polar.v31i0.10888</t>
  </si>
  <si>
    <t>062FT</t>
  </si>
  <si>
    <t>WOS:000312905400001</t>
  </si>
  <si>
    <t>Tropeano, M; Coria, S; Turjanski, A; Cicero, D; Bercovich, A; Mac Cormack, W; Vázquez, S</t>
  </si>
  <si>
    <t>Tropeano, Mauro; Coria, Silvia; Turjanski, Adrian; Cicero, Daniel; Bercovich, Andres; Mac Cormack, Walter; Vazquez, Susana</t>
  </si>
  <si>
    <t>Culturable heterotrophic bacteria from Potter Cove, Antarctica, and their hydrolytic enzymes production</t>
  </si>
  <si>
    <t>Microbial enzymes; Antarctic bacteria; marine bacteria; cold enzymes; psychrophiles</t>
  </si>
  <si>
    <t>EXTRACELLULAR PROTEASES; BIZIONIA-ARGENTINENSIS; MICROBIAL COMMUNITIES; SEA-ICE; SP-NOV; DIVERSITY; CLONING; GENES; BIOAUGMENTATION; STRAINS</t>
  </si>
  <si>
    <t>Affiliations of the dominant culturable bacteria isolated from Potter Cove, South Shetland Islands, Antarctica, were investigated together with their production of cold-active hydrolytic enzymes. A total of 189 aerobic heterotrophic bacterial isolates were obtained at 4 degrees C and sorted into 63 phylotypes based on their amplified ribosomal DNA restriction analysis profiles. The sequencing of the 16S rRNA genes of representatives from each phylotype showed that the isolates belong to the phyla Proteobacteria (classes Alpha- and Gamma-proteobacteria), Bacteroidetes (class Flavobacteria), Actinobacteria (class Actinobacteria) and Firmicutes (class Bacilli). The predominant culturable group in the site studied belongs to the class Gammaproteobacteria, with 65 isolates affiliated to the genus Pseudoalteromonas and 58 to Psychrobacter. Among the 189 isolates screened, producers of amylases (9.5%), pectinases (22.8%), cellulases (14.8%), CM-cellulases (25.4%), xylanases (20.1%) and proteases (44.4%) were detected. More than 25% of the isolates produced at least one extracellular enzyme, with some of them producing up to six of the tested extracellular enzymatic activities. These results suggest that a high culturable bacterial diversity is present in Potter Cove and that this place represents a promising source of biomolecules.</t>
  </si>
  <si>
    <t>[Mac Cormack, Walter; Vazquez, Susana] Univ Buenos Aires, Lab Ind Microbiol &amp; Biotechnol, Sch Pharm &amp; Biochem, RA-1113 Buenos Aires, DF, Argentina; [Tropeano, Mauro; Bercovich, Andres] Biosidus SA, RA-1232 Buenos Aires, DF, Argentina; [Coria, Silvia; Mac Cormack, Walter] Argentine Antarctic Inst, RA-1026 Buenos Aires, DF, Argentina; [Turjanski, Adrian] Univ Buenos Aires, Dept Inorgan Analyt &amp; Phys Chem, Inst Mat Environm &amp; Energy Chem &amp; Phys, Sch Exact &amp; Nat Sci, RA-1428 Buenos Aires, DF, Argentina; [Turjanski, Adrian] Univ Buenos Aires, Dept Biol Chem, Sch Exact &amp; Nat Sci, RA-1428 Buenos Aires, DF, Argentina; [Cicero, Daniel] Leloir Inst Fdn, RA-1405 Buenos Aires, DF, Argentina; [Cicero, Daniel] Univ Roma Tor Vergata, Dept Chem Sci &amp; Technol, IT-00133 Rome, Italy; [Vazquez, Susana] Natl Sci &amp; Tech Res Council, RA-1033 Buenos Aires, DF, Argentina</t>
  </si>
  <si>
    <t>University of Buenos Aires; University of Buenos Aires; University of Buenos Aires; Leloir Institute; University of Rome Tor Vergata</t>
  </si>
  <si>
    <t>Vázquez, S (corresponding author), Univ Buenos Aires, Lab Ind Microbiol &amp; Biotechnol, Sch Pharm &amp; Biochem, Junin 956, RA-1113 Buenos Aires, DF, Argentina.</t>
  </si>
  <si>
    <t>svazquez@ffyb.uba.ar</t>
  </si>
  <si>
    <t>Cicero, Daniel/AAV-5203-2021</t>
  </si>
  <si>
    <t>Turjanski, Adrian/0000-0003-2190-137X; Mac Cormack, Walter/0000-0002-5280-5463</t>
  </si>
  <si>
    <t>University of Buenos Aires [UBACyT 001]; Argentina's National Agency for Promotion of Science and Technology [35778]</t>
  </si>
  <si>
    <t>University of Buenos Aires(University of Buenos Aires); Argentina's National Agency for Promotion of Science and Technology(ANPCyT)</t>
  </si>
  <si>
    <t>The authors thank Carlini (Jubany) station crew for logistic support during sampling and bacterial isolation. This project was carried out within the framework of the Genoma Blanco project, carried out by the Direccion Nacional del Antartico and Biosidus S.A., and was also supported in part by UBACyT 001 and PICTO no. 35778 grants from University of Buenos Aires and Argentina's National Agency for Promotion of Science and Technology, respectively.</t>
  </si>
  <si>
    <t>10.3402/polar.v31i0.18507</t>
  </si>
  <si>
    <t>062PO</t>
  </si>
  <si>
    <t>WOS:000312932000001</t>
  </si>
  <si>
    <t>Fernández-Alvarez, FA; Anadón, N</t>
  </si>
  <si>
    <t>Angel Fernandez-Alvarez, Fernando; Anadon, Nuria</t>
  </si>
  <si>
    <t>Oligodendrorhynchus hesperides gen et sp n. (Heteronemertea) from the Bellingshausen Sea</t>
  </si>
  <si>
    <t>POLISH POLAR RESEARCH</t>
  </si>
  <si>
    <t>Antarctic; Nemertea; branched proboscis; Oligodendrorhynchus</t>
  </si>
  <si>
    <t>MULTI-BRANCHED PROBOSCIS; SP-NOV; NEMERTEANS; NEMERTINI; PHYLOGENY; ANATOMY; COAST</t>
  </si>
  <si>
    <t>A new genus and species of heteronemertean from the Antarctic (Bellingshausen Sea), Oligodendrorhynchus hesperides, is described and illustrated. Some morphological features with major systematic significance are following: the mode of branching of the proboscis and its low number of terminal branches; the lack of horizontal lateral cephalic slits but in their place a pair of shallow epidermal depressions; a gelatinous amorphous connective stratum between the outer longitudinal and circular muscle layers; the presence of a rhynchocoelic nerve; isolated fibres of the rhynchocoel circular muscle layer interwoven with bundles of the adjacent body-wall inner longitudinal muscle fibres in the intestinal region. Other anatomical characters which can also be used to distinguish the new taxon from existing heteronemertean species that have a branched proboscis are also discussed.</t>
  </si>
  <si>
    <t>[Angel Fernandez-Alvarez, Fernando; Anadon, Nuria] Univ Oviedo, Dept Biol Organismos &amp; Sistemas Zool, E-33071 Oviedo, Asturias, Spain</t>
  </si>
  <si>
    <t>University of Oviedo</t>
  </si>
  <si>
    <t>Anadón, N (corresponding author), Univ Oviedo, Dept Biol Organismos &amp; Sistemas Zool, C Catedrat Rodrigo Uria S-N, E-33071 Oviedo, Asturias, Spain.</t>
  </si>
  <si>
    <t>f.a.fernandez.alvarez@gmail.com; nanadon@uniovi.es</t>
  </si>
  <si>
    <t>Fernández-Álvarez, Fernando Ángel/B-6196-2014</t>
  </si>
  <si>
    <t>Fernández-Álvarez, Fernando Ángel/0000-0002-8679-7377; Anadon-Alvarez, Maria Nuria/0000-0002-9928-0115</t>
  </si>
  <si>
    <t>Spanish Government [REN2001-1074/ANT]; Spanish Ministry of Education and Science</t>
  </si>
  <si>
    <t>Spanish Government(Spanish Government); Spanish Ministry of Education and Science(Spanish Government)</t>
  </si>
  <si>
    <t>The Bentar-03 cruise was supported by the Antarctic Programme REN2001-1074/ANT of the Spanish Government. We are grateful to Dr. Ana Ramos, the leader of Bentart's projects and to our colleagues from Bentart cruise 2003. Thanks are due to the crew and UTM technicians of RV Hesperides as well as to Dr. Jon Norenburg and three anonymous reviewers for helpful comments and suggestions which substantially improved the manuscript. The work of senior author was funded by a Spanish Ministry of Education and Science fellowship. The junior author would like to thank C. Lastra for assistance and linguistic review of the text of the earlier draft of the manuscript and to Antonio Callejas for a second grammatical and linguistic review of the manuscript. Javier Cristobo of the Spanish Oceanographic Institute has provided the map in Fig. 1c.</t>
  </si>
  <si>
    <t>POLISH ACAD SCIENCES</t>
  </si>
  <si>
    <t>WARSZAWA</t>
  </si>
  <si>
    <t>PL DEFILAD 1, WARSZAWA, 00000, POLAND</t>
  </si>
  <si>
    <t>0138-0338</t>
  </si>
  <si>
    <t>2081-8262</t>
  </si>
  <si>
    <t>POL POLAR RES</t>
  </si>
  <si>
    <t>Pol. Polar. Res.</t>
  </si>
  <si>
    <t>10.2478/v10183-012-0006-3</t>
  </si>
  <si>
    <t>922BI</t>
  </si>
  <si>
    <t>WOS:000302521400006</t>
  </si>
  <si>
    <t>Long, B; Li, XY</t>
  </si>
  <si>
    <t>Long Bin; Li Xueyan</t>
  </si>
  <si>
    <t>The Application of LAMS in Learning Design</t>
  </si>
  <si>
    <t>PROCEEDINGS OF 2012 7TH INTERNATIONAL CONFERENCE ON COMPUTER SCIENCE &amp; EDUCATION, VOLS I-VI</t>
  </si>
  <si>
    <t>International Conference on Computer Science &amp; Education</t>
  </si>
  <si>
    <t>7th International Conference on Computer Science and Education</t>
  </si>
  <si>
    <t>JUL 14-17, 2012</t>
  </si>
  <si>
    <t>Melbourne, AUSTRALIA</t>
  </si>
  <si>
    <t>learning design; Lams; student-centered learning</t>
  </si>
  <si>
    <t>Some researchers on effective pedagogy reveal that teacher directed type of learning design should be transformed into student centered type in that the latter will help improve student's intellectual quality in class and develop their abilities of solving the problems in real life. Teachers' integrating E-learning technologies into learning design definitely facilitates this engagement in class. The application of LAMS in learning design mentioned in this paper is for high school students to deal with the knowledge about Antarctic. By analyzing the strengths and weaknesses of this learning design, we create a new sequence of activities from an existing template. Sometimes.people first experience success from the practice and then form some very good beliefs. Thus, after the abstraction and modification, this sequence can be used for some other topics. With the constant upgrade, LAMS is surely going to bring about revolutionary changes in learning design.</t>
  </si>
  <si>
    <t>[Long Bin] Zhejiang A&amp;F Univ, Tianmu Coll, Linan, Peoples R China; [Li Xueyan] Changchun Univ Technol, Sch Foreign Language, Changchun, Peoples R China</t>
  </si>
  <si>
    <t>Zhejiang A&amp;F University; Changchun University of Technology</t>
  </si>
  <si>
    <t>Long, B (corresponding author), Zhejiang A&amp;F Univ, Tianmu Coll, Linan, Peoples R China.</t>
  </si>
  <si>
    <t>pennylonda@hotmail.com; 630707172@qq.com</t>
  </si>
  <si>
    <t>2471-6146</t>
  </si>
  <si>
    <t>978-1-4673-0239-5</t>
  </si>
  <si>
    <t>INT CONF COMP SCI ED</t>
  </si>
  <si>
    <t>Computer Science, Theory &amp; Methods; Education, Scientific Disciplines</t>
  </si>
  <si>
    <t>Computer Science; Education &amp; Educational Research</t>
  </si>
  <si>
    <t>BH2EC</t>
  </si>
  <si>
    <t>WOS:000398865900424</t>
  </si>
  <si>
    <t>Wong, KFV; Hutley, T; Salgado, E</t>
  </si>
  <si>
    <t>ASME</t>
  </si>
  <si>
    <t>Wong, Kau-Fui V.; Hutley, Thomas; Salgado, Emma</t>
  </si>
  <si>
    <t>OFFSHORE WIND POWER AND ITS POTENTIAL FOR DEVELOPMENT IN THE WEST WIND DRIFT</t>
  </si>
  <si>
    <t>PROCEEDINGS OF THE ASME INTERNATIONAL MECHANICAL ENGINEERING CONGRESS AND EXPOSITION - 2010, VOL 5, PTS A AND B</t>
  </si>
  <si>
    <t>ASME International Mechanical Engineering Congress and Exposition (IMECE)</t>
  </si>
  <si>
    <t>NOV 12-18, 2010</t>
  </si>
  <si>
    <t>Vancouver, CANADA</t>
  </si>
  <si>
    <t>Offshore wind power is an emerging technology capable of providing coastal cities, states, and countries with a substantial portion of their energy needs. The vast potential of offshore wind power has not been fully explored. This work endeavors to perform a review of the literature on offshore wind power. Structural, economic, and environmental aspects are discussed keeping in mind the current status of offshore wind power development around the world. Offshore wind power is a relatively new technology being used by countries such as Denmark, the United Kingdom, the United States, Germany, and China to provide larger and larger portions of their total energy needs. In 1991 Denmark opened its first commercial offshore wind farm in Vindeby producing a mere 4.95 MW of power. More ambitious projects followed and in 2001 the Middelgrunden, Copenhagen wind farm opened producing 40 MW of power. Then in 2000 the Horns Rev wind farm was put online producing 160 MW of power. The United Kingdom has many offshore wind power projects as well. The Blyth Offshore was opened in 2000 and produces 3.8 MW of power and several others in the United Kingdom produce anywhere from 10 to 90 MW of power. By 2007 end, Denmark had 402 MW and the UK had 395 MW, Ireland, Sweden and the Netherlands had varying amounts. Countries such as China and Germany are also leaders in the development of offshore wind power. In the United States, commercial offshore wind projects had a late start. The first operational offshore wind farms opened in 2007. However, the United States does not lag behind in wind power. In 2008 the United States produced more megawatt of wind power than any other country, making them the leader of wind power production. Offshore wind, however, only constitutes a tiny portion of the total wind power production of the United States. Recent advancements in the technology associated with wind power as a renewable energy source have made it a feasible form of climate change mitigation. Recent development has led countries such as Denmark, Portugal, and Spain to devote as much as 19% of their total energy production to wind power as of 2008, and is encouraging many other developed countries to do the same. This paper performs a review of the status of offshore wind projects internationally. It considers specifically the potential of the West Wind Drift near the southernmost tip of South America and the Antarctic Peninsula as a geographically and meteorologically advantageous location for the implementation of these wind technologies. Many of the more general problems associated with the use of wind turbines are eliminated by location alone. The winds that cause the Antarctic Circumpolar Currents (ACC) have a consistent west to east pattern and are some of the strongest winds on Earth, both ideal qualities when considering the possibility of wind power, and the wind in this area has very low intermittency. The average wind speed between 40 S and 60 S is 15 to 24 knots with strongest winds typically between 45 S and 55 S. Cape Horn is about 56 S [1]. Historically, the ACC has been called the 'West Wind Drift' because the prevailing westerly wind and current are both eastward. Owing to the remoteness of the Cape Horn area and Antarctica, many of the social matters associated with the development of wind farms are eliminated. Obvious factors must be considered when developing in such an area. The paper will cover the engineering requirements of turbines functioning in subzero temperatures consistently as well as the long distance transmission associated with development in this area and its economic feasibility. It will also cover the environmental and regulatory issues associated with the development in such an area.</t>
  </si>
  <si>
    <t>[Wong, Kau-Fui V.; Hutley, Thomas; Salgado, Emma] Univ Miami, Dept Mech &amp; Aerosp Engn, Coral Gables, FL 33124 USA</t>
  </si>
  <si>
    <t>University of Miami</t>
  </si>
  <si>
    <t>Wong, KFV (corresponding author), Univ Miami, Dept Mech &amp; Aerosp Engn, Coral Gables, FL 33124 USA.</t>
  </si>
  <si>
    <t>AMER SOC MECHANICAL ENGINEERS</t>
  </si>
  <si>
    <t>THREE PARK AVENUE, NEW YORK, NY 10016-5990 USA</t>
  </si>
  <si>
    <t>978-0-7918-4429-8</t>
  </si>
  <si>
    <t>Energy &amp; Fuels; Engineering, Mechanical</t>
  </si>
  <si>
    <t>Energy &amp; Fuels; Engineering</t>
  </si>
  <si>
    <t>BFN51</t>
  </si>
  <si>
    <t>WOS:000320625800129</t>
  </si>
  <si>
    <t>Sims, G; Ashley, MCB; Cui, XQ; Everett, JR; Feng, LL; Gong, XF; Hengst, S; Hu, ZW; Kulesa, C; Lawrence, JS; Luong-Van, DM; Ricaud, P; Shang, ZH; Storey, JWV; Wang, LF; Yang, HG; Yang, J; Zhou, X; Zhu, ZX</t>
  </si>
  <si>
    <t>Sims, Geoff; Ashley, Michael C. B.; Cui, Xiangqun; Everett, Jon R.; Feng, LongLong; Gong, Xuefei; Hengst, Shane; Hu, Zhongwen; Kulesa, Craig; Lawrence, Jon S.; Luong-Van, Daniel M.; Ricaud, Philippe; Shang, Zhaohui; Storey, John W. V.; Wang, Lifan; Yang, Huigen; Yang, Ji; Zhou, Xu; Zhu, Zhenxi</t>
  </si>
  <si>
    <t>Precipitable Water Vapor above Dome A, Antarctica, Determined from Diffuse Optical Sky Spectra</t>
  </si>
  <si>
    <t>PUBLICATIONS OF THE ASTRONOMICAL SOCIETY OF THE PACIFIC</t>
  </si>
  <si>
    <t>MU-M; MEDIUM-RESOLUTION; GPS METEOROLOGY; COOL STARS; SOLAR; BAND; IRRADIANCE; ABUNDANCE; PLATEAU; STATION</t>
  </si>
  <si>
    <t>The high altitudes and extremely low temperatures of the Antarctic plateau result in an exceedingly low atmospheric water vapor content. In this article we estimate the precipitable water vapor at Dome A using optical spectra of the diffuse solar irradiance in the zenith direction. The spectra were obtained from the Nigel spectrometer at Dome A during 2009. We find that the Nigel spectra contain sufficient information to extract daily average water vapor estimates, which agree with satellite observations to within +/- 0.22 mm. Finally, we use these water vapor estimates to model the optical and near-IR transmission (between 700 nm and 2.5 mu m) of Dome A to demonstrate significant advantages gained in this wavelength range and compare it with that of Paranal and Chajnantor, two midlatitude observatories.</t>
  </si>
  <si>
    <t>[Sims, Geoff; Ashley, Michael C. B.; Everett, Jon R.; Hengst, Shane; Luong-Van, Daniel M.; Storey, John W. V.] Univ New S Wales, Sch Phys, Sydney, NSW 2052, Australia; [Cui, Xiangqun; Gong, Xuefei; Hu, Zhongwen] Nanjing Inst Astron Opt &amp; Technol, Nanjing 210042, Jiangsu, Peoples R China; [Feng, LongLong; Wang, Lifan; Yang, Ji; Zhu, Zhenxi] Purple Mt Observ, Nanjing 210008, Jiangsu, Peoples R China; [Feng, LongLong; Gong, Xuefei; Hu, Zhongwen; Shang, Zhaohui; Wang, Lifan; Yang, Huigen; Zhou, Xu; Zhu, Zhenxi] Chinese Ctr Antarctic Astron, Xian, Peoples R China; [Kulesa, Craig] Univ Arizona, Dept Astron, Tucson, AZ 85721 USA; [Kulesa, Craig] Univ Arizona, Steward Observ, Tucson, AZ 85721 USA; [Lawrence, Jon S.] Macquarie Univ, Dept Phys &amp; Astron, Sydney, NSW 2109, Australia; [Lawrence, Jon S.] Australian Astron Observ, Sydney, NSW 1710, Australia; [Ricaud, Philippe] Univ Toulouse 3, Lab Aeol, Observ Midi Pyrenees, F-31062 Toulouse, France; [Shang, Zhaohui] Tianjin Normal Univ, Tianjin 300074, Peoples R China; [Wang, Lifan] Texas A&amp;M Univ, Dept Phys &amp; Astron, College Stn, TX 77843 USA; [Yang, Huigen] Polar Res Inst China, Shanghai 200136, Peoples R China; [Zhou, Xu] Chinese Acad Sci, Natl Astron Observ, Beijing 100012, Peoples R China</t>
  </si>
  <si>
    <t>University of New South Wales Sydney; Chinese Academy of Sciences; Nanjing Institute of Astronomical Optics &amp; Technology, NAOC, CAS; Purple Mountain Observatory, CAS; Chinese Academy of Sciences; Nanjing Institute of Astronomical Optics &amp; Technology, NAOC, CAS; University of Arizona; University of Arizona; Macquarie University; Universite de Toulouse; Universite Toulouse III - Paul Sabatier; Tianjin Normal University; Texas A&amp;M University System; Texas A&amp;M University College Station; Polar Research Institute of China; Chinese Academy of Sciences; National Astronomical Observatory, CAS</t>
  </si>
  <si>
    <t>Sims, G (corresponding author), Univ New S Wales, Sch Phys, Sydney, NSW 2052, Australia.</t>
  </si>
  <si>
    <t>g.sims@unsw.edu.au</t>
  </si>
  <si>
    <t>Ricaud, Philippe/AAC-2991-2020</t>
  </si>
  <si>
    <t>Lawrence, Jon/0000-0002-6998-6993; Ashley, Michael/0000-0003-1412-2028</t>
  </si>
  <si>
    <t>Chinese PANDA; Polar Research Institute of China; Australian Research Council; Australian Antarctic Division; Chinese Academy of Sciences; National Natural Science Foundation of China; US National Science Foundation; United States Antarctic Program</t>
  </si>
  <si>
    <t>Chinese PANDA; Polar Research Institute of China; Australian Research Council(Australian Research Council); Australian Antarctic Division; Chinese Academy of Sciences(Chinese Academy of Sciences); National Natural Science Foundation of China(National Natural Science Foundation of China (NSFC)); US National Science Foundation(National Science Foundation (NSF)); United States Antarctic Program</t>
  </si>
  <si>
    <t>This research is supported by the Chinese PANDA International Polar Year project and the Polar Research Institute of China. The authors wish to thank all the members of the 2008/2009/2010 Polar Research Institute of China Dome A expeditions for their heroic efforts in reaching the site and for providing invaluable assistance to the expedition astronomers in setting up PLATO and its associated instrument suite. This research is financially supported by the Australian Research Council, the Australian Antarctic Division, the Chinese Academy of Sciences, the National Natural Science Foundation of China, the US National Science Foundation, and the United States Antarctic Program. Additional financial contributions have been made by the institutions involved in this collaboration. We are grateful to Ferdinando Patat, Florian Kerber, and Kentaro Motohara for providing data files from their respective publications, which were used for a number of plots and tables in this article. We also thank Jeremy Bailey for helpful discussions.</t>
  </si>
  <si>
    <t>UNIV CHICAGO PRESS</t>
  </si>
  <si>
    <t>CHICAGO</t>
  </si>
  <si>
    <t>1427 E 60TH ST, CHICAGO, IL 60637-2954 USA</t>
  </si>
  <si>
    <t>0004-6280</t>
  </si>
  <si>
    <t>1538-3873</t>
  </si>
  <si>
    <t>PUBL ASTRON SOC PAC</t>
  </si>
  <si>
    <t>Publ. Astron. Soc. Pac.</t>
  </si>
  <si>
    <t>10.1086/664077</t>
  </si>
  <si>
    <t>888ZF</t>
  </si>
  <si>
    <t>WOS:000300042600008</t>
  </si>
  <si>
    <t>Varotsos, CA; Cracknell, AP; Tzanis, C</t>
  </si>
  <si>
    <t>Varotsos, Costas A.; Cracknell, Arthur P.; Tzanis, Chris</t>
  </si>
  <si>
    <t>The exceptional ozone depletion over the Arctic in January-March 2011</t>
  </si>
  <si>
    <t>REMOTE SENSING LETTERS</t>
  </si>
  <si>
    <t>STRATOSPHERIC OZONE; HOLE SPLIT; CIRCULATION; ANTARCTICA; SCOTLAND; WINTER</t>
  </si>
  <si>
    <t>The largest ozone losses ever recorded over the Arctic have been measured by an international network of over 30 ground-based stations and satellite-borne sensors during January-March 2011. We study whether this was an exceptional event or whether it is part of the evolution of an ozone hole in the Arctic. The main finding is that the 2010-2011 winter's record-breaking ozone loss was instigated by the extremely low stratospheric temperatures that are linked to climate change, that is, the coldest winters at the Arctic region have been getting colder leading to larger ozone losses there, which are progressively reaching the levels of the Antarctic ozone hole.</t>
  </si>
  <si>
    <t>[Varotsos, Costas A.; Tzanis, Chris] Univ Athens, Climate Res Grp, Div Environm Phys &amp; Meteorol, Fac Phys, Athens 15784, Greece; [Cracknell, Arthur P.] Univ Dundee, Div Elect Engn &amp; Phys, Dundee DD1 4HN, Scotland</t>
  </si>
  <si>
    <t>National &amp; Kapodistrian University of Athens; University of Dundee</t>
  </si>
  <si>
    <t>Varotsos, CA (corresponding author), Univ Athens, Climate Res Grp, Div Environm Phys &amp; Meteorol, Fac Phys, Athens 15784, Greece.</t>
  </si>
  <si>
    <t>covar@phys.uoa.gr</t>
  </si>
  <si>
    <t>Tzanis, Chris G./O-5578-2015; Varotsos, Costas/H-6257-2013</t>
  </si>
  <si>
    <t>Tzanis, Chris G./0000-0002-7345-2900; Varotsos, Costas/0000-0001-7215-3610</t>
  </si>
  <si>
    <t>4 PARK SQUARE, MILTON PARK, ABINGDON OX14 4RN, OXON, ENGLAND</t>
  </si>
  <si>
    <t>2150-704X</t>
  </si>
  <si>
    <t>REMOTE SENS LETT</t>
  </si>
  <si>
    <t>Remote Sens. Lett.</t>
  </si>
  <si>
    <t>10.1080/01431161.2011.597792</t>
  </si>
  <si>
    <t>Remote Sensing; Imaging Science &amp; Photographic Technology</t>
  </si>
  <si>
    <t>918KK</t>
  </si>
  <si>
    <t>WOS:000302248200008</t>
  </si>
  <si>
    <t>Mendonca, M; Romero, H</t>
  </si>
  <si>
    <t>Mendonca, Magaly; Romero, Hugo</t>
  </si>
  <si>
    <t>Cold waves, oscillation index and socio-environmental impacts of low frequency climate variability in South America</t>
  </si>
  <si>
    <t>REVISTA ACTA GEOGRAFICA</t>
  </si>
  <si>
    <t>Portuguese</t>
  </si>
  <si>
    <t>cold wave; south oscillation; Pacific decadal oscillation; oscillation Antarctic; North Atlantic oscillation</t>
  </si>
  <si>
    <t>INTERDECADAL VARIABILITY</t>
  </si>
  <si>
    <t>The extension and characteristics of cold waves that have affected the South American continent causing numerous life losses, economic damages and interruptions in energy and communications systems are presented. Climatic factors at macro scale level, which were acting together in those days are analyzed, including observed conditions of Southern Oscillation Index, associated to La Nina phenomena; the Pacifical Decadal Oscillation, that explains the predominance of sea surface cold waters, the Atlantic Oscillation Index and the Antarctic Oscillation or Southern Annular Mode, which strengths the anomalous presence of cold air masses on the continent. The spatial analyses based on geographical tracks of air masses support a geographical approach that requires a more integrated regional vision including different countries.</t>
  </si>
  <si>
    <t>[Mendonca, Magaly] Univ Fed Santa Catarina, Florianopolis, SC, Brazil; [Romero, Hugo] Univ Chile, Santiago, Chile</t>
  </si>
  <si>
    <t>Universidade Federal de Santa Catarina (UFSC); Universidad de Chile</t>
  </si>
  <si>
    <t>Mendonca, M (corresponding author), Univ Fed Santa Catarina, Florianopolis, SC, Brazil.</t>
  </si>
  <si>
    <t>magaly@cfh.ufsc.br; hromero@uchilefau.cl</t>
  </si>
  <si>
    <t>ROMERO BONILLA, HUGO/JDD-8290-2023</t>
  </si>
  <si>
    <t>ROMERO BONILLA, HUGO/0000-0002-7846-0512</t>
  </si>
  <si>
    <t>UNIV FEDERAL RORAIMA</t>
  </si>
  <si>
    <t>BOA VISTA</t>
  </si>
  <si>
    <t>CAMPUS DO PARICARANA, AVENIDA CAPITAO ENE GARCEZ 2413, BOA VISTA, RR 69304-000, BRAZIL</t>
  </si>
  <si>
    <t>1980-5772</t>
  </si>
  <si>
    <t>2177-4307</t>
  </si>
  <si>
    <t>REV ACTA GEOGR</t>
  </si>
  <si>
    <t>Rev. Acta Geogr.</t>
  </si>
  <si>
    <t>10.5654/actageo2012.0002.0012</t>
  </si>
  <si>
    <t>V0L7E</t>
  </si>
  <si>
    <t>WOS:000216342100014</t>
  </si>
  <si>
    <t>Dodds, K</t>
  </si>
  <si>
    <t>Dodds, Klaus</t>
  </si>
  <si>
    <t>THE FALKLAND ISLANDS AS A 'STRATEGIC GATEWAY' BRITAIN AND THE SOUTH ATLANTIC OVERSEAS TERITORIES</t>
  </si>
  <si>
    <t>RUSI JOURNAL</t>
  </si>
  <si>
    <t>The UK-Argentinian dispute regarding the sovereignty of the Falkland Islands has been central to public debate in this the 30th year since the Falklands War. Less well known, however, are the strategic challenges facing the UK in managing its Overseas Territories in the region, to which the Falklands are a 'strategic gateway'. Klaus Dodds surveys the rationales underpinning current UK policy regarding the South Atlantic and Antarctic Overseas Territories - sovereignty, security and stewardship - and addresses the implications for regional geopolitics of the recent saga involving the proposed merger of the British Antarctic Survey and National Oceanography Centre.</t>
  </si>
  <si>
    <t>[Dodds, Klaus] Royal Holloway Univ London, Geopolit, London, England</t>
  </si>
  <si>
    <t>University of London; Royal Holloway University London</t>
  </si>
  <si>
    <t>Dodds, K (corresponding author), Royal Holloway Univ London, Geopolit, London, England.</t>
  </si>
  <si>
    <t>ROUTLEDGE JOURNALS, TAYLOR &amp; FRANCIS LTD</t>
  </si>
  <si>
    <t>2-4 PARK SQUARE, MILTON PARK, ABINGDON OX14 4RN, OXON, ENGLAND</t>
  </si>
  <si>
    <t>0307-1847</t>
  </si>
  <si>
    <t>1744-0378</t>
  </si>
  <si>
    <t>RUSI J</t>
  </si>
  <si>
    <t>RUSI J.</t>
  </si>
  <si>
    <t>10.1080/03071847.2012.750882</t>
  </si>
  <si>
    <t>Political Science</t>
  </si>
  <si>
    <t>Government &amp; Law</t>
  </si>
  <si>
    <t>V3J1L</t>
  </si>
  <si>
    <t>WOS:000218303200004</t>
  </si>
  <si>
    <t>Ayres, P; Fox, A</t>
  </si>
  <si>
    <t>ASHRAE</t>
  </si>
  <si>
    <t>Ayres, Peter; Fox, Alan</t>
  </si>
  <si>
    <t>The Design of Halley VI Antarctic Research Station</t>
  </si>
  <si>
    <t>SEVENTH INTERNATIONAL COLD CLIMATE HVAC CONFERENCE</t>
  </si>
  <si>
    <t>7th International Cold Climate HVAC Conference</t>
  </si>
  <si>
    <t>NOV 12-14, 2012</t>
  </si>
  <si>
    <t>Calgary, CANADA</t>
  </si>
  <si>
    <t>[Ayres, Peter] AECOMs Bldg Engn Business Line, London, England; [Fox, Alan] AECOM Building Engineering, London, England</t>
  </si>
  <si>
    <t>Ayres, P (corresponding author), AECOMs Bldg Engn Business Line, London, England.</t>
  </si>
  <si>
    <t>AMER SOC HEATING, REFRIGERATING AND AIR-CONDITIONING ENGS</t>
  </si>
  <si>
    <t>ATLANTA</t>
  </si>
  <si>
    <t>1791 TULLIE CIRCLE NE, ATLANTA, GA 30329 USA</t>
  </si>
  <si>
    <t>Construction &amp; Building Technology; Engineering, Civil</t>
  </si>
  <si>
    <t>Construction &amp; Building Technology; Engineering</t>
  </si>
  <si>
    <t>BJO65</t>
  </si>
  <si>
    <t>WOS:000329390200057</t>
  </si>
  <si>
    <t>Kravchenko, VO; Yevtushevskyi, OM; Milinevskyi, HP</t>
  </si>
  <si>
    <t>Kravchenko, V. O.; Yevtushevskyi, O. M.; Milinevskyi, H. P.</t>
  </si>
  <si>
    <t>DISTANT TROPOSPHERE-STRATOSPHERE TELECONNECTIONS FROM 30-YEAR SATELLITE MEASUREMENTS OF THE ANTARCTIC OZONE</t>
  </si>
  <si>
    <t>SPACE SCIENCE AND TECHNOLOGY-KOSMICNA NAUKA I TEHNOLOGIA</t>
  </si>
  <si>
    <t>We analyzed a response of the Antarctic ozone to surface temperature variations in the Tropical Pacific during the existence of the ozone hole. The tropical Pacific region is characterized by a large variability in sea surface temperature which causes global impact on the atmospheric circulation. We studied the period from 1980 to 2010. Total ozone satellite measurements made in October were compared with the tropical temperature values for the 18 preceding months. We revealed the maximum of the coefficient of the correlation between the ozone concentration over the West Antarctica in October and the surface temperature in the Central Pacific (160-220 degrees E) in June, four months earlier (r = 0.7). Negative correlation over the East Antarctica was observed. Because of this, the zonal mean ozone data are less suitable for an estimation of the tropical thermal anomaly influence on the Antarctic stratosphere and for an analysis of the propagation pathways for the related disturbances.</t>
  </si>
  <si>
    <t>[Kravchenko, V. O.; Yevtushevskyi, O. M.; Milinevskyi, H. P.] Kiev Natl Univ, Kiev, Ukraine</t>
  </si>
  <si>
    <t>Ministry of Education &amp; Science of Ukraine; Taras Shevchenko National University of Kyiv</t>
  </si>
  <si>
    <t>Kravchenko, VO (corresponding author), Kiev Natl Univ, Kiev, Ukraine.</t>
  </si>
  <si>
    <t>PUBLISHING HOUSE AKADEMPERIODYKA</t>
  </si>
  <si>
    <t>KYIV</t>
  </si>
  <si>
    <t>PUBLISHING HOUSE AKADEMPERIODYKA, KYIV, 00000, UKRAINE</t>
  </si>
  <si>
    <t>1561-8889</t>
  </si>
  <si>
    <t>2518-1459</t>
  </si>
  <si>
    <t>SPACE SCI TECHNOL</t>
  </si>
  <si>
    <t>Space Sci. Technol.</t>
  </si>
  <si>
    <t>10.15407/knit2012.05.048</t>
  </si>
  <si>
    <t>VE7DM</t>
  </si>
  <si>
    <t>WOS:000440129000006</t>
  </si>
  <si>
    <t>Troshichev, O; Janzhura, A</t>
  </si>
  <si>
    <t>Troschichev, O; Janzhura, A</t>
  </si>
  <si>
    <t>Troshichev, Oleg; Janzhura, Alexander</t>
  </si>
  <si>
    <t>SPACE WEATHER MONITORING BY GROUND-BASED MEANS Introduction</t>
  </si>
  <si>
    <t>SPACE WEATHER MONITORING BY GROUND-BASED MEANS: PC INDEX</t>
  </si>
  <si>
    <t>Springer Praxis Books</t>
  </si>
  <si>
    <t>[Troshichev, Oleg; Janzhura, Alexander] Arctic &amp; Antarctic Res Inst, Dept Geophys, St Petersburg 199226, Russia</t>
  </si>
  <si>
    <t>Troshichev, O (corresponding author), Arctic &amp; Antarctic Res Inst, Dept Geophys, St Petersburg 199226, Russia.</t>
  </si>
  <si>
    <t>SPRINGER-VERLAG LONDON LTD</t>
  </si>
  <si>
    <t>GODALMING</t>
  </si>
  <si>
    <t>SWEETAPPLE HOUSE CATTESHALL RD FARNCOMBE, GODALMING GU7 1NH, SURREY, ENGLAND</t>
  </si>
  <si>
    <t>978-3-642-16803-1</t>
  </si>
  <si>
    <t>SPRINGER-PRAX BOOKS</t>
  </si>
  <si>
    <t>10.1007/978-3-642-16803-1</t>
  </si>
  <si>
    <t>BZX36</t>
  </si>
  <si>
    <t>WOS:000303215100001</t>
  </si>
  <si>
    <t>SPACE WEATHER MONITORING BY GROUND-BASED MEANS Conclusions</t>
  </si>
  <si>
    <t>WOS:000303215100014</t>
  </si>
  <si>
    <t>Riedel, T; Held, B; Nolan, M; Lucas, S; Lapidus, A; Tice, H; Del Rio, TG; Cheng, JF; Han, C; Tapia, R; Goodwin, LA; Pitluck, S; Liolios, K; Mavromatis, K; Pagani, I; Ivanova, N; Mikhailova, N; Pati, A; Chen, A; Palaniappan, K; Land, M; Rohde, M; Tindall, BJ; Detter, JC; Göker, M; Bristow, J; Eisen, JA; Markowitz, V; Hugenholtz, P; Kyrpides, NC; Klenk, HP; Woyke, T</t>
  </si>
  <si>
    <t>Riedel, Thomas; Held, Brittany; Nolan, Matt; Lucas, Susan; Lapidus, Alla; Tice, Hope; Del Rio, Tijana Glavina; Cheng, Jan-Fang; Han, Cliff; Tapia, Roxanne; Goodwin, Lynne A.; Pitluck, Sam; Liolios, Konstantinos; Mavromatis, Konstantinos; Pagani, Ioanna; Ivanova, Natalia; Mikhailova, Natalia; Pati, Amrita; Chen, Amy; Palaniappan, Krishna; Land, Miriam; Rohde, Manfred; Tindall, Brian J.; Detter, John C.; Goeker, Markus; Bristow, James; Eisen, Jonathan A.; Markowitz, Victor; Hugenholtz, Philip; Kyrpides, Nikos C.; Klenk, Hans-Peter; Woyke, Tanja</t>
  </si>
  <si>
    <t>Genome sequence of the Antarctic rhodopsins-containing flavobacterium Gillisia limnaea type strain (R-8282T)</t>
  </si>
  <si>
    <t>STANDARDS IN GENOMIC SCIENCES</t>
  </si>
  <si>
    <t>aerobic; motile; rod-shaped; moderately halotolerant; psychrophilic; chemohete-rotrophic; proteorhodopsin; microbial mat; yellow-pigmented; Flavobacteriaceae; GEBA</t>
  </si>
  <si>
    <t>SP-NOV.; FAMILY FLAVOBACTERIACEAE; EMENDED DESCRIPTION; SALINIBACTER-RUBER; PROTON PUMP; GEN.-NOV.; BACTERIA; MEMBER; ARCHAEA; XANTHORHODOPSIN</t>
  </si>
  <si>
    <t>Gillisia limnaea Van Trappen et al. 2004 is the type species of the genus Gillisia, which is a member of the well characterized family Flavobacteriaceae. The genome of G. limnea R-8282(T) is the first sequenced genome (permanent draft) from a type strain of the genus Gillisia. Here we describe the features of this organism, together with the permanent-draft genome sequence and annotation. The 3,966,857 bp long chromosome (two scaffolds) with its 3,569 protein-coding and 51 RNA genes is a part of the Genomic Encyclopedia of Bacteria and Archaea project.</t>
  </si>
  <si>
    <t>[Riedel, Thomas; Rohde, Manfred; Klenk, Hans-Peter] HZI Helmholtz Ctr Infect Res, Braunschweig, Germany; [Held, Brittany; Nolan, Matt; Lucas, Susan; Lapidus, Alla; Tice, Hope; Del Rio, Tijana Glavina; Cheng, Jan-Fang; Han, Cliff; Tapia, Roxanne; Goodwin, Lynne A.; Pitluck, Sam; Liolios, Konstantinos; Mavromatis, Konstantinos; Pagani, Ioanna; Ivanova, Natalia; Mikhailova, Natalia; Pati, Amrita; Detter, John C.; Bristow, James; Eisen, Jonathan A.; Hugenholtz, Philip; Kyrpides, Nikos C.; Woyke, Tanja] DOE Joint Genome Inst, Walnut Creek, CA USA; [Held, Brittany; Han, Cliff; Tapia, Roxanne; Goodwin, Lynne A.; Detter, John C.] Los Alamos Natl Lab, Biosci Div, Los Alamos, NM USA; [Chen, Amy; Palaniappan, Krishna; Markowitz, Victor] Univ Calif Berkeley, Lawrence Berkeley Natl Lab, Biol Data Management &amp; Technol Ctr, Berkeley, CA 94720 USA; [Land, Miriam] Oak Ridge Natl Lab, Oak Ridge, TN USA; [Tindall, Brian J.; Goeker, Markus] Leibniz Inst DSMZ German Collect Microorganisms &amp;, Braunschweig, Germany; [Eisen, Jonathan A.] Univ Calif Davis, Genome Ctr, Davis, CA 95616 USA; [Hugenholtz, Philip] Univ Queensland, Sch Chem &amp; Mol Biosci, Australian Ctr Ecogen, Brisbane, Qld, Australia</t>
  </si>
  <si>
    <t>Helmholtz Association; Helmholtz-Center for Infection Research; United States Department of Energy (DOE); United States Department of Energy (DOE); Los Alamos National Laboratory; United States Department of Energy (DOE); Lawrence Berkeley National Laboratory; University of California System; University of California Berkeley; United States Department of Energy (DOE); Oak Ridge National Laboratory; Leibniz Institut fur Deutsche Sammlung von Mikroorganismen und Zellkulturen (DSMZ); University of California System; University of California Davis; University of Queensland</t>
  </si>
  <si>
    <t>Klenk, HP (corresponding author), HZI Helmholtz Ctr Infect Res, Braunschweig, Germany.</t>
  </si>
  <si>
    <t>Göker, Markus/AAX-6258-2021; Kyrpides, Nikos C./A-6305-2014; Pagani, Ioanna/E-7390-2012; Hugenholtz, Philip/AAD-9138-2019; Eisen, Jonathan A./H-2706-2019; Woyke, Tanja/S-7870-2018; Land, Miriam/A-6200-2011; Lapidus, Alla/I-4348-2013</t>
  </si>
  <si>
    <t>Göker, Markus/0000-0002-5144-6200; Kyrpides, Nikos C./0000-0002-6131-0462; Hugenholtz, Philip/0000-0001-5386-7925; Eisen, Jonathan A./0000-0002-0159-2197; Cheng, Jan-Fang/0000-0001-7315-7613; Ivanova, Natalia/0000-0002-5802-9485; Woyke, Tanja/0000-0002-9485-5637; Palaniappan, Krishnaveni/0000-0003-4484-7505; Land, Miriam/0000-0001-7102-0031; Lapidus, Alla/0000-0003-0427-8731; Mavrommatis, Konstantinos/0000-0003-4549-385X</t>
  </si>
  <si>
    <t>US Department of Energy Office of Science, Biological and Environmental Research Program; University of California, Lawrence Berkeley National Laboratory [DE-AC02-05CH11231]; Lawrence Livermore National Laboratory [DE-AC52-07NA27344]; Los Alamos National Laboratory [DE-AC02-06NA25396]; UT-Battelle; Oak Ridge National Laboratory [DE-AC05-00OR22725]; German Research Foundation (DFG) [INST 599/1-2, TRR 51]</t>
  </si>
  <si>
    <t>US Department of Energy Office of Science, Biological and Environmental Research Program(United States Department of Energy (DOE)); University of California, Lawrence Berkeley National Laboratory(University of California System); Lawrence Livermore National Laboratory(United States Department of Energy (DOE)); Los Alamos National Laboratory(United States Department of Energy (DOE)Los Alamos National Laboratory); UT-Battelle; Oak Ridge National Laboratory(United States Department of Energy (DOE)); German Research Foundation (DFG)(German Research Foundation (DFG))</t>
  </si>
  <si>
    <t>We would like to gratefully acknowledge the help of Helga Pomrenke for growing G. limnaea cultures and Evelyne-Marie Brambilla for DNA extraction and quality control (both at the DSMZ). This work was performed under the auspices of the US Department of Energy Office of Science, Biological and Environmental Research Program, and by the University of California, Lawrence Berkeley National Laboratory under contract No. DE-AC02-05CH11231, Lawrence Livermore National Laboratory under Contract No. DE-AC52-07NA27344, and Los Alamos National Laboratory under contract No. DE-AC02-06NA25396, UT-Battelle and Oak Ridge National Laboratory under contract DE-AC05-00OR22725, as well as German Research Foundation (DFG) INST 599/1-2 as well as TRR 51.</t>
  </si>
  <si>
    <t>BMC</t>
  </si>
  <si>
    <t>CAMPUS, 4 CRINAN ST, LONDON N1 9XW, ENGLAND</t>
  </si>
  <si>
    <t>1944-3277</t>
  </si>
  <si>
    <t>STAND GENOMIC SCI</t>
  </si>
  <si>
    <t>Stand. Genomic Sci.</t>
  </si>
  <si>
    <t>10.4056/sigs.3216895</t>
  </si>
  <si>
    <t>Genetics &amp; Heredity; Microbiology</t>
  </si>
  <si>
    <t>082QB</t>
  </si>
  <si>
    <t>WOS:000314405900010</t>
  </si>
  <si>
    <t>De Angelis, M; Traversi, R; Udisti, R</t>
  </si>
  <si>
    <t>De Angelis, M.; Traversi, R.; Udisti, R.</t>
  </si>
  <si>
    <t>Long-term trends of mono-carboxylic acids in Antarctica: comparison of changes in sources and transport processes at the two EPICA deep drilling sites</t>
  </si>
  <si>
    <t>TELLUS SERIES B-CHEMICAL AND PHYSICAL METEOROLOGY</t>
  </si>
  <si>
    <t>ice cores; polar atmosphere; formic acid; acetic acid; climatic cycles</t>
  </si>
  <si>
    <t>DRONNING MAUD LAND; ICE-CORE; SEA-SALT; DOME-C; GREENLAND ICE; VEGETATION EMISSIONS; HETEROGENEOUS UPTAKE; VOLCANIC-ERUPTIONS; EAST ANTARCTICA; ACETIC-ACIDS</t>
  </si>
  <si>
    <t>We present here the first profiles of acetate and formate concentrations in Antarctic ice for time periods that include the great climatic changes of the past. Data are from two Antarctic deep ice cores recovered on the central East Antarctic Plateau (EDC) and in the Dronning Maud Land (EDML) facing the Atlantic Ocean (European EPICA Project). Except the sporadic arrival of diluted continental plumes during glacial extrema, the main source of acetate deposited over the EDC does not seem to have changed significantly over the past 300 kyr and is related to marine biogenic activity. A more detailed study of the past 55 kyr leads to the conclusion that acetate reaching the EDML during a large part of the last glacial maximum was emitted by the Patagonian continental biomass and was uptaken along with nitric acid at the surface of mineral dust. Changes in formate concentrations are characterised by less scattered and lower values at both sites during glacial periods. We propose that the present marine source of formic acid (Legrand et al., 2004) drastically decreased but did not completely vanish under cold climate conditions, whereas the share of methane oxidation in formic acid production became prominent.</t>
  </si>
  <si>
    <t>[De Angelis, M.] UJF Grenoble 1, CNRS, LGGE UMR 5183, Grenoble, France; [Traversi, R.; Udisti, R.] Univ Florence, Dept Chem, Florence, Italy</t>
  </si>
  <si>
    <t>Centre National de la Recherche Scientifique (CNRS); Communaute Universite Grenoble Alpes; Universite Grenoble Alpes (UGA); University of Florence</t>
  </si>
  <si>
    <t>De Angelis, M (corresponding author), UJF Grenoble 1, CNRS, LGGE UMR 5183, Grenoble, France.</t>
  </si>
  <si>
    <t>mdeangelis@lgge.obs.ujf-grenoble.fr</t>
  </si>
  <si>
    <t>Udisti, Roberto/M-7966-2015; Traversi, Rita/M-7586-2015</t>
  </si>
  <si>
    <t>Udisti, Roberto/0000-0003-4440-8238; Traversi, Rita/0000-0002-9790-2195</t>
  </si>
  <si>
    <t>EC (EPICA/MIS)</t>
  </si>
  <si>
    <t>This work is a contribution to EPICA, a joint European Science Foundation (ESF)/European Commission (EC) scientific programme, funded by the EC (EPICA/MIS) and by national contributions from Belgium, Denmark, France, Germany, Italy, The Netherlands, Norway, Sweden, Switzerland and the UK. We thank all the personnel who have contributed to obtain ice core sampling.</t>
  </si>
  <si>
    <t>1600-0889</t>
  </si>
  <si>
    <t>TELLUS B</t>
  </si>
  <si>
    <t>Tellus Ser. B-Chem. Phys. Meteorol.</t>
  </si>
  <si>
    <t>10.3402/tellusb.v64i0.17331</t>
  </si>
  <si>
    <t>977YG</t>
  </si>
  <si>
    <t>WOS:000306700800001</t>
  </si>
  <si>
    <t>Krzyscin, JW</t>
  </si>
  <si>
    <t>Krzyscin, Janusz W.</t>
  </si>
  <si>
    <t>Extreme ozone loss over the Northern Hemisphere high latitudes in the early 2011</t>
  </si>
  <si>
    <t>polar ozone; satellite observations; multiple regression; dynamical-chemical proxies</t>
  </si>
  <si>
    <t>ANTARCTIC OZONE; DEPLETION; STRATOSPHERE; CIRCULATION; TRENDS</t>
  </si>
  <si>
    <t>The satellite ozone data comprising The New Zealand National Institute of Water and Atmospheric Research (NIWA) total ozone database version 2.7, total ozone by the Ozone Monitoring Instrument (OMI) spectrophotometer on the Aura platform, and the ozone mixing ratios by SBUV/2 measurements on The National Oceanic and Atmospheric Administration (NOAA) platforms are analysed for ozone variability over the sunlit part of the Northern Hemisphere polar region. An extended area, with unusually low ozone values, is observed in a two-month period beginning in mid February 2011. The total area with extremely depleted total ozone reached the maximum at the end of March 2011, equal to similar to 11 x 10(6) km(2). The area is even larger in the lower/mid stratosphere. A multiple regression model is proposed to attribute the polar total ozone variability to various chemical and dynamical ozone forcings. The model reproduces the ozone loss in early 2011 and the overall picture of the ozone long-term changes. The extreme ozone decline in 2011 could be attributed to the long-lasting period with low stratospheric temperature (&lt;195 K), weaker than the normal Brewer-Dobson circulation, and the Arctic Oscillation in a strong positive phase. A deficit of total ozone in the following summer months (June-July-August), after the total ozone decline in March, was predicted and supported by later OMI observations.</t>
  </si>
  <si>
    <t>Polish Acad Sci, Inst Geophys, PL-01452 Warsaw, Poland</t>
  </si>
  <si>
    <t>Polish Academy of Sciences; Institute of Geophysics of the Polish Academy of Sciences</t>
  </si>
  <si>
    <t>Krzyscin, JW (corresponding author), Polish Acad Sci, Inst Geophys, PL-01452 Warsaw, Poland.</t>
  </si>
  <si>
    <t>jkrzys@igf.edu.pl</t>
  </si>
  <si>
    <t>Krzyscin, Janusz/0000-0002-3138-3951</t>
  </si>
  <si>
    <t>State Inspectorate for Environment Protection in Poland [48/2010/F]</t>
  </si>
  <si>
    <t>State Inspectorate for Environment Protection in Poland</t>
  </si>
  <si>
    <t>This work was partially supported by a grant from the State Inspectorate for Environment Protection in Poland, under contract No. 48/2010/F. We are grateful to two anonymous reviewers for helpful comments. We thank G. Bodeker for providing the Bodeker Scientific/NIWA total ozone database.</t>
  </si>
  <si>
    <t>0280-6509</t>
  </si>
  <si>
    <t>10.3402/tellusb.v64i0.17347</t>
  </si>
  <si>
    <t>937TZ</t>
  </si>
  <si>
    <t>WOS:000303683100001</t>
  </si>
  <si>
    <t>Kriwoken, L; Davidson, J; Lockwood, M</t>
  </si>
  <si>
    <t>Warner, R; Marsden, S</t>
  </si>
  <si>
    <t>Kriwoken, Lorne; Davidson, Julie; Lockwood, Michael</t>
  </si>
  <si>
    <t>Marine Protected Areas and Transboundary Governance</t>
  </si>
  <si>
    <t>TRANSBOUNDARY ENVIRONMENTAL GOVERNANCE: INLAND, COASTAL AND MARINE PERSPECTIVES</t>
  </si>
  <si>
    <t>[Kriwoken, Lorne; Davidson, Julie; Lockwood, Michael] Univ Tasmania, Sch Geog &amp; Environm Studies, Hobart, Tas 7001, Australia; [Kriwoken, Lorne] Univ Tasmania, Antarctic Climate &amp; Ecosyst Cooperat Res Ctr, Hobart, Tas 7001, Australia; [Kriwoken, Lorne] Shanghai Ocean Univ, Shanghai, Peoples R China</t>
  </si>
  <si>
    <t>University of Tasmania; Antarctic Climate &amp; Ecosystems Cooperative Research Centre (ACE CRC); University of Tasmania; Shanghai Ocean University</t>
  </si>
  <si>
    <t>Kriwoken, L (corresponding author), Univ Tasmania, Sch Geog &amp; Environm Studies, Hobart, Tas 7001, Australia.</t>
  </si>
  <si>
    <t>ASHGATE PUBLISHING LTD</t>
  </si>
  <si>
    <t>ALDERSHOT</t>
  </si>
  <si>
    <t>GOWER HOUSE, CROFT ROAD, ALDERSHOT GU11 3HR, ENGLAND</t>
  </si>
  <si>
    <t>978-1-4094-4494-7; 978-1-4094-4493-0</t>
  </si>
  <si>
    <t>Law</t>
  </si>
  <si>
    <t>BB5JS</t>
  </si>
  <si>
    <t>WOS:000343913400005</t>
  </si>
  <si>
    <t>Marsden, S</t>
  </si>
  <si>
    <t>Marsden, Simon</t>
  </si>
  <si>
    <t>Coordinating Strategic Environmental Assessments of Marine and Terrestrial Plans: Australian Experience in the Sub-Antarctic</t>
  </si>
  <si>
    <t>Flinders Law Sch, Adelaide, SA, Australia</t>
  </si>
  <si>
    <t>Flinders University South Australia</t>
  </si>
  <si>
    <t>Marsden, S (corresponding author), Flinders Law Sch, Adelaide, SA, Australia.</t>
  </si>
  <si>
    <t>Marsden, Simon/JXM-3168-2024</t>
  </si>
  <si>
    <t>WOS:000343913400009</t>
  </si>
  <si>
    <t>Sutherland, WJ; Aveling, R; Bennun, L; Chapman, E; Clout, M; Côté, IM; Depledge, MH; Dicks, LV; Dobson, AP; Fellman, L; Fleishman, E; Gibbons, DW; Keim, B; Lickorish, F; Lindenmayer, DB; Monk, KA; Norris, K; Peck, LS; Prior, SV; Scharlemann, JPW; Spalding, M; Watkinson, AR</t>
  </si>
  <si>
    <t>Sutherland, William J.; Aveling, Ros; Bennun, Leon; Chapman, Eleanor; Clout, Mick; Cote, Isabelle M.; Depledge, Michael H.; Dicks, Lynn V.; Dobson, Andrew P.; Fellman, Liz; Fleishman, Erica; Gibbons, David W.; Keim, Brandon; Lickorish, Fiona; Lindenmayer, David B.; Monk, Kathryn A.; Norris, Kenneth; Peck, Lloyd S.; Prior, Stephanie V.; Scharlemann, Joern P. W.; Spalding, Mark; Watkinson, Andrew R.</t>
  </si>
  <si>
    <t>A horizon scan of global conservation issues for 2012</t>
  </si>
  <si>
    <t>TRENDS IN ECOLOGY &amp; EVOLUTION</t>
  </si>
  <si>
    <t>ESCHERICHIA-COLI; FUTURE; HEAT; DEEP; NITROGEN; IMPACTS; SCIENCE; WATERS; OCEAN; RISK</t>
  </si>
  <si>
    <t>Our aim in conducting annual horizon scans is to identify issues that, although currently receiving little attention, may be of increasing importance to the conservation of biological diversity in the future. The 15 issues presented here were identified by a diverse team of 22 experts in horizon scanning, and conservation science and its application. Methods for identifying and refining issues were the same as in two previous annual scans and are widely transferable to other disciplines. The issues highlight potential changes in climate, technology and human behaviour. Examples include warming of the deep sea, increased cultivation of perennial grains, burning of Arctic tundra, and the development of nuclear batteries and hydrokinetic in-stream turbines.</t>
  </si>
  <si>
    <t>[Sutherland, William J.; Dicks, Lynn V.; Prior, Stephanie V.] Univ Cambridge, Conservat Sci Grp, Dept Zool, Cambridge CB2 3EJ, England; [Aveling, Ros] Fauna &amp; Flora Int, Cambridge CB1 2JD, England; [Bennun, Leon] Bird Life Int, Cambridge CB3 0NA, England; [Chapman, Eleanor] Environm Agcy, Evidence Directorate, Bristol BS1 5AH, Avon, England; [Clout, Mick] Univ Auckland, Ctr Biodivers &amp; Biosecur, Sch Biol Sci, Auckland 1, New Zealand; [Cote, Isabelle M.] Simon Fraser Univ, Dept Biol Sci, Burnaby, BC V5A 1S6, Canada; [Depledge, Michael H.] Royal Cornwall Hosp, European Ctr Environm &amp; Human Hlth, Peninsula Coll Med &amp; Dent, Truro TR1 3HD, Cornwall, England; [Dobson, Andrew P.] Princeton Univ, Dept Ecol &amp; Evolut Biol, Princeton, NJ 08544 USA; [Fellman, Liz] NERC, Swindon SN2 1EU, Wilts, England; [Fleishman, Erica] Univ Calif Davis, John Muir Inst Environm, Davis, CA 95616 USA; [Gibbons, David W.] Royal Soc Protect Birds, Sandy SG19 2DL, Beds, England; [Keim, Brandon] Wired Com, San Francisco, CA 94107 USA; [Lickorish, Fiona] Cranfield Univ, Cranfield MK43 0AL, Beds, England; [Lindenmayer, David B.] Australian Natl Univ, Fenner Sch Environm &amp; Soc, Canberra, ACT 0200, Australia; [Monk, Kathryn A.] Environm Agcy Wales, Cardiff CF24 0TP, S Glam, Wales; [Norris, Kenneth] Univ Reading, Sch Agr Policy &amp; Dev, Reading RG6 6AR, Berks, England; [Peck, Lloyd S.] British Antarctic Survey, Nat Environm Res Council, Cambridge CB3 0ET, England; [Scharlemann, Joern P. W.] World Conservat Monitoring Ctr, United Nations Environm Programme, Cambridge CB3 0DL, England; [Spalding, Mark] Nature Conservancy, Dept Zool, Global Marine Team, Cambridge CB2 3EJ, England; [Watkinson, Andrew R.] Univ E Anglia, Sch Environm Sci, Norwich NR4 7TJ, Norfolk, England</t>
  </si>
  <si>
    <t>University of Cambridge; BirdLife International; University of Auckland; Simon Fraser University; Royal Cornwall Hospital; University of Exeter; University of Plymouth; Princeton University; UK Research &amp; Innovation (UKRI); Natural Environment Research Council (NERC); University of California System; University of California Davis; Royal Society for Protection of Birds; Cranfield University; Australian National University; University of Reading; UK Research &amp; Innovation (UKRI); Natural Environment Research Council (NERC); NERC British Antarctic Survey; University of East Anglia</t>
  </si>
  <si>
    <t>Sutherland, WJ (corresponding author), Univ Cambridge, Conservat Sci Grp, Dept Zool, Downing St, Cambridge CB2 3EJ, England.</t>
  </si>
  <si>
    <t>w.sutherland@zoo.cam.ac.uk</t>
  </si>
  <si>
    <t>Sutherland, William/B-1291-2013; Lindenmayer, David/P-7183-2017; Dicks, Lynn V./AFH-5289-2022; Cote, Isabelle/ABD-5898-2021; Spalding, Mark/GVU-0739-2022; Watkinson, Andrew R/N-1649-2013; Scharlemann, Jorn/A-4737-2008; Monk, Kathryn/GRR-2773-2022</t>
  </si>
  <si>
    <t>Dicks, Lynn V./0000-0002-8304-4468; Scharlemann, Jorn/0000-0002-2834-6367; Spalding, Mark/0000-0001-9456-4533; Lickorish, Fiona/0000-0002-0696-202X; Clout, Mick/0000-0003-2864-4628; Depledge, Michael/0000-0002-7216-0439; Sutherland, William/0000-0002-6498-0437</t>
  </si>
  <si>
    <t>UK Natural Environment Research Council; European Centre for Environment and Human Health; RSPB; Arcadia Fund; Kresge Foundation; NERC [bas0100025] Funding Source: UKRI; Natural Environment Research Council [bas0100025] Funding Source: researchfish</t>
  </si>
  <si>
    <t>UK Natural Environment Research Council(UK Research &amp; Innovation (UKRI)Natural Environment Research Council (NERC)); European Centre for Environment and Human Health; RSPB; Arcadia Fund; Kresge Foundation; NERC(UK Research &amp; Innovation (UKRI)Natural Environment Research Council (NERC)); Natural Environment Research Council(UK Research &amp; Innovation (UKRI)Natural Environment Research Council (NERC))</t>
  </si>
  <si>
    <t>This is an activity of the Cambridge Conservation Initiative and we thank the steering group for useful comments. The UK Natural Environment Research Council, European Centre for Environment and Human Health and RSPB provided funding. We thank many individuals for their valuable contributions to the issue collection exercise, including Lisa Williams, Jean-Louis Ecochard, Sasha Gennet and Frank Lowenstein of The Nature Conservancy, Sarah Bardsley of the Environment Agency and Tony Whitten of Fauna and Flora International, who suggested topics included here. W.J.S. is supported by the Arcadia Fund. E.F. acknowledges support from the Kresge Foundation. The views expressed here are those of the authors and do not necessarily reflect the views of the organisations. We thank the referee and editor for their remarkable efficiency.</t>
  </si>
  <si>
    <t>ELSEVIER SCIENCE LONDON</t>
  </si>
  <si>
    <t>84 THEOBALDS RD, LONDON WC1X 8RR, ENGLAND</t>
  </si>
  <si>
    <t>0169-5347</t>
  </si>
  <si>
    <t>1872-8383</t>
  </si>
  <si>
    <t>TRENDS ECOL EVOL</t>
  </si>
  <si>
    <t>Trends Ecol. Evol.</t>
  </si>
  <si>
    <t>10.1016/j.tree.2011.10.011</t>
  </si>
  <si>
    <t>Ecology; Evolutionary Biology; Genetics &amp; Heredity</t>
  </si>
  <si>
    <t>Environmental Sciences &amp; Ecology; Evolutionary Biology; Genetics &amp; Heredity</t>
  </si>
  <si>
    <t>884MT</t>
  </si>
  <si>
    <t>Green Published, Green Accepted</t>
  </si>
  <si>
    <t>WOS:000299712900007</t>
  </si>
  <si>
    <t>Crawford, C; Hundloe, T</t>
  </si>
  <si>
    <t>Hundloe, T; Crawford, C</t>
  </si>
  <si>
    <t>Crawford, Christine; Hundloe, Tor</t>
  </si>
  <si>
    <t>The Value of Water in a DRYING CLIMATE Conclusions</t>
  </si>
  <si>
    <t>VALUE OF WATER IN A DRYING CLIMATE</t>
  </si>
  <si>
    <t>[Crawford, Christine] Univ Tasmania, Inst Marine &amp; Antarctic Studies, Hobart, Tas 7001, Australia; [Hundloe, Tor] Bond Univ, Southport, Qld 4229, Australia; [Hundloe, Tor] Griffith Univ, Environm Sch, Nathan, Qld 4111, Australia; [Hundloe, Tor] Univ Queensland, Brisbane, Qld 4072, Australia</t>
  </si>
  <si>
    <t>University of Tasmania; Bond University; Griffith University; University of Queensland</t>
  </si>
  <si>
    <t>Crawford, C (corresponding author), Univ Tasmania, Inst Marine &amp; Antarctic Studies, Hobart, Tas 7001, Australia.</t>
  </si>
  <si>
    <t>COLLINGWOOD</t>
  </si>
  <si>
    <t>150 OXFORD STREET, PO BOX 1139, COLLINGWOOD, VIC 3066, AUSTRALIA</t>
  </si>
  <si>
    <t>978-0-643-10663-5</t>
  </si>
  <si>
    <t>Environmental Sciences; Environmental Studies; Water Resources</t>
  </si>
  <si>
    <t>Book Citation Index – Social Sciences &amp; Humanities (BKCI-SSH); Book Citation Index – Science (BKCI-S)</t>
  </si>
  <si>
    <t>Environmental Sciences &amp; Ecology; Water Resources</t>
  </si>
  <si>
    <t>BFQ94</t>
  </si>
  <si>
    <t>WOS:000321009300019</t>
  </si>
  <si>
    <t>Leppe, M; Michea, W; Muñoz, C; Palma-Heldt, S; Fernandoy, F</t>
  </si>
  <si>
    <t>Stewart, P; Globig, S</t>
  </si>
  <si>
    <t>Leppe, M.; Michea, W.; Munoz, C.; Palma-Heldt, S.; Fernandoy, F.</t>
  </si>
  <si>
    <t>Paleobotany of Livingston Island</t>
  </si>
  <si>
    <t>VASCULAR PLANTS AND PALEOBOTANY</t>
  </si>
  <si>
    <t>Research Progress in Botany</t>
  </si>
  <si>
    <t>Albian-Aptian floras; Campanian; Cretaceous; Early Cretaceous; Fossiliferous</t>
  </si>
  <si>
    <t>[Leppe, M.] INACH, Chilean Antarctic Inst, Dept Sci, Plaza Munoz Gamero 1055, Punta Arenas 000, Billion, Chile; [Michea, W.] Univ Chile, Dept Geol, Santiago, Chile; [Munoz, C.; Palma-Heldt, S.; Fernandoy, F.] Univ Concepcion, Dept Earth Sci, Concepcion, Chile</t>
  </si>
  <si>
    <t>Universidad de Chile; Universidad de Concepcion</t>
  </si>
  <si>
    <t>Leppe, M (corresponding author), INACH, Chilean Antarctic Inst, Dept Sci, Plaza Munoz Gamero 1055, Punta Arenas 000, Billion, Chile.</t>
  </si>
  <si>
    <t>Leppe, Marcelo/L-5447-2014</t>
  </si>
  <si>
    <t>Leppe, Marcelo/0000-0002-1545-8167</t>
  </si>
  <si>
    <t>APPLE ACAD PRESS INC</t>
  </si>
  <si>
    <t>OAKVILLE</t>
  </si>
  <si>
    <t>3333 MISTWELL CRESCENT, OAKVILLE, ON L6L 0A2, CANADA</t>
  </si>
  <si>
    <t>2292-8855</t>
  </si>
  <si>
    <t>978-1-4665-5863-2; 978-1-926692-98-2</t>
  </si>
  <si>
    <t>RES PROG BOTANY</t>
  </si>
  <si>
    <t>Plant Sciences; Paleontology</t>
  </si>
  <si>
    <t>BF9YE</t>
  </si>
  <si>
    <t>WOS:000386047800002</t>
  </si>
  <si>
    <t>Nasonova, ON</t>
  </si>
  <si>
    <t>Nasonova, O. N.</t>
  </si>
  <si>
    <t>The Effect of Uncertainties in Precipitation Global Datasets on the Estimates of Terrestrial Water Balance Components</t>
  </si>
  <si>
    <t>WATER RESOURCES</t>
  </si>
  <si>
    <t>terrestrial water balance; global datasets; land surface models; GSWP-2</t>
  </si>
  <si>
    <t>LAND-SURFACE MODEL; SWAP; SIMULATION; EXCHANGE; CLIMATE; HEAT</t>
  </si>
  <si>
    <t>The results of simulation of terrestrial water balance components are analyzed. The simulation involved six alternative datasets on precipitation and four land surface models SWAP, NSIP, NOAH, and SSiB. The calculations have been carried out for the entire land surface (except for the Antarctic Continent) with one-degree step in the space grid and three-hour time step over 1982-1995. The extent of the influence of uncertainties in the specification of precipitation and the choice of the model on simulated water balance characteristics is revealed.</t>
  </si>
  <si>
    <t>Russian Acad Sci, Inst Water Problems, Moscow 119333, Russia</t>
  </si>
  <si>
    <t>Russian Academy of Sciences; Institute of Water Problems of the Russian Academy of Sciences</t>
  </si>
  <si>
    <t>Nasonova, ON (corresponding author), Russian Acad Sci, Inst Water Problems, Ul Gubkina 3, Moscow 119333, Russia.</t>
  </si>
  <si>
    <t>Nasonova, Olga/B-6093-2014</t>
  </si>
  <si>
    <t>Nasonova, Olga/0000-0002-3111-3337</t>
  </si>
  <si>
    <t>Russian Foundation for Basic Research [08-05-00027]; Federal Agency on Science and Innovations [02.740.11.0336]</t>
  </si>
  <si>
    <t>Russian Foundation for Basic Research(Russian Foundation for Basic Research (RFBR)Spanish Government); Federal Agency on Science and Innovations(Federal Agency for Science &amp; Innovations (FASI))</t>
  </si>
  <si>
    <t>This study was supported by the Russian Foundation for Basic Research, project no. 08-05-00027, and Federal Agency on Science and Innovations, contract no. 02.740.11.0336.</t>
  </si>
  <si>
    <t>INTERPERIODICA</t>
  </si>
  <si>
    <t>BIRMINGHAM</t>
  </si>
  <si>
    <t>PO BOX 1831, BIRMINGHAM, AL 35201-1831 USA</t>
  </si>
  <si>
    <t>0097-8078</t>
  </si>
  <si>
    <t>WATER RESOUR+</t>
  </si>
  <si>
    <t>Water Resour.</t>
  </si>
  <si>
    <t>10.1134/S0097807812010101</t>
  </si>
  <si>
    <t>Water Resources</t>
  </si>
  <si>
    <t>910QZ</t>
  </si>
  <si>
    <t>WOS:000301657500004</t>
  </si>
  <si>
    <t>Lucieer, A; Robinson, S; Turner, D; Harwin, S; Kelcey, J</t>
  </si>
  <si>
    <t>Shortis, M; ElSheimy, N</t>
  </si>
  <si>
    <t>Lucieer, Arko; Robinson, Sharon; Turner, Darren; Harwin, Steve; Kelcey, Josh</t>
  </si>
  <si>
    <t>USING A MICRO-UAV FOR ULTRA-HIGH RESOLUTION MULTI-SENSOR OBSERVATIONS OF ANTARCTIC MOSS BEDS</t>
  </si>
  <si>
    <t>XXII ISPRS CONGRESS, TECHNICAL COMMISSION I</t>
  </si>
  <si>
    <t>International Archives of the Photogrammetry, Remote Sensing and Spatial Information Sciences</t>
  </si>
  <si>
    <t>22nd Congress of the International-Society-for-Photogrammetry-and-Remote-Sensing</t>
  </si>
  <si>
    <t>AUG 25-SEP 01, 2012</t>
  </si>
  <si>
    <t>Unmanned Aerial Vehicle (UAV); Antarctica; moss beds; Structure from Motion (SfM) point cloud; terrain mapping; multispectral imagery</t>
  </si>
  <si>
    <t>UNMANNED AERIAL VEHICLE; CLIMATE-CHANGE</t>
  </si>
  <si>
    <t>This study is the first to use an Unmanned Aerial Vehicle (UAV) for mapping moss beds in Antarctica. Mosses can be used as indicators for the regional effects of climate change. Mapping and monitoring their extent and health is therefore important. UAV aerial photography provides ultra-high resolution spatial data for this purpose. We developed a technique to extract an extremely dense 3D point cloud from overlapping UAV aerial photography based on structure from motion (SfM) algorithms. The combination of SfM and patch-based multi-view stereo image vision algorithms resulted in a 2 cm resolution digital terrain model (DTM). This detailed topographic information combined with vegetation indices derived from a 6-band multispectral sensor enabled the assessment of moss bed health. This novel UAV system has allowed us to map different environmental characteristics of the moss beds at ultra-high resolution providing us with a better understanding of these fragile Antarctic ecosystems. The paper provides details on the different UAV instruments and the image processing framework resulting in DEMs, vegetation indices, and terrain derivatives.</t>
  </si>
  <si>
    <t>[Lucieer, Arko; Robinson, Sharon; Turner, Darren; Harwin, Steve; Kelcey, Josh] Univ Tasmania, Sch Geog &amp; Environm Studies, Surveying &amp; Spatial Sci Grp, Hobart, Tas 7001, Australia</t>
  </si>
  <si>
    <t>Lucieer, A (corresponding author), Univ Tasmania, Sch Geog &amp; Environm Studies, Surveying &amp; Spatial Sci Grp, Private Bag 76, Hobart, Tas 7001, Australia.</t>
  </si>
  <si>
    <t>Arko.Lucieer@utas.edu.au</t>
  </si>
  <si>
    <t>Lucieer, Arko/F-1247-2013; Robinson, Sharon/B-2683-2008; Turner, Darren/O-4839-2017</t>
  </si>
  <si>
    <t>Lucieer, Arko/0000-0002-9468-4516; Robinson, Sharon/0000-0002-7130-9617; Turner, Darren/0000-0002-3029-6717; Harwin, Steve/0000-0002-4947-8254</t>
  </si>
  <si>
    <t>BAHNHOFSALLE 1E, GOTTINGEN, 37081, GERMANY</t>
  </si>
  <si>
    <t>1682-1750</t>
  </si>
  <si>
    <t>2194-9034</t>
  </si>
  <si>
    <t>INT ARCH PHOTOGRAMM</t>
  </si>
  <si>
    <t>39-B1</t>
  </si>
  <si>
    <t>Geography, Physical; Remote Sensing; Imaging Science &amp; Photographic Technology</t>
  </si>
  <si>
    <t>Physical Geography; Remote Sensing; Imaging Science &amp; Photographic Technology</t>
  </si>
  <si>
    <t>BD1OS</t>
  </si>
  <si>
    <t>WOS:000358208700076</t>
  </si>
  <si>
    <t>Lachérade, S; Fourest, S; Gamet, P; Lebègue, L</t>
  </si>
  <si>
    <t>Lacherade, S.; Fourest, S.; Gamet, P.; Lebegue, L.</t>
  </si>
  <si>
    <t>PLEIADES ABSOLUTE CALIBRATION : INFLIGHT CALIBRATION SITES AND METHODOLOGY</t>
  </si>
  <si>
    <t>International Archives of the Photogrammetry Remote Sensing and Spatial Information Sciences</t>
  </si>
  <si>
    <t>Absolute Calibration; natural sites; calibration methods</t>
  </si>
  <si>
    <t>In-flight calibration of space sensors once in orbit is a decisive step to be able to fulfil the mission objectives. This article presents the methods of the in-flight absolute calibration processed during the commissioning phase. Four In-flight calibration methods are used: absolute calibration, cross-calibration with reference sensors such as PARASOL or MERIS, multi-temporal monitoring and inter-bands calibration. These algorithms are based on acquisitions over natural targets such as African deserts, Antarctic sites, La Crau (Automatic calibration station) and Oceans (Calibration over molecular scattering) or also new extra-terrestrial sites such as the Moon and selected stars. After an overview of the instrument and a description of the calibration sites, it is pointed out how each method is able to address one or several aspects of the calibration. We focus on how these methods complete each other in their operational use, and how they help building a coherent set of information that addresses all aspects of in-orbit calibration. Finally, we present the perspectives that the high level of agility of PLEIADES offers for the improvement of its calibration and a better characterization of the calibration sites.</t>
  </si>
  <si>
    <t>[Lacherade, S.; Fourest, S.; Gamet, P.; Lebegue, L.] CNES, French Natl Space Agcy, F-31401 Toulouse, France</t>
  </si>
  <si>
    <t>Lachérade, S (corresponding author), CNES, French Natl Space Agcy, 18 Ave Edouard Belin, F-31401 Toulouse, France.</t>
  </si>
  <si>
    <t>sophie.lacherade@cnes.fr</t>
  </si>
  <si>
    <t>WOS:000358208700097</t>
  </si>
  <si>
    <t>Sohrabinia, M; Rack, W; Zawar-Reza, P</t>
  </si>
  <si>
    <t>Shortis, M; Wagner, W; Hyyppa, J</t>
  </si>
  <si>
    <t>Sohrabinia, M.; Rack, W.; Zawar-Reza, P.</t>
  </si>
  <si>
    <t>GEOSTATISTICAL ANALYSIS OF SURFACE TEMPERATURE AND IN-SITU SOIL MOISTURE USING LST TIME-SERIES FROM MODIS</t>
  </si>
  <si>
    <t>XXII ISPRS CONGRESS, TECHNICAL COMMISSION VII</t>
  </si>
  <si>
    <t>MODIS; MODIS LST; skin temperature; near-surface soil moisture; land cover; geostatistics; time-series</t>
  </si>
  <si>
    <t>WETNESS INDEX; PRODUCTS; VALIDATION; AREAS</t>
  </si>
  <si>
    <t>The objective of this analysis is to provide a quantitative estimate of the fluctuations of land surface temperature (LST) with varying near surface soil moisture (SM) on different land-cover (LC) types. The study area is located in the Canterbury Plains in the South Island of New Zealand. Time series of LST from the MODerate resolution Imaging Spectro-radiometer (MODIS) have been analysed statistically to study the relationship between the surface skin temperature and near-surface SM. In-situ measurements of the skin temperature and surface SM with a quasi-experimental design over multiple LC types are used for validation. Correlations between MODIS LST and in-situ SM, as well as in-situ surface temperature and SM are calculated. The in-situ measurements and MODIS data are collected from various LC types. Pearson's r correlation coefficient and linear regression are used to fit the MODIS LST and surface skin temperature with near-surface SM. There was no significant correlation between time-series of MODIS LST and near-surface SM from the initial analysis, however, careful analysis of the data showed significant correlation between the two parameters. Night-time series of the in-situ surface temperature and SM from a 12 hour period over Irrigated-Crop, Mixed-Grass, Forest, Barren and Open-Grass showed inverse correlations of -0.47, -0.68, -0.74, -0.88 and -0.93, respectively. These results indicated that the relationship between near-surface SM and LST in short-terms (12 to 24 hours) is strong, however, remotely sensed LST with higher temporal resolution is required to establish this relationship in such time-scales. This method can be used to study near-surface SM using more frequent LST observations from a geostationary satellite over the study area.</t>
  </si>
  <si>
    <t>[Sohrabinia, M.; Zawar-Reza, P.] Univ Canterbury, Dept Geog, Atmospher Res Ctr, Christchurch 1, New Zealand; [Rack, W.] Univ Canterbury, Gateway Antarctica, Ctr Antarctic Studies &amp; Res, Christchurch 1, New Zealand</t>
  </si>
  <si>
    <t>Sohrabinia, M (corresponding author), Univ Canterbury, Dept Geog, Atmospher Res Ctr, Christchurch 1, New Zealand.</t>
  </si>
  <si>
    <t>sohrabinia.m@gmail.com; wolfgang.rack@canterbury.ac.nz; peyman.zawar-reza@canterbury.ac.nz</t>
  </si>
  <si>
    <t>Rack, Wolfgang/U-8898-2017</t>
  </si>
  <si>
    <t>Rack, Wolfgang/0000-0003-2447-377X</t>
  </si>
  <si>
    <t>B7</t>
  </si>
  <si>
    <t>BE1TJ</t>
  </si>
  <si>
    <t>WOS:000368523100004</t>
  </si>
  <si>
    <t>Fraser, AD; Young, NW; Adams, N</t>
  </si>
  <si>
    <t>Shortis, M; Shimoda, H; Cho, K</t>
  </si>
  <si>
    <t>Fraser, Alexander D.; Young, Neal W.; Adams, Neil</t>
  </si>
  <si>
    <t>COMPARISON OF MICROWAVE BACKSCATTER ANISOTROPY PARAMETERISATIONS OVER THE ANTARCTIC ICE SHEET</t>
  </si>
  <si>
    <t>XXII ISPRS CONGRESS, TECHNICAL COMMISSION VIII</t>
  </si>
  <si>
    <t>Snow; Ice; Glaciology; Research; Active; Microwave; Satellite</t>
  </si>
  <si>
    <t>KATABATIC-WIND INTENSITY; SURFACE-PROPERTIES; MASS-BALANCE; SCATTEROMETER; SNOW; SEASAT</t>
  </si>
  <si>
    <t>The Antarctic Ice Sheet exhibits a strong anisotropy in microwave backscatter, both as a function of azimuth angle and incidence angle. This anisotropy arises as a result of i) the alignment of roughness elements and other wind-related surface and sub-surface features, as well as ii) internal layers and snow grain size gradient within the snowpack. As a result of its antenna configuration, the European Organisation for the Exploitation of Meteorological Satellites (EUMETSAT) Advanced SCATterometer (ASCAT) satellite instrument is able to observe much of the continent with a large azimuth and incidence angle diversity. A lack of azimuth and incidence diversity has restricted previous backscatter parameterisations to relatively simple bi-sinusoidal (azimuth angle) and linear (incidence angle) parameterisations. Using ASCAT, we show that a better fit can be obtained using a cubic incidence angle function and a Fourier series of up to four terms for parameterisation of the azimuth angle anisotropy. Scatterometer instruments have previously been used in Greenland to retrieve accumulation rate by observing the change in backscatter as a function of incidence angle. Here we present preliminary results of an empirical study linking the isotropic component and incidence angle dependence to snow accumulation rate in Antarctica, using snow stake measurements as ground truthing.</t>
  </si>
  <si>
    <t>[Fraser, Alexander D.; Young, Neal W.] Univ Tasmania, Antarctic Climate &amp; Ecosyst Cooperat Res Ctr, Hobart, Tas 7001, Australia; [Young, Neal W.] Australian Antarctic Div, Kingston, Tas 7050, Australia; [Adams, Neil] Australian Bur Meteorol, Hobart, Tas 7001, Australia</t>
  </si>
  <si>
    <t>University of Tasmania; Antarctic Climate &amp; Ecosystems Cooperative Research Centre (ACE CRC); Australian Antarctic Division; Bureau of Meteorology - Australia</t>
  </si>
  <si>
    <t>Fraser, AD (corresponding author), Univ Tasmania, Antarctic Climate &amp; Ecosyst Cooperat Res Ctr, Private Bag 80, Hobart, Tas 7001, Australia.</t>
  </si>
  <si>
    <t>adfraser@utas.edu.au</t>
  </si>
  <si>
    <t>Fraser, Alexander/AFO-7186-2022</t>
  </si>
  <si>
    <t>Fraser, Alexander/0000-0003-1924-0015; Young, Neal/0000-0001-9729-3273</t>
  </si>
  <si>
    <t>39-B8</t>
  </si>
  <si>
    <t>BD1OR</t>
  </si>
  <si>
    <t>WOS:000358207600105</t>
  </si>
  <si>
    <t>Kunz, M; Mills, JP; Miller, PE; King, MA; Fox, AJ; Marsh, S</t>
  </si>
  <si>
    <t>Kunz, M.; Mills, J. P.; Miller, P. E.; King, M. A.; Fox, A. J.; Marsh, S.</t>
  </si>
  <si>
    <t>APPLICATION OF SURFACE MATCHING FOR IMPROVED MEASUREMENTS OF HISTORIC GLACIER VOLUME CHANGE IN THE ANTARCTIC PENINSULA</t>
  </si>
  <si>
    <t>Glaciology; Glacier Change; DEM/DTM; Photogrammetry; Surface Matching</t>
  </si>
  <si>
    <t>Climate records show that the Antarctic Peninsula is rapidly warming. Dramatic changes in ice shelf and glacier extent have been recorded over the last few decades. Mapping recent changes in the Antarctic Peninsula is relatively straightforward, as increased amounts of earth observation data become readily available for scientific purposes. However, long term measurements of volumetric changes within the region are rare and less is known of changes which have occurred over the second half of the 20th Century. Nonetheless, historical observations are available in the form of archival aerial stereo-photography. However, extracting information from historical data, i.e. to compare it to recent data, is not trivial, and to-date, this data source remains largely untapped, despite its rich potential. Often such imagery is stored in non-digital format and may have degraded over time. Other problems relate to insufficient metadata or ground control. Typically these difficulties result in poor registration of multi-temporal DEMs, which degrade subsequent measurements of surface change. This is one of the fundamental limitations of accessing archival datasets. In this research a least squares surface matching technique is introduced to overcome these challenges and achieve reliable registration of multi-temporal DEMs. Historical imagery acquired in the 1960s for two Antarctic Peninsula glaciers is processed to extract DEMs, which are subsequently compared to DEMs derived from modern ASTER satellite data and aerial photography. Through the surface matching approach, it is shown that the registration accuracy of the historical and modern-day datasets can be improved significantly. This enables precise quantification of glacier elevation changes on a multi-decadal time scale. Frontal glacier surface lowering of up to 50 m was observed over the last similar to 4 decades. Results of this study allow a better understanding of historical volumetric glacier changes of the Antarctic Peninsula and provide an efficient and automated method for improved DEM co-registration.</t>
  </si>
  <si>
    <t>[Kunz, M.; Mills, J. P.; Miller, P. E.; King, M. A.] Newcastle Univ, Sch Civil Engn &amp; Geosci, Newcastle Upon Tyne NE1 7RU, Tyne &amp; Wear, England; [Fox, A. J.] British Antarctic Survey, Cambridge CB3 0ET, England; [Marsh, S.] British Geol Survey, Keyworth NG12 5GG, Notts, England</t>
  </si>
  <si>
    <t>Newcastle University - UK; UK Research &amp; Innovation (UKRI); Natural Environment Research Council (NERC); NERC British Antarctic Survey; UK Research &amp; Innovation (UKRI); Natural Environment Research Council (NERC); NERC British Geological Survey</t>
  </si>
  <si>
    <t>Kunz, M (corresponding author), Newcastle Univ, Sch Civil Engn &amp; Geosci, Newcastle Upon Tyne NE1 7RU, Tyne &amp; Wear, England.</t>
  </si>
  <si>
    <t>matthias.kunz@ncl.ac.uk</t>
  </si>
  <si>
    <t>King, Matt/B-4622-2008; Mills, Jon/H-7444-2013</t>
  </si>
  <si>
    <t>King, Matt/0000-0001-5611-9498; Mills, Jon/0000-0001-5304-7935; Marsh, Stuart/0000-0002-1168-6760</t>
  </si>
  <si>
    <t>WOS:000358207600106</t>
  </si>
  <si>
    <t>Poulsen, AH; Kawaguchi, S; Kukkonen, JVK; Leppänen, MT; Nash, SMB</t>
  </si>
  <si>
    <t>Poulsen, Anita H.; Kawaguchi, So; Kukkonen, Jussi V. K.; Leppanen, Matti T.; Nash, Susan M. Bengtson</t>
  </si>
  <si>
    <t>Aqueous uptake and sublethal toxicity of p,p′-DDE in non-feeding larval stages of Antarctic krill (Euphausia superba)</t>
  </si>
  <si>
    <t>Polar ecotoxicology; Early life stage (ELS); Persistent organic pollutant (POP); Critical body residue (CBR); Uptake kinetics</t>
  </si>
  <si>
    <t>ORGANOCHLORINE CONTAMINANTS; RESIDUE; TOXICOKINETICS; DDE; MECHANISMS; PESTICIDES; AMPHIPOD; PENGUIN; DANA</t>
  </si>
  <si>
    <t>This study evaluated the toxicological sensitivity of non-feeding larval stages of a key Antarctic species (Antarctic krill, Euphausia superba) to p,p'-dichlorodiphenyl dichloroethylene (p,p'-DDE) exposure. The aqueous uptake clearance rate of 84 mL g(-1) preserved weight (p.w.) h(-1) determined for p,p'-DDE in Antarctic krill larvae is comparable to previous findings for small cold water crustaceans and five times slower than the rates reported for an amphipod inhabiting warmer waters. Natural variations in larval physiology appear to influence contaminant uptake and larval krill behavioural responses, strongly highlighting the importance of time of measurement for ecotoxicological testing. Sublethal narcosis (immobility) was observed in larval Antarctic krill from p,p'-DDE body residues of 0.2 mmol/kg p.w., which is in agreement with findings for adult krill and temperate aquatic species. The finding of comparable body residue-based toxicity of p,p'-DDE between polar and temperate species supports the tissue residue approach for environmental risk assessment of polar ecosystems. (C) 2011 Elsevier Ltd. All rights reserved.</t>
  </si>
  <si>
    <t>[Poulsen, Anita H.; Nash, Susan M. Bengtson] Univ Queensland, Natl Res Ctr Environm Toxicol Entox, Brisbane, Qld 4108, Australia; [Kawaguchi, So] Australian Antarctic Div, Kingston, Tas 7050, Australia; [Kukkonen, Jussi V. K.; Leppanen, Matti T.] Univ Eastern Finland, Dept Biol, FIN-80101 Joensuu, Finland; [Nash, Susan M. Bengtson] Griffith Univ, Atmospher Environm Res Ctr, Brisbane, Qld 4111, Australia</t>
  </si>
  <si>
    <t>University of Queensland; Australian Antarctic Division; University of Eastern Finland; Griffith University</t>
  </si>
  <si>
    <t>Poulsen, AH (corresponding author), Univ Queensland, Natl Res Ctr Environm Toxicol Entox, 39 Kessels Rd, Brisbane, Qld 4108, Australia.</t>
  </si>
  <si>
    <t>anita.poulsen@uq.edu.au; so.kawaguchi@aad.gov.au; jussi.kukkonen@uef.fi; matti.t.leppanen@uef.fi; s.bengtsonnash@griffith.edu.au</t>
  </si>
  <si>
    <t>Poulsen, Anita H/G-2190-2010; Bengtson Nash, Susan/I-3942-2015; Kawaguchi, So/N-1795-2017; Kukkonen, Jussi/JHV-1650-2023; Bengtson Nash, Susan/GMX-4611-2022</t>
  </si>
  <si>
    <t>Bengtson Nash, Susan/0000-0001-5928-0850; Bengtson Nash, Susan/0000-0001-5928-0850; Kawaguchi, So/0000-0002-2042-5095; Kukkonen, Jussi/0000-0003-3449-6828</t>
  </si>
  <si>
    <t>ARC [DP666891]</t>
  </si>
  <si>
    <t>ARC(Australian Research Council)</t>
  </si>
  <si>
    <t>The authors thank AAD staff and students for krill collection and maintenance, in particular, Rob King and Toshihiro Yoshida for advice on larval rearing and technical design. We are also grateful to Peter Landrum, Caroline Gaus and Beate Escher for stimulating discussions and to two anonymous reviewers for their helpful reviews. This research was funded by an ARC Discovery grant (DP666891). Entox is a partnership between The University of Queensland and Queensland Health.</t>
  </si>
  <si>
    <t>10.1016/j.envpol.2011.09.022</t>
  </si>
  <si>
    <t>WOS:000297898000026</t>
  </si>
  <si>
    <t>Non-consumptive factors affecting foraging patterns in Antarctic penguins: a review and synthesis</t>
  </si>
  <si>
    <t>Adelie penguin; Apex predator; Emperor penguin; Foraging habitat; Killer whale; Leopard seal; Mesopredator; Predation; Predation fear; Risk balancing</t>
  </si>
  <si>
    <t>WHALES ORCINUS-ORCA; DIEL VERTICAL MIGRATION; LEOPARD SEAL PREDATION; EMPEROR PENGUINS; ROSS SEA; ADELIE PENGUINS; KILLER WHALES; CHINSTRAP PENGUINS; PYGOSCELIS-ADELIAE; DIVING BEHAVIOR</t>
  </si>
  <si>
    <t>Recent research has clearly shown that the fear of predation, i.e. aversion to taking risks, among mesopredators or grazers, and not merely flight from an apex predator to avoid predation, is an important aspect of ecosystem structuring. In only a few, though well-documented cases, however, has this been considered in the marine environment. Herein, we review studies that have quantified behavioral responses of Ad,lie penguins Pygoscelis adeliae and emperor penguins Aptenodytes forsteri to the direct presence of predators, and question why the penguins avoid entering or exiting the water at night. We also show, through literature review and new analyses of Ad,lie penguin diving data, that Antarctic penguins are capable of successful prey capture in the dark (defined here as &lt; 3.4 lux). Finally, we summarize extensive data on seasonal migration relative to darkness and prey availability. On the basis of our findings, we propose that penguins' avoidance of foraging at night is due to fear of predation, and not to an inability to operate effectively in darkness. We further propose that, at polar latitudes where darkness is more a seasonal than a year-round, daily feature, this risk aversion affects migratory movements in both species, consistent with the trade-off hypothesis seen in other marine vertebrates weighing foraging success against predation risk in their choice of foraging habitat. Such non-consumptive, behavioral aspects of species interactions have yet to be considered as important in Southern Ocean food webs, but may help to explain enigmatic movement patterns and choice of foraging grounds in these penguin species.</t>
  </si>
  <si>
    <t>Ainley, DG (corresponding author), HT Harvey &amp; Associates, Los Gatos, CA 95032 USA.</t>
  </si>
  <si>
    <t>US National Science Foundation [OPP-0440643]; Directorate For Geosciences; Office of Polar Programs (OPP) [0944141] Funding Source: National Science Foundation</t>
  </si>
  <si>
    <t>US National Science Foundation(National Science Foundation (NSF)); Directorate For Geosciences; Office of Polar Programs (OPP)(National Science Foundation (NSF)NSF - Directorate for Geosciences (GEO))</t>
  </si>
  <si>
    <t>This paper was written under grant OPP-0440643 from the US National Science Foundation. Logistic support was expertly supplied by the US Antarctic Research Program. This work was accomplished under Antarctic Conservation Permit ACA-2006-010, and under Institutional Animal Care Use Committee permit #878. We thank D. Karentz for supplying and helping with the radiometer deployment; and J. Eastman, R. L. Pitman, R. Hill, G. L. Kooyman, B. Wienecke, C. Barbraud, R. Ydenburg and three anonymous reviewers for very helpful information or critical comments. This is contribution 1812 of PRBO Conservation Science.</t>
  </si>
  <si>
    <t>10.1007/s00300-011-1042-x</t>
  </si>
  <si>
    <t>WOS:000297596700001</t>
  </si>
  <si>
    <t>Fernández, DA; Ceballos, SG; Malanga, G; Boy, CC; Vanella, FA</t>
  </si>
  <si>
    <t>Fernandez, Daniel A.; Ceballos, Santiago G.; Malanga, Gabriela; Boy, Claudia C.; Vanella, Fabian A.</t>
  </si>
  <si>
    <t>Buoyancy of sub-Antarctic notothenioids including the sister lineage of all other notothenioids (Bovichtidae)</t>
  </si>
  <si>
    <t>Beagle channel; Buoyancy; Fish; Notothenioids; Sub-Antarctic region</t>
  </si>
  <si>
    <t>PATAGONOTOTHEN-TESSELLATA RICHARDSON; FISH ELEGINOPS-MACLOVINUS; BEAGLE-CHANNEL; PAGOTHENIA-BORCHGREVINKI; ADAPTIVE RADIATION; MUSCLE; ARGENTINA; TEMPERATURE; ISLANDS; HABITS</t>
  </si>
  <si>
    <t>The radiation of notothenioid fishes (Perciformes) in Antarctic waters was likely the result of an absence of competition in the isolated Antarctic waters and key traits such as the production of antifreeze glycoprotein and buoyancy modifications. Although notothenioids lack a swim bladder, the buoyancy of Antarctic species, ranging from neutrally buoyant to relatively heavy, corresponds to diverse life styles. The buoyancy of South American notothenioids has not been studied. Static buoyancy was measured in adult notothenioids (n = 263, from six species of the sub-order Notothenioidei, families Bovichtidae, Eleginopidae, Nototheniidae, and Harpagiferidae) from the Beagle Channel. Measurements were expressed as percentage buoyancy (%B). Buoyancy ranged from 3.88 to 6.96% (median, 4.0-6.7%), and therefore, all species could be considered benthic consistent with previous studies that found that neutral buoyancy in notothenioids is rare. Harpagifer bispinis, Patagonotothen cornucola, and Cottoperca gobio were significantly less buoyant than Paranotothenia magellanica. The buoyancy values of most species were concordant with known habitat preferences. These data, especially the data of C. gobio (sister lineage of all other nototehnioids) and E. maclovinus (sister lineage of the Antarctic clade of notothenioids), could be useful for understanding the diversification of this feature during the notothenioid radiation.</t>
  </si>
  <si>
    <t>[Fernandez, Daniel A.; Ceballos, Santiago G.; Boy, Claudia C.; Vanella, Fabian A.] Ctr Austral Invest Cient CADIC CONICET, Ushuaia, Tierra Del Fueg, Argentina; [Malanga, Gabriela] Univ Buenos Aires, Phys Chem PRALIB, Sch Pharm &amp; Biochem, RA-1113 Buenos Aires, DF, Argentina</t>
  </si>
  <si>
    <t>Consejo Nacional de Investigaciones Cientificas y Tecnicas (CONICET); University of Buenos Aires</t>
  </si>
  <si>
    <t>Fernández, DA (corresponding author), Ctr Austral Invest Cient CADIC CONICET, 200 Bernardo Houssay,V9410CAB, Ushuaia, Tierra Del Fueg, Argentina.</t>
  </si>
  <si>
    <t>dfernandez@cadic-conicet.gob.ar</t>
  </si>
  <si>
    <t>Fernandez, Daniel Alfredo/0000-0002-3367-4138</t>
  </si>
  <si>
    <t>Agencia PICT [38152, 906]; CONICET [PIP 6187]</t>
  </si>
  <si>
    <t>Agencia PICT; CONICET(Consejo Nacional de Investigaciones Cientificas y Tecnicas (CONICET))</t>
  </si>
  <si>
    <t>We would like to thank Tomas Chalde, Facundo Llompart, Eliana Tetamanzi and Eugenia Di Fiore for sampling assistance. We would like to thank Daniel Aureliano, Sonia Rimbau, Marcelo Gutierrez, Mariela Victorio and Eliana Gonzales for lab assistance. We would like to acknowledge Dr. Jorge Calvo for his intellectual input into the project. We would like to thank Joe Eastman, Tom Near and an anonymous reviewer for constructive comments on the original manuscript. Sheryl Macnie and Sandy Becker provided English editorial assistance. Funds for the project were provided by Agencia PICT 38152 and PICT 906, and CONICET PIP 6187.</t>
  </si>
  <si>
    <t>10.1007/s00300-011-1037-7</t>
  </si>
  <si>
    <t>WOS:000297596700008</t>
  </si>
  <si>
    <t>Powell, SM; Palmer, AS; Johnstone, GJ; Snape, I; Stark, JS; Riddle, MJ</t>
  </si>
  <si>
    <t>Powell, S. M.; Palmer, A. S.; Johnstone, G. J.; Snape, I.; Stark, J. S.; Riddle, M. J.</t>
  </si>
  <si>
    <t>Benthic mats in Antarctica: biophysical coupling of sea-bed hypoxia and sediment communities</t>
  </si>
  <si>
    <t>Sulphur-oxidising; Benthic ecology; Bacterial diversity; Sediment hypoxia; Sea-ice</t>
  </si>
  <si>
    <t>LYSIANASSID AMPHIPODS; HUMAN IMPACTS; SP NOV.; DIVERSITY; PATTERNS; BACTERIA; ASSEMBLAGES; DISTURBANCE; ECOLOGY; TRAPS</t>
  </si>
  <si>
    <t>Transient white and grey mats were observed in depressions and enclosed basins in marine sediment in the Windmill Islands, East Antarctica. These patches have not been described in the Antarctic marine environment previously although a similar phenomenon has been described in the Arctic. Our aim was to describe the sediment geochemical and biological properties inside the patches and to determine their similarity to each other. We compared the benthic infaunal communities and the chemical properties of the sediment in the white patches to nearby sediment without white mats. We observed differences in sediment pH, Eh and elemental concentrations inside and outside patches. The benthic infaunal communities inside the patches were significantly different, lower in abundance and diversity, compared to outside the patches. The structure of the microbial communities within the mats was described by constructing clone libraries from four different patches. These clone libraries were dominated by bacteria from the bacteroidetes phylum. Clones closely related to sulphur-oxidising bacteria from the gammaproteobacteria and/or the epsilonproteobacteria were present in all libraries. This is the first detailed description of these patches in the Antarctic and demonstrates the link between physico-chemical factors and microbial and infaunal community structure. It appears that this phenomenon may be driven by the formation and persistence of sea-ice, and as both the spatial extent of sea-ice and its persistence in polar regions are likely to change under predicted climate change scenarios, we suggest this is a previously undocumented mechanism for climate change to impact polar ecosystems.</t>
  </si>
  <si>
    <t>[Powell, S. M.; Palmer, A. S.; Johnstone, G. J.; Snape, I.; Stark, J. S.; Riddle, M. J.] Australian Antarctic Div, Dept Sustainabil Environm Water Populat &amp; Communu, Kingston, Tas 7050, Australia; [Palmer, A. S.] Univ Tasmania, ACROSS, Sch Chem, Hobart, Tas 7001, Australia</t>
  </si>
  <si>
    <t>Australian Antarctic Division; University of Tasmania</t>
  </si>
  <si>
    <t>Powell, SM (corresponding author), Univ Tasmania, Tasmanian Inst Agr Sci, Private Bag 54, Hobart, Tas 7001, Australia.</t>
  </si>
  <si>
    <t>shane.powell@utas.edu.au</t>
  </si>
  <si>
    <t>Stark, Jonathan/ABF-4025-2020; Powell, Shane M/C-2391-2014</t>
  </si>
  <si>
    <t>Stark, Jonathan/0000-0002-4268-8072; Johnstone, Glenn/0000-0002-9302-4794; Powell, Shane/0000-0001-5082-1630</t>
  </si>
  <si>
    <t>Australian Antarctic Science [2201]</t>
  </si>
  <si>
    <t>Australian Antarctic Science</t>
  </si>
  <si>
    <t>The authors would like to thank the 2006 Casey dive team for assistance with sample collection and processing. This work was supported by Australian Antarctic Science grant 2201.</t>
  </si>
  <si>
    <t>10.1007/s00300-011-1043-9</t>
  </si>
  <si>
    <t>WOS:000297596700009</t>
  </si>
  <si>
    <t>Poulsen, AH; Kawaguchi, S; King, CK; King, RA; Nash, SMB</t>
  </si>
  <si>
    <t>Poulsen, Anita H.; Kawaguchi, So; King, Catherine K.; King, Robert A.; Nash, Susan M. Bengtson</t>
  </si>
  <si>
    <t>Behavioural sensitivity of a key Southern Ocean species (Antarctic krill, Euphausia superba) to p,p′-DDE exposure</t>
  </si>
  <si>
    <t>ECOTOXICOLOGY AND ENVIRONMENTAL SAFETY</t>
  </si>
  <si>
    <t>Antarctic krill; Persistent organic pollutant (POP); p,p '-DDE; Behavioural toxicity; Critical body residue (CBR) approach; Baseline toxicity</t>
  </si>
  <si>
    <t>PERSISTENT ORGANIC POLLUTANTS; SUBLETHAL TOXICITY; SEA-ICE; CONTAMINANTS; WATER; AMPHIPOD; DDT; TOXICOKINETICS; FRACTIONATION; MECHANISMS</t>
  </si>
  <si>
    <t>Persistent organic pollutants (POPs) have been frequently measured throughout the Southern Ocean food web for which little information is available to assess the potential risks of POP exposure. The current study evaluated the toxicological sensitivity of a key Southern Ocean species, Antarctic krill, to aqueous exposure of p,p'-dichlorodiphenyl dichloroethylene (p,p'-DDE). Behavioural endpoints were used as indicators of sublethal toxicity. Immediate behavioural responses (partial immobility and tail flicking) most likely reflect neurotoxicity, while the p,p'-DDE body residue causing a median level of sublethal toxicity in Antarctic krill following 96 h exposure (IEC50(sublethal) (toxicity) = 3.9 +/- 0.21 mmol/kg lipid weight) is comparable to those known to cause sublethal narcosis in temperate aquatic species. Critical body residues (CBRs) were more reproducible across tests than effective seawater concentrations. These findings support the concept of the CBR approach, that effective tissue residues are comparable across species and geographical ranges despite differences in environmental factors. (C) 2011 Elsevier Inc. All rights reserved.</t>
  </si>
  <si>
    <t>[Poulsen, Anita H.; Nash, Susan M. Bengtson] Univ Queensland, Natl Res Ctr Environm Toxicol Entox, Brisbane, Qld 4108, Australia; [Kawaguchi, So; King, Catherine K.; King, Robert A.] Australian Antarctic Div, Kingston, Tas 7050, Australia; [Nash, Susan M. Bengtson] Griffith Univ, Atmospher Environm Res Ctr, Brisbane, Qld 4111, Australia</t>
  </si>
  <si>
    <t>University of Queensland; Australian Antarctic Division; Griffith University</t>
  </si>
  <si>
    <t>anita.poulsen@uq.edu.au; so.kawaguchi@aad.gov.au; cath.king@aad.gov.au; rob.king@aad.gov.au; s.bengtsonnash@griffith.edu.au</t>
  </si>
  <si>
    <t>Bengtson Nash, Susan/I-3942-2015; Kawaguchi, So/N-1795-2017; Poulsen, Anita H/G-2190-2010; King, Catherine K/G-7059-2017; Bengtson Nash, Susan/GMX-4611-2022</t>
  </si>
  <si>
    <t>Bengtson Nash, Susan/0000-0001-5928-0850; King, Catherine K/0000-0003-3356-0381; Bengtson Nash, Susan/0000-0001-5928-0850; Kawaguchi, So/0000-0002-2042-5095; King, Robert/0000-0002-4650-2335</t>
  </si>
  <si>
    <t>Australian Research Council [DP666891]</t>
  </si>
  <si>
    <t>Australian Research Council(Australian Research Council)</t>
  </si>
  <si>
    <t>The authors are thankful to staff of the AAD for krill collection and maintenance and, to Peter Nichols and Patti Lucas for advice on krill lipid extraction. The manuscript has greatly benefitted from the helpful input of Caroline Gaus, Beate Escher, Peter Landrum as well as anonymous reviewers. This research was funded by an Australian Research Council Discovery grant (DP666891). Entox is a partnership between the University of Queensland and Queensland Health.</t>
  </si>
  <si>
    <t>0147-6513</t>
  </si>
  <si>
    <t>1090-2414</t>
  </si>
  <si>
    <t>ECOTOX ENVIRON SAFE</t>
  </si>
  <si>
    <t>Ecotox. Environ. Safe.</t>
  </si>
  <si>
    <t>10.1016/j.ecoenv.2011.09.005</t>
  </si>
  <si>
    <t>Environmental Sciences; Toxicology</t>
  </si>
  <si>
    <t>Environmental Sciences &amp; Ecology; Toxicology</t>
  </si>
  <si>
    <t>848XN</t>
  </si>
  <si>
    <t>WOS:000297088500021</t>
  </si>
  <si>
    <t>Emery, TJ; Green, BS; Gardner, C; Tisdell, J</t>
  </si>
  <si>
    <t>Emery, Timothy J.; Green, Bridget S.; Gardner, Caleb; Tisdell, John</t>
  </si>
  <si>
    <t>Are input controls required in individual transferable quota fisheries to address ecosystem based fisheries management objectives?</t>
  </si>
  <si>
    <t>MARINE POLICY</t>
  </si>
  <si>
    <t>Individual transferable quota; Ecosystem based fisheries management; Input controls; Fisheries management; ITQs; Externalities</t>
  </si>
  <si>
    <t>MARINE PROTECTED AREAS; HECTORS DOLPHIN; CONSERVATION; ITQS; RIGHTS; BIODIVERSITY; UNCERTAINTY; PROPERTY; RESOURCE; IMPACTS</t>
  </si>
  <si>
    <t>This study examined the use of Individual Transferable Quotas (ITQs) to effectively manage fishing impacts on all ecosystem components, as required under Ecosystem Based Fisheries Management (EBFM) principles. A consequence of changing from input controls to output-based (catch) management is that the control of the regulating authority tends to be reduced, which may affect the outcomes for ecosystem management. This study reviewed the use of input controls across six fishing methods in 18 ITQ fisheries, which have been independently accredited as ecologically sustainable by the Marine Stewardship Council (12 fisheries) or under Australian environmental legislation for Wildlife Trade Operation (six fisheries). Input controls were retained across a range of ITQ fisheries, with non-selective fisheries such as trawl, gillnet and line employing more input controls than selective fisheries such as purse-seine, pot/trap and dredge. Further case-studies confirmed the widespread and recent use of input controls (spatial and temporal closures) with the aim of managing ecosystem impacts of fishing. The retention of input controls, particularly closures affects the security (quality of title) characteristic of the fishing use right and the theoretical ability of fishers to manage their right for their future benefit. The security characteristic is weakened by closures through loss of access, which undermines industry trust and incentive for long-term decision making. By reducing the security of ITQs, individual fisher incentives and behaviour may separate from societal objectives for sustainability, which was one of the foremost reasons for introducing ITQ management. (C) 2011 Elsevier Ltd. All rights reserved.</t>
  </si>
  <si>
    <t>[Emery, Timothy J.; Green, Bridget S.; Gardner, Caleb] Univ Tasmania, Inst Marine &amp; Antarctic Studies, Hobart, Tas 7001, Australia; [Tisdell, John] Univ Tasmania, Sch Econ &amp; Finance, Hobart, Tas 7001, Australia</t>
  </si>
  <si>
    <t>Emery, TJ (corresponding author), Univ Tasmania, Inst Marine &amp; Antarctic Studies, Private Bay 49, Hobart, Tas 7001, Australia.</t>
  </si>
  <si>
    <t>timothy.emery@utas.edu.au; bridget.green@utas.edu.au; caleb.gardner@utas.edu.au</t>
  </si>
  <si>
    <t>Green, Bridget S/G-3368-2014; Gardner, Caleb/I-7086-2013</t>
  </si>
  <si>
    <t>Gardner, Caleb/0000-0003-0324-4337; Emery, Timothy/0000-0002-4203-671X; Tisdell, John/0000-0001-9949-1644</t>
  </si>
  <si>
    <t>0308-597X</t>
  </si>
  <si>
    <t>1872-9460</t>
  </si>
  <si>
    <t>MAR POLICY</t>
  </si>
  <si>
    <t>Mar. Pol.</t>
  </si>
  <si>
    <t>10.1016/j.marpol.2011.04.005</t>
  </si>
  <si>
    <t>Environmental Studies; International Relations</t>
  </si>
  <si>
    <t>Social Science Citation Index (SSCI)</t>
  </si>
  <si>
    <t>Environmental Sciences &amp; Ecology; International Relations</t>
  </si>
  <si>
    <t>834ZP</t>
  </si>
  <si>
    <t>WOS:000296003300015</t>
  </si>
  <si>
    <t>Niihara, T</t>
  </si>
  <si>
    <t>Niihara, Takafumi</t>
  </si>
  <si>
    <t>Uranium-lead age of baddeleyite in shergottite Roberts Massif 04261: Implications for magmatic activity on Mars</t>
  </si>
  <si>
    <t>JOURNAL OF GEOPHYSICAL RESEARCH-PLANETS</t>
  </si>
  <si>
    <t>ND ISOTOPIC SYSTEMATICS; U-TH-PB; RB-SR; ZIRCON; EVOLUTION; SHOCK; GEOCHRONOLOGY; PETROGENESIS; METAMORPHISM; CONSTRAINTS</t>
  </si>
  <si>
    <t>The issue of the duration of Martian magmatic activity is one of the controversial debates recently: whether the young radiometric ages of similar to 180 Ma for shergottites, a class of Martian meteorites, reflect the timing of crystallization from a magma or rather record later events related to shock metamorphism. In order to address the timescale over which Mars was geologically active, we have undertaken U-Pb isotopic studies on baddeleyite in the Roberts Massif (RBT) 04261 shergottite. Baddeleyite in RBT 04261 is usually associated with ilmenite and shows monoclinic structure, suggesting that the baddeleyite could have formed by crystallization from a residual liquid and not by shock metamorphism. In situ U-Th-Pb isotopic analyses of baddeleyite yield a young U-238-Pb-206 age of similar to 200 Ma. Since the U-Pb system of baddeleyite is considered to be more resistant to resetting during reheating events, and olivine in RBT 04261 preserves an igneous calcium zoning, the young age of baddeleyite could be interpreted as a crystallization age of RBT 04261. The present results imply that Martian magma was still forming only 200 Ma ago, and that Mars had been geologically active until the recent past.</t>
  </si>
  <si>
    <t>[Niihara, Takafumi] Natl Inst Polar Res, Antarctic Meteorite Res Ctr, Tachikawa, Tokyo, Japan; [Niihara, Takafumi] Grad Univ Adv Studies, Dept Polar Sci, Tachikawa, Tokyo, Japan</t>
  </si>
  <si>
    <t>Research Organization of Information &amp; Systems (ROIS); National Institute of Polar Research (NIPR) - Japan; Graduate University for Advanced Studies - Japan</t>
  </si>
  <si>
    <t>Niihara, T (corresponding author), Univ Space Res Assoc, Lunar &amp; Planetary Inst, Ctr Lunar Sci &amp; Explorat, 3600 Bay Area Blvd, Houston, TX 77058 USA.</t>
  </si>
  <si>
    <t>niihara@lpi.usra.edu</t>
  </si>
  <si>
    <t>Niihara, Takafumi/0000-0001-9535-6728</t>
  </si>
  <si>
    <t>JSPS [B-13440151]; Grants-in-Aid for Scientific Research [13440151]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</si>
  <si>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</si>
  <si>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RBT 04261 samples were allocated from the Meteorite Working Group. Sample collection of anorthositic gabbros from the Duluth Complex was supported by JSPS, Grant-in-Aid for Scientific Research (B-13440151) to K. Shiraishi. This paper is a part of the author's Ph.D. thesis. The author thanks K. Misawa for his guidance and support throughout this work. He is also grateful to the staff of SHRIMP Laboratory at NIPR, especially H. Kaiden, K. Horie, and O. Tachikawa for their help during the course of SHRIMP analysis. Constructive comments from L. E. Nyquist, D. A. Kring, K. Righter, and an anonymous reviewer improved and clarified the manuscript. This is LPI contribution 1644.</t>
  </si>
  <si>
    <t>2169-9097</t>
  </si>
  <si>
    <t>2169-9100</t>
  </si>
  <si>
    <t>J GEOPHYS RES-PLANET</t>
  </si>
  <si>
    <t>J. Geophys. Res.-Planets</t>
  </si>
  <si>
    <t>DEC 31</t>
  </si>
  <si>
    <t>E12008</t>
  </si>
  <si>
    <t>10.1029/2011JE003802</t>
  </si>
  <si>
    <t>871SH</t>
  </si>
  <si>
    <t>WOS:000298757500001</t>
  </si>
  <si>
    <t>Gillet-Chaulet, F; Hindmarsh, RCA; Corr, HFJ; King, EC; Jenkins, A</t>
  </si>
  <si>
    <t>Gillet-Chaulet, Fabien; Hindmarsh, Richard C. A.; Corr, Hugh F. J.; King, Edward C.; Jenkins, Adrian</t>
  </si>
  <si>
    <t>In-situ quantification of ice rheology and direct measurement of the Raymond Effect at Summit, Greenland using a phase-sensitive radar</t>
  </si>
  <si>
    <t>GEOPHYSICAL RESEARCH LETTERS</t>
  </si>
  <si>
    <t>SIPLE DOME; FLOW; DIVIDE; SHEETS; RATES</t>
  </si>
  <si>
    <t>The Glen exponent n characterizes the stress-dependence of ice deformation, directly influencing the rate at which ice masses respond to external forcing. The slow deformation in large ice-sheets makes laboratory rheometry at representative strain-rates difficult. We develop a new technique to estimate n in-situ, deploying a phase-sensitive radar to measure vertical strain rates of around 10(-4) yr(-1) within the top 1000 m of ice across ice divides at Summit and NEEM, Greenland. A fluid-dynamical feature, the Raymond Effect, predicts strong vertical strain-rate variation across divides over distances of a few ice-thicknesses. We achieve sufficient resolution to show this pattern, enabling us to estimate n = 4.5 by inverting our observations with flow modelling. This is higher than values previously used but consistent with other indirect measurements, implying laboratory measurements do not explore the full range of ice rheology and the consequent possibility of a greater sensitivity and responsiveness in ice-sheet dynamics. Citation: Gillet-Chaulet, F., R. C. A. Hindmarsh, H. F. J. Corr, E. C. King, and A. Jenkins (2011), In-situ quantification of ice rheology and direct measurement of the Raymond Effect at Summit, Greenland using a phase-sensitive radar, Geophys. Res. Lett., 38, L24503, doi: 10.1029/2011GL049843.</t>
  </si>
  <si>
    <t>[Gillet-Chaulet, Fabien] CNRS, Lab Glaciol &amp; Geophys Environm, UMR 5183, UJF Grenoble 1, F-38041 Grenoble, France; [Gillet-Chaulet, Fabien; Hindmarsh, Richard C. A.; Corr, Hugh F. J.; King, Edward C.; Jenkins, Adrian] British Antarctic Survey, NERC, Div Phys Sci, Cambridge CB3 0ET, England</t>
  </si>
  <si>
    <t>Centre National de la Recherche Scientifique (CNRS); Communaute Universite Grenoble Alpes; Universite Grenoble Alpes (UGA); UK Research &amp; Innovation (UKRI); Natural Environment Research Council (NERC); NERC British Antarctic Survey</t>
  </si>
  <si>
    <t>Gillet-Chaulet, F (corresponding author), CNRS, Lab Glaciol &amp; Geophys Environm, UMR 5183, UJF Grenoble 1, 54 Rue Moliere,BP 96, F-38041 Grenoble, France.</t>
  </si>
  <si>
    <t>gillet-chaulet@lgge.obs.ujf-grenoble.fr; rcah@bas.ac.uk; hfjc@bas.ac.uk; ecki@bas.ac.uk; ajen@bas.ac.uk</t>
  </si>
  <si>
    <t>Jenkins, Adrian/IUN-2406-2023; Corr, Hugh/C-5398-2011; Hindmarsh, Richard/N-1195-2019</t>
  </si>
  <si>
    <t>Hindmarsh, Richard/0000-0003-1633-2416; Jenkins, Adrian/0000-0002-9117-0616</t>
  </si>
  <si>
    <t>NERC [NE/F00446X/1]; Natural Environment Research Council [NE/F00446X/1, bas0100027] Funding Source: researchfish; NERC [bas0100027, NE/F00446X/1] Funding Source: UKRI</t>
  </si>
  <si>
    <t>We would like to thank the five reviewers, O. Eisen, H. Conway, K. Matsuoka and two anonymous, for their constructive comments. Our thanks to C. Day and T. Burton for their assistance in collecting the data. We gratefully acknowledge Summit and NEEM camp staffs for the logistic support. This work was supported by NERC grant NE/F00446X/1 Measuring and modelling the Raymond Effect for to infer low strain-rate ice rheology.</t>
  </si>
  <si>
    <t>0094-8276</t>
  </si>
  <si>
    <t>1944-8007</t>
  </si>
  <si>
    <t>GEOPHYS RES LETT</t>
  </si>
  <si>
    <t>Geophys. Res. Lett.</t>
  </si>
  <si>
    <t>L24503</t>
  </si>
  <si>
    <t>10.1029/2011GL049843</t>
  </si>
  <si>
    <t>871TP</t>
  </si>
  <si>
    <t>WOS:000298760900004</t>
  </si>
  <si>
    <t>Lu, G; Li, WH; Raeder, J; Deng, Y; Rich, F; Ober, D; Zhang, YL; Paxton, L; Ruohoniemi, JM; Hairston, M; Newell, P</t>
  </si>
  <si>
    <t>Lu, G.; Li, W. H.; Raeder, J.; Deng, Y.; Rich, F.; Ober, D.; Zhang, Y. L.; Paxton, L.; Ruohoniemi, J. M.; Hairston, M.; Newell, P.</t>
  </si>
  <si>
    <t>Reversed two-cell convection in the Northern and Southern hemispheres during northward interplanetary magnetic field</t>
  </si>
  <si>
    <t>JOURNAL OF GEOPHYSICAL RESEARCH-SPACE PHYSICS</t>
  </si>
  <si>
    <t>POLAR-CAP; PARTICLE-PRECIPITATION; IONOSPHERE; SATURATION; MODEL; MAGNETOSPHERE; THERMOSPHERE; RECONNECTION; SIGNATURES; CHALLENGE</t>
  </si>
  <si>
    <t>This article presents a case study of large-scale ionospheric convection in the Northern and Southern Hemispheres under strongly northward interplanetary magnetic field (IMF) conditions on 9 November 2004. Using a comprehensive data set from both ground-and space-based instruments, the study shows the formation of reversed two-cell convection in both the Northern and Southern Hemispheres that lasted for nearly 2 hours. Examination of the concurrent satellite energy-time spectrograms of precipitating particles reveals that reverse convection occurs in the region filled mostly with the boundary plasma sheet (BPS) type precipitating electrons except that the electron number flux is much smaller than that in the normal BPS. We have named this region the northward B-z boundary layer (NBZBL), which we interpret as a consequence of double-lobe reconnection. This interpretation is corroborated by the global MHD simulations, which show that the NBZBL consists of mostly closed field lines, resulting from double-lobe reconnection in both the hemispheres, together with intermittent presence of overdraped open field lines, resulting from single-lobe reconnection in one of the hemispheres. In addition to reversed two-cell convection, the distribution of field-aligned currents (FACs) shows clearly the presence of a pair of the northward B-z (NBZ) currents near the central polar region in both the hemispheres. Intense downward Poynting flux with a peak value around 100 mW/m(2) is also seen in the high-latitude polar region, which tends to surround the upward leg of the NBZ currents. Finally, the potential drop between the two reverse-convection cells exceeds 100 kV, which is far larger than the values reported in any previous studies of reverse convection under northward IMF conditions. The unusually large reverse potential drop in this case is attributed in part to the strong NBZ component of 35-40 nT and in part to the unusually large solar wind dynamic pressure that is about five times its nominal value.</t>
  </si>
  <si>
    <t>[Lu, G.] Natl Ctr Atmospher Res, High Altitude Observ, Boulder, CO 80301 USA; [Li, W. H.; Raeder, J.] Univ New Hampshire, Ctr Space Sci, Dept Phys, Durham, NH 03824 USA; [Deng, Y.] Univ Texas Arlington, Dept Phys, Arlington, TX 76019 USA; [Rich, F.] MIT, Lincoln Lab, Lexington, MA 02421 USA; [Rich, F.; Ober, D.] USAF, Res Lab, Kirtland AFB, NM 87117 USA; [Zhang, Y. L.; Paxton, L.; Newell, P.] Johns Hopkins Univ, Appl Phys Lab, Laurel, MD 20723 USA; [Ruohoniemi, J. M.] Virginia Polytech Inst &amp; State Univ, Dept Engn, Blacksburg, VA 24061 USA; [Hairston, M.] Univ Texas Dallas, Ctr Space Sci, Dallas, TX 75080 USA</t>
  </si>
  <si>
    <t>National Center Atmospheric Research (NCAR) - USA; University System Of New Hampshire; University of New Hampshire; University of Texas System; University of Texas Arlington; Massachusetts Institute of Technology (MIT); Lincoln Laboratory; United States Department of Defense; United States Air Force; Johns Hopkins University; Johns Hopkins University Applied Physics Laboratory; Virginia Polytechnic Institute &amp; State University; University of Texas System; University of Texas Dallas</t>
  </si>
  <si>
    <t>Lu, G (corresponding author), Natl Ctr Atmospher Res, High Altitude Observ, 3080 Ctr Green, Boulder, CO 80301 USA.</t>
  </si>
  <si>
    <t>ganglu@ucar.edu</t>
  </si>
  <si>
    <t>Zhang, Yongliang/C-2180-2016; Lu, Gang/A-6669-2011; Paxton, Larry/D-1934-2015</t>
  </si>
  <si>
    <t>Zhang, Yongliang/0000-0003-4851-1662; Paxton, Larry/0000-0002-2597-347X; Hairston, Marc/0000-0003-4524-4837; Li, Wenhui/0000-0002-0842-5084</t>
  </si>
  <si>
    <t>National Science Foundation (NSF) [OCI-0749125, ATM-0639658, ATM0955629]; National Aeronautics and Space Administration (NASA) [NNX10AL07G, NNH09AK621]; Div Atmospheric &amp; Geospace Sciences; Directorate For Geosciences [0929367] Funding Source: National Science Foundation; Science and Technology Facilities Council [PP/E007929/1] Funding Source: researchfish; STFC [PP/E007929/1] Funding Source: UKRI</t>
  </si>
  <si>
    <t>National Science Foundation (NSF)(National Science Foundation (NSF)); National Aeronautics and Space Administration (NASA)(National Aeronautics &amp; Space Administration (NASA)); Div Atmospheric &amp; Geospace Sciences; Directorate For Geosciences(National Science Foundation (NSF)NSF - Directorate for Geosciences (GEO)); Science and Technology Facilities Council(UK Research &amp; Innovation (UKRI)Science &amp; Technology Facilities Council (STFC)); STFC(UK Research &amp; Innovation (UKRI)Science &amp; Technology Facilities Council (STFC))</t>
  </si>
  <si>
    <t>We wish to acknowledge the International Real-time Magnetic Observatory Network for the INTERMAGNET magnetometer network, the Geophysical Institute of the University of Alaska for the Alaska magnetometer stations, the Solar-Terrestrial Environment Laboratory of the Nagoya University for the 210 magnetic meridian chain, the Finnish Meteorological Institute for the IMAGE chain, the Canadian Space Agency for CARISMA magnetometer network, and the Space Plasma Environment and Radio Science (SPEARS) in the Department of Communication Systems at the Lancaster University for the SAMNET magnetometer chain, and the Danish Meteorological Institute for the Greenland magnetometer stations. J. Posch at Augsburg College and O. Troshichev at the Arctic and Antarctic Research Institute in Russia provided additional ground magnetometer data used in this study. We also acknowledge the CEDAR data based at the National Center for Atmospheric Research (NCAR) for providing the F10.7 and auroral hemispheric power indices used in this study. The ACE solar wind and IMF key parameters were obtained from the NASA CDAW website. The DMSP particle detectors were designed by Dave Hardy of Air Force Research Laboratory, and data were obtained from JHU/APL. The research at UNH was supported by grants OCI-0749125 and ATM-0639658 from the National Science Foundation (NSF) and by grant NNX10AL07G from the National Aeronautics and Space Administration (NASA). Work at UTA was supported by NSF grant ATM0955629. Work at HAO/NCAR was supported in part by NASA's Heliophysics Guest Investigators Program under grant NNH09AK621. NCAR is sponsored by the NSF.</t>
  </si>
  <si>
    <t>2169-9380</t>
  </si>
  <si>
    <t>2169-9402</t>
  </si>
  <si>
    <t>J GEOPHYS RES-SPACE</t>
  </si>
  <si>
    <t>J. Geophys. Res-Space Phys.</t>
  </si>
  <si>
    <t>A12237</t>
  </si>
  <si>
    <t>10.1029/2011JA017043</t>
  </si>
  <si>
    <t>871UC</t>
  </si>
  <si>
    <t>WOS:000298762200005</t>
  </si>
  <si>
    <t>Linder, EV</t>
  </si>
  <si>
    <t>Linder, Eric V.</t>
  </si>
  <si>
    <t>Lensing time delays and cosmological complementarity</t>
  </si>
  <si>
    <t>PHYSICAL REVIEW D</t>
  </si>
  <si>
    <t>DARK ENERGY; CONSTRAINTS; CURVATURE; GALAXIES; TESTS</t>
  </si>
  <si>
    <t>Time delays in strong gravitational lensing systems possess significant complementarity with distance measurements to determine the dark energy equation of state, as well as the matter density and Hubble constant. Time delays are most useful when observations permit detailed lens modeling and variability studies, requiring high resolution imaging, long time monitoring, and rapid cadence. We quantify the constraints possible between a sample of 150 such time delay lenses and a near term supernova program, such as might become available from an Antarctic telescope such as the KDUST and the Dark Energy Survey. Adding time delay data to supernovae plus cosmic microwave background information can improve the dark energy figure of merit by almost a factor 5 and determine the matter density Omega(m) to 0.004, the Hubble constant h to 0.7%, and the dark energy equation of state time variation w(a) to 0.26, systematics permitting.</t>
  </si>
  <si>
    <t>[Linder, Eric V.] Berkeley Lab, Berkeley, CA 94720 USA; [Linder, Eric V.] Univ Calif Berkeley, Berkeley, CA 94720 USA; [Linder, Eric V.] Ewha Womans Univ, Inst Early Universe WCU, Seoul, South Korea</t>
  </si>
  <si>
    <t>United States Department of Energy (DOE); Lawrence Berkeley National Laboratory; University of California System; University of California Berkeley; Ewha Womans University</t>
  </si>
  <si>
    <t>Linder, EV (corresponding author), Berkeley Lab, Berkeley, CA 94720 USA.</t>
  </si>
  <si>
    <t>Office of Science, Office of High Energy Physics, of the U.S. Department of Energy [DE-AC02-05CH11231]; World Class University through National Research Foundation, Ministry of Education, Science and Technology of Korea [R32-2009-000-10130-0]</t>
  </si>
  <si>
    <t>Office of Science, Office of High Energy Physics, of the U.S. Department of Energy(United States Department of Energy (DOE)); World Class University through National Research Foundation, Ministry of Education, Science and Technology of Korea</t>
  </si>
  <si>
    <t>I gratefully acknowledge Sherry Suyu for helpful discussions, and thank the Niels Bohr International Academy and Dark Cosmology Centre, University of Copenhagen for hospitality during the workshop inspiring this research. This work has been supported in part by the Director, Office of Science, Office of High Energy Physics, of the U.S. Department of Energy under Contract No. DE-AC02-05CH11231 and by World Class University Grant No. R32-2009-000-10130-0 through the National Research Foundation, Ministry of Education, Science and Technology of Korea.</t>
  </si>
  <si>
    <t>AMER PHYSICAL SOC</t>
  </si>
  <si>
    <t>COLLEGE PK</t>
  </si>
  <si>
    <t>ONE PHYSICS ELLIPSE, COLLEGE PK, MD 20740-3844 USA</t>
  </si>
  <si>
    <t>1550-7998</t>
  </si>
  <si>
    <t>1550-2368</t>
  </si>
  <si>
    <t>PHYS REV D</t>
  </si>
  <si>
    <t>Phys. Rev. D</t>
  </si>
  <si>
    <t>DEC 30</t>
  </si>
  <si>
    <t>10.1103/PhysRevD.84.123529</t>
  </si>
  <si>
    <t>870KC</t>
  </si>
  <si>
    <t>hybrid, Green Submitted</t>
  </si>
  <si>
    <t>WOS:000298667100004</t>
  </si>
  <si>
    <t>Chierici, M; Fransson, A; Lansard, B; Miller, LA; Mucci, A; Shadwick, E; Thomas, H; Tremblay, JE; Papakyriakou, TN</t>
  </si>
  <si>
    <t>Chierici, Melissa; Fransson, Agneta; Lansard, Bruno; Miller, Lisa A.; Mucci, Alfonso; Shadwick, Elizabeth; Thomas, Helmuth; Tremblay, J. -E.; Papakyriakou, Tim N.</t>
  </si>
  <si>
    <t>Impact of biogeochemical processes and environmental factors on the calcium carbonate saturation state in the Circumpolar Flaw Lead in the Amundsen Gulf, Arctic Ocean</t>
  </si>
  <si>
    <t>JOURNAL OF GEOPHYSICAL RESEARCH-OCEANS</t>
  </si>
  <si>
    <t>DISSOCIATION-CONSTANTS; SURFACE-WATER; FRESH-WATER; ACIDIFICATION; SEAWATER; SEA; SHELF; ACID; ICE; UNDERSATURATION</t>
  </si>
  <si>
    <t>We report on measurements across an annual cycle of carbon dioxide system parameters in the polar mixed layer (PML) of the circumpolar flaw lead in the Amundsen Gulf, Arctic Ocean. From these and other properties (nitrate, S, T) of the PML, we found that biological processes (photosynthesis and respiration) accounted for about 50% of the monthly variations in the carbonate ion concentration, [CO32-] and Omega, the saturation state of these waters with respect to calcite (Omega(Ca)) and aragonite (Omega(Ar)). Vertical mixing and salinity changes had equal impacts over the annual cycle. The impact of sea ice meltwater resulted in decreasing Omega values in summer, but most of this change was offset by the Omega increase as a result of CO2 drawdown during biological photosynthesis.</t>
  </si>
  <si>
    <t>[Chierici, Melissa] Univ Gothenburg, Dept Chem, SE-41296 Gothenburg, Sweden; [Fransson, Agneta] Univ Gothenburg, Dept Earth Sci, SE-40530 Gothenburg, Sweden; [Lansard, Bruno; Mucci, Alfonso] McGill Univ, Ctr Res Isotop Geochem &amp; Geochronoloy GEOTOP, Montreal, PQ H3A 2A7, Canada; [Miller, Lisa A.] Fisheries &amp; Oceans Canada, Inst Ocean Sci, Sidney, BC V8L 4B2, Canada; [Papakyriakou, Tim N.] Univ Manitoba, Ctr Earth Observat Sci, Winnipeg, MB R3T 2N2, Canada; [Shadwick, Elizabeth] Univ Tasmania, Antarctic Climate &amp; Ecosystems Cooperat Res Ctr, Hobart, Tas 7001, Australia; [Shadwick, Elizabeth; Thomas, Helmuth] Dalhousie Univ, Dept Oceanog, Halifax, NS B3H 4R2, Canada; [Tremblay, J. -E.] Univ Laval, Dept Biol, Montreal, PQ H3A 1B1, Canada; [Chierici, Melissa] Inst Marine Res, Tromso, Norway; [Lansard, Bruno] McGill Univ, Dept Earth &amp; Planetary Sci, Montreal, PQ H3A 2A7, Canada</t>
  </si>
  <si>
    <t>University of Gothenburg; University of Gothenburg; McGill University; Fisheries &amp; Oceans Canada; University of Manitoba; University of Tasmania; Dalhousie University; Laval University; Institute of Marine Research - Norway; McGill University</t>
  </si>
  <si>
    <t>Chierici, M (corresponding author), Univ Gothenburg, Dept Chem, SE-41296 Gothenburg, Sweden.</t>
  </si>
  <si>
    <t>melissa@chem.gu.se</t>
  </si>
  <si>
    <t>Lansard, Bruno/B-3000-2013</t>
  </si>
  <si>
    <t>Papakyriakou, Tim/0000-0002-2019-9104; Shadwick, Elizabeth/0000-0003-4008-3333; Mucci, Alfonso/0000-0001-9155-6319; Lansard, Bruno/0000-0002-9059-6981</t>
  </si>
  <si>
    <t>Swedish Research Council (VR) [2008-6226, 2007-8365]; Royal Society of Arts and Sciences in Sweden; Canadian Natural Science and Engineering Research Council; ArcticNet; Fisheries and Oceans Canada; MetOcean DataSystems</t>
  </si>
  <si>
    <t>Swedish Research Council (VR)(Swedish Research Council); Royal Society of Arts and Sciences in Sweden; Canadian Natural Science and Engineering Research Council(Natural Sciences and Engineering Research Council of Canada (NSERC)); ArcticNet; Fisheries and Oceans Canada; MetOcean DataSystems</t>
  </si>
  <si>
    <t>We are grateful to the captains, officers, and crew of the Canadian Coast Guard Ship (CCGS) Amundsen for their cooperation in the collection of field data, as well as to the chief scientists throughout the project. We thank Yves Gratton and his team of rosette operators for the collection and distribution of hydrographic data. Many thanks to Friederike Prowe, Stelly Lefort, Constance Guignard, Nes Sutherland, Stephanie Moore, Doris Leong, and Kyle Simpson for their assistance with sample collection and analysis. This work was supported by Swedish Research Council (VR) projects 2008-6226 and 2007-8365, the Royal Society of Arts and Sciences in Sweden, the Canadian Natural Science and Engineering Research Council, ArcticNet, Fisheries and Oceans Canada, and MetOcean DataSystems. This research contributes to the Canadian International Polar Year initiatives, as part of the Circumpolar Flaw Lead System Study project.</t>
  </si>
  <si>
    <t>2169-9275</t>
  </si>
  <si>
    <t>2169-9291</t>
  </si>
  <si>
    <t>J GEOPHYS RES-OCEANS</t>
  </si>
  <si>
    <t>J. Geophys. Res.-Oceans</t>
  </si>
  <si>
    <t>C00G09</t>
  </si>
  <si>
    <t>10.1029/2011JC007184</t>
  </si>
  <si>
    <t>871SR</t>
  </si>
  <si>
    <t>WOS:000298758500001</t>
  </si>
  <si>
    <t>Grenier, M; Cravatte, S; Blanke, B; Menkes, C; Koch-Larrouy, A; Durand, F; Melet, A; Jeandel, C</t>
  </si>
  <si>
    <t>Grenier, Melanie; Cravatte, Sophie; Blanke, Bruno; Menkes, Christophe; Koch-Larrouy, Ariane; Durand, Fabien; Melet, Angelique; Jeandel, Catherine</t>
  </si>
  <si>
    <t>From the western boundary currents to the Pacific Equatorial Undercurrent: Modeled pathways and water mass evolutions</t>
  </si>
  <si>
    <t>PAPUA-NEW-GUINEA; ANTARCTIC INTERMEDIATE WATER; GENERAL-CIRCULATION MODEL; OCEAN CIRCULATION; TROPICAL PACIFIC; VARIABILITY; IRON; REANALYSIS; MINDANAO; ATLANTIC</t>
  </si>
  <si>
    <t>The hydrological and geochemical properties of the waters constituting the Pacific Equatorial Undercurrent (EUC) determine the properties of the equatorial cold tongue. Understanding and quantifying the various EUC origins is therefore of prime importance. For this purpose, a high-resolution (1/4 degrees) interannual oceanic simulation was analyzed from the western tropical Pacific boundaries to 140 degrees W, using a Lagrangian framework. Waters from the Low-Latitude Western Boundary Currents (LLWBCs) transiting from Vitiaz Strait (the main contributor), from Solomon Strait, and via the Mindanao Current were identified as the principal sources to the EUC. Waters conveyed by the interior ocean off equator are negligible till 180 E. The LLWBCs' waters represent 87% of the EUC transport at 156 degrees E out of which the New Guinea Coastal Undercurrent (NGCU) is as large as 47%. The EUC meridional distribution suggests that the waters originating from Solomon Strait and Mindanao Current mostly remain in the hemisphere from which they originate. Contrastingly, Vitiaz Strait waters are found in both hemispheres. The vertical EUC distribution shows that the lower layer of the EUC is mainly composed of Vitiaz Strait waters. Finally, the source transport distributions were characterized, at their origin and within the EUC, as a function of density. These distributions showed that waters flowing through Vitiaz Strait at densities higher than those of the EUC (down to sigma(theta) = 27.2 kg m(-3)) undergo a diapycnal mixing and lighten during their journey to join the EUC. This lightening supports the suggestion that the NGCU is a major source for the EUC geochemical enrichment.</t>
  </si>
  <si>
    <t>[Cravatte, Sophie; Durand, Fabien; Melet, Angelique; Jeandel, Catherine] LEGOS, F-31400 Toulouse, France; [Blanke, Bruno] Univ Bretagne, Lab Phys Oceans, CNRS IFREMER IRD UBO, UMR 6523, F-29238 Brest, France; [Melet, Angelique] Univ Grenoble, CNRS, LEGI, UMR 5519, F-38041 Grenoble 9, France; [Menkes, Christophe] Univ Paris 06, LOCEAN, UPMC IRD CNRS MNHN, F-75252 Paris 05, France</t>
  </si>
  <si>
    <t>Universite de Toulouse; Universite Toulouse III - Paul Sabatier; Centre National de la Recherche Scientifique (CNRS); Institut de Recherche pour le Developpement (IRD); Laboratoire d'Etudes en Geophysique et oceanographie spatiales; Centre National de la Recherche Scientifique (CNRS); CNRS - National Institute for Earth Sciences &amp; Astronomy (INSU); Ifremer; Institut de Recherche pour le Developpement (IRD); Universite de Bretagne Occidentale; Communaute Universite Grenoble Alpes; Institut National Polytechnique de Grenoble; Universite Grenoble Alpes (UGA); Centre National de la Recherche Scientifique (CNRS); Sorbonne Universite; Museum National d'Histoire Naturelle (MNHN)</t>
  </si>
  <si>
    <t>Grenier, M (corresponding author), LEGOS, 14 Ave Edouard Belin, F-31400 Toulouse, France.</t>
  </si>
  <si>
    <t>melanie.grenier@legos.obs-mip.fr</t>
  </si>
  <si>
    <t>Jeandel, Catherine/P-3789-2014; Cravatte, Sophie/AAI-4635-2021; koch-larrouy, ariane/M-4915-2017; Cravatte, Sophie/J-7081-2016; Melet, Angelique/ABE-5148-2020; DURAND, Fabien/G-4229-2016; menkes, christophe/H-9085-2016; Blanke, Bruno/H-4280-2015</t>
  </si>
  <si>
    <t>Jeandel, Catherine/0000-0002-4915-4719; Cravatte, Sophie/0000-0002-2439-8952; Cravatte, Sophie/0000-0002-2439-8952; Melet, Angelique/0000-0003-3888-8159; DURAND, Fabien/0000-0001-9660-1422; Grenier, Melanie/0000-0001-7278-6880; menkes, christophe/0000-0002-1457-9696; Blanke, Bruno/0000-0002-1309-0952; KOCH-LARROUY, Ariane/0000-0002-9850-0518</t>
  </si>
  <si>
    <t>DRAKKAR [ORCA025-G70]; Centre National de Recherche Scientifique (CNRS/INSU); Agence Nationale de la Recherche (ANR); Institut de Recherche pour le Developpement (IRD)</t>
  </si>
  <si>
    <t>DRAKKAR; Centre National de Recherche Scientifique (CNRS/INSU); Agence Nationale de la Recherche (ANR)(Agence Nationale de la Recherche (ANR)); Institut de Recherche pour le Developpement (IRD)</t>
  </si>
  <si>
    <t>We would like to thank Gregory C. Johnson, Iawo Ueki, and the TAO project office for making their data available to us (TAO data are available online at http://www.pmel.noaa.gov). We also want to thank the DRAKKAR project for making the ORCA025-G70 simulation available. We acknowledge the use of the ARIANE Lagrangian tool (http://www.univ-brest.fr/lpo/ariane/). Support for this study has been provided by the Centre National de Recherche Scientifique (CNRS/INSU, LEFE program), the Agence Nationale de la Recherche (ANR), and the Institut de Recherche pour le Developpement (IRD). Finally, we would like to thank James W. Murray and the anonymous reviewer for their valuable comments and suggestions, which improved the quality of this paper.</t>
  </si>
  <si>
    <t>C12044</t>
  </si>
  <si>
    <t>10.1029/2011JC007477</t>
  </si>
  <si>
    <t>Green Published, Bronze</t>
  </si>
  <si>
    <t>WOS:000298758500003</t>
  </si>
  <si>
    <t>Nguyen, KDT; Morley, SA; Lai, CH; Clark, MS; Tan, KS; Bates, AE; Peck, LS</t>
  </si>
  <si>
    <t>Nguyen, Khanh Dung T.; Morley, Simon A.; Lai, Chien-Houng; Clark, Melody S.; Tan, Koh Siang; Bates, Amanda E.; Peck, Lloyd S.</t>
  </si>
  <si>
    <t>Upper Temperature Limits of Tropical Marine Ectotherms: Global Warming Implications</t>
  </si>
  <si>
    <t>PLOS ONE</t>
  </si>
  <si>
    <t>CLIMATE-CHANGE; THERMAL TOLERANCE; AERIAL EXPOSURE; HEAT TOLERANCE; OCYPODID CRAB; CAPACITY; OXYGEN; OCEAN; SIZE; ACCLIMATION</t>
  </si>
  <si>
    <t>Animal physiology, ecology and evolution are affected by temperature and it is expected that community structure will be strongly influenced by global warming. This is particularly relevant in the tropics, where organisms are already living close to their upper temperature limits and hence are highly vulnerable to rising temperature. Here we present data on upper temperature limits of 34 tropical marine ectotherm species from seven phyla living in intertidal and subtidal habitats. Short term thermal tolerances and vertical distributions were correlated, i.e., upper shore animals have higher thermal tolerance than lower shore and subtidal animals; however, animals, despite their respective tidal height, were susceptible to the same temperature in the long term. When temperatures were raised by 1 degrees C hour(-1), the upper lethal temperature range of intertidal ectotherms was 41-52 degrees C, but this range was narrower and reduced to 37-41 degrees C in subtidal animals. The rate of temperature change, however, affected intertidal and subtidal animals differently. In chronic heating experiments when temperature was raised weekly or monthly instead of every hour, upper temperature limits of subtidal species decreased from 40 degrees C to 35.4 degrees C, while the decrease was more than 10 degrees C in high shore organisms. Hence in the long term, activity and survival of tropical marine organisms could be compromised just 2-3 degrees C above present seawater temperatures. Differences between animals from environments that experience different levels of temperature variability suggest that the physiological mechanisms underlying thermal sensitivity may vary at different rates of warming.</t>
  </si>
  <si>
    <t>[Nguyen, Khanh Dung T.; Lai, Chien-Houng; Tan, Koh Siang] Natl Univ Singapore, Trop Marine Sci Inst, Singapore 117548, Singapore; [Morley, Simon A.; Clark, Melody S.; Peck, Lloyd S.] British Antarctic Survey, NERC, Cambridge CB3 0ET, England; [Bates, Amanda E.] Univ Tasmania, Inst Marine &amp; Antarctic Studies, Hobart, Tas, Australia</t>
  </si>
  <si>
    <t>National University of Singapore; UK Research &amp; Innovation (UKRI); Natural Environment Research Council (NERC); NERC British Antarctic Survey; University of Tasmania</t>
  </si>
  <si>
    <t>Nguyen, KDT (corresponding author), Natl Univ Singapore, Trop Marine Sci Inst, Singapore 117548, Singapore.</t>
  </si>
  <si>
    <t>tmsntkd@nus.edu.sg</t>
  </si>
  <si>
    <t>, Tan KS/HLW-4582-2023; Bates, Amanda E./ABD-6874-2021; Tan, Koh Siang/GOH-0321-2022; Clark, Melody/D-7371-2014</t>
  </si>
  <si>
    <t>Bates, Amanda E./0000-0002-0198-4537; Tan, Koh Siang/0000-0002-4599-9482; Clark, Melody/0000-0002-3442-3824</t>
  </si>
  <si>
    <t>Science and Engineering Research Council of the Agency for Science, Technology and Research, Singapore [0821010024]; British Antarctic Survey; Natural Environment Research Council; Australian National Network in Marine Science (ANNiMS) Springboard initiative; National University of Singapore; NERC [bas0100025] Funding Source: UKRI; Natural Environment Research Council [bas0100025] Funding Source: researchfish</t>
  </si>
  <si>
    <t>Science and Engineering Research Council of the Agency for Science, Technology and Research, Singapore(Agency for Science Technology &amp; Research (A*STAR)); British Antarctic Survey; Natural Environment Research Council(UK Research &amp; Innovation (UKRI)Natural Environment Research Council (NERC)); Australian National Network in Marine Science (ANNiMS) Springboard initiative; National University of Singapore(National University of Singapore); NERC(UK Research &amp; Innovation (UKRI)Natural Environment Research Council (NERC)); Natural Environment Research Council(UK Research &amp; Innovation (UKRI)Natural Environment Research Council (NERC))</t>
  </si>
  <si>
    <t>This study was supported by research grant 0821010024 from the Science and Engineering Research Council of the Agency for Science, Technology and Research, Singapore (http://www.a-star.edu.sg/) to K. S. Tan. The British Antarctic Survey collaboration with the National University of Singapore, was supported as part of the Polar Science for Planet Earth programme (Ecosystems/Adaptations and Physiology Work Package), funded by the Natural Environment Research Council. A. E. Bates was funded by the Australian National Network in Marine Science (ANNiMS) Springboard initiative. The funders had no role in study design, data collection and analysis, decision to publish, or preparation of the manuscript.</t>
  </si>
  <si>
    <t>1932-6203</t>
  </si>
  <si>
    <t>PLoS One</t>
  </si>
  <si>
    <t>DEC 29</t>
  </si>
  <si>
    <t>e29340</t>
  </si>
  <si>
    <t>10.1371/journal.pone.0029340</t>
  </si>
  <si>
    <t>Multidisciplinary Sciences</t>
  </si>
  <si>
    <t>Science &amp; Technology - Other Topics</t>
  </si>
  <si>
    <t>897SP</t>
  </si>
  <si>
    <t>WOS:000300677000026</t>
  </si>
  <si>
    <t>LaBarbera, CH; MacAyeal, DR</t>
  </si>
  <si>
    <t>LaBarbera, C. H.; MacAyeal, D. R.</t>
  </si>
  <si>
    <t>Traveling supraglacial lakes on George VI Ice Shelf, Antarctica</t>
  </si>
  <si>
    <t>FLOW; PENINSULA; COLLAPSE; SHEET</t>
  </si>
  <si>
    <t>We describe a sequence of supraglacial lakes on the George VI Ice Shelf, Antarctica, that migrate along the boundary of the ice shelf with Alexander Island in the manner of a traveling wave, with a velocity that differs from the local ice-shelf flow in both magnitude and direction. These lakes are arranged en echelon along a grounding line of the ice shelf where the flow displays the atypical feature of being directed toward land. A simple model presented here suggests that the propagating lakes form in the depressions of a viscous-buckling wave associated with compressive ice-shelf stresses and ice-flow directed obliquely toward the coastline. The existence of these lakes and their propagation gives rise to the implication that other ice-shelf surface features (e.g., patterns of swells and depressions, surface lakes, and drainage) can be organized by large-scale viscous buckling behavior, when ice-shelf flow is strongly compressive. Citation: LaBarbera, C. H., and D. R. MacAyeal (2011), Traveling supraglacial lakes on George VI Ice Shelf, Antarctica, Geophys. Res. Lett., 38, L24501, doi:10.1029/2011GL049970.</t>
  </si>
  <si>
    <t>[LaBarbera, C. H.] Cornell Coll, Dept Geol, Mt Vernon, IA 52314 USA; [MacAyeal, D. R.] Univ Chicago, Dept Geophys Sci, Chicago, IL 60637 USA</t>
  </si>
  <si>
    <t>Cornell University; University of Chicago</t>
  </si>
  <si>
    <t>LaBarbera, CH (corresponding author), Cornell Coll, Dept Geol, 600 1st St SW, Mt Vernon, IA 52314 USA.</t>
  </si>
  <si>
    <t>clabarbera14@cornellcollege.edu; drm7@uchicago.edu</t>
  </si>
  <si>
    <t>MacAyeal, Douglas/0000-0003-0647-6176</t>
  </si>
  <si>
    <t>U.S. National Science Foundation [ANT0944248]; Directorate For Geosciences; Office of Polar Programs (OPP) [0944248] Funding Source: National Science Foundation; Office of Polar Programs (OPP); Directorate For Geosciences [0907834] Funding Source: National Science Foundation</t>
  </si>
  <si>
    <t>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</si>
  <si>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Funding for this project was provided by the U.S. National Science Foundation (ANT0944248). We thank Mac Cathles, Kristopher Darnell, Jason Amundson, Linghan Li, Helen Fricker, Olga Sergienko, John Reynolds, Anja Slim, M. Mahadevan, Jeremy Bassis, David Sugden, Michael Bentley, Tom Holt and various attendees of the British Branch Meeting of the IGS held in 2011 for helpful discussions and guidance. Bernd Scheuchl and the Editor provided access to the comprehensive Antarctic ice velocity data used in this study. We thank referees Neil Glasser and Ian Willis for reviews that significantly improved the paper.</t>
  </si>
  <si>
    <t>DEC 28</t>
  </si>
  <si>
    <t>L24501</t>
  </si>
  <si>
    <t>10.1029/2011GL049970</t>
  </si>
  <si>
    <t>871TA</t>
  </si>
  <si>
    <t>WOS:000298759400004</t>
  </si>
  <si>
    <t>Lübken, FJ; Höffner, J; Viehl, TP; Kaifler, B; Morris, RJ</t>
  </si>
  <si>
    <t>Luebken, F. -J.; Hoeffner, J.; Viehl, T. P.; Kaifler, B.; Morris, R. J.</t>
  </si>
  <si>
    <t>First measurements of thermal tides in the summer mesopause region at Antarctic latitudes</t>
  </si>
  <si>
    <t>MESOSPHERIC TEMPERATURE; SEASONAL-VARIATION; PLANETARY-WAVES; LIDAR; THERMOSPHERE</t>
  </si>
  <si>
    <t>We present the first detection of thermal tides in the middle atmosphere at polar latitudes in summer. The IAP iron lidar is in operation in Davis (69 degrees S, 78 degrees E), Antarctica, since December 2011 and measures temperatures in the height range 84-96 km with an accuracy of 1-3 K (after 1 hour integration) with an effective altitude resolution of 1 km. Iron densities are observed from similar to 75-140 km. We analyze 171 hours of observations in the period 11-28 January, 2011, and find strong tidal modulations in Fe density and temperatures. Typical amplitudes of thermal tides are 2-4 K for both the diurnal and semidiurnal component. The diurnal tide is larger (smaller) than the semidiurnal component below (above) similar to 90 km. The phase of the diurnal tide decreases with altitude by similar to 1.3 h/km which corresponds to a vertical wavelength of similar to 30 km. A similar phase progression is observed in Fe densities extending below and above the height range of temperature measurements. The overlay of diurnal and semidiurnal components leads to tidal modulations of up to +/- 6 K for temperatures, and up to +/- 4000/ccm (=+/- 40%) for Fe number densities. These modulations are much larger compared to most simulations and point to some missing processes in tidal modeling. Citation: Lubken, F.-J., J. Hoffner, T. P. Viehl, B. Kaifler, and R. J. Morris (2011), First measurements of thermal tides in the summer mesopause region at Antarctic latitudes, Geophys. Res. Lett., 38, L24806, doi:10.1029/2011GL050045.</t>
  </si>
  <si>
    <t>[Luebken, F. -J.; Hoeffner, J.; Viehl, T. P.; Kaifler, B.] Leibniz Inst Atmospher Phys, D-18225 Kuhlungsborn, Germany; [Morris, R. J.] Australian Antarctic Div, Kingston, Tas 7050, Australia</t>
  </si>
  <si>
    <t>Leibniz Institut fur Atmospharenphysik e.V. an der Universitat Rostock (IAP); Australian Antarctic Division</t>
  </si>
  <si>
    <t>Lübken, FJ (corresponding author), Leibniz Inst Atmospher Phys, Schloss Str 6, D-18225 Kuhlungsborn, Germany.</t>
  </si>
  <si>
    <t>luebken@iap-kborn.de; ray.morris@aad.gov.au</t>
  </si>
  <si>
    <t>Kaifler, Bernd/AAK-7237-2021</t>
  </si>
  <si>
    <t>Kaifler, Bernd/0000-0002-5891-242X; Viehl, Timo/0000-0002-7948-5666</t>
  </si>
  <si>
    <t>Australian Antarctic Advisory Committee [2325]</t>
  </si>
  <si>
    <t>Australian Antarctic Advisory Committee</t>
  </si>
  <si>
    <t>We thank Torsten Kopnick for his continuing contribution in developing the Fe lidar. FJL thanks the AAD for the cooperation with IAP on the experimental investigations in Davis. We thank the Australian Antarctic Advisory Committee for support with Project 2325, and the Davis expeditioners with installation and maintenance of the Fe lidar facility at Davis.</t>
  </si>
  <si>
    <t>L24806</t>
  </si>
  <si>
    <t>10.1029/2011GL050045</t>
  </si>
  <si>
    <t>WOS:000298759400005</t>
  </si>
  <si>
    <t>Villena, G; Wiesen, P; Cantrell, CA; Flocke, F; Fried, A; Hall, SR; Hornbrook, RS; Knapp, D; Kosciuch, E; Mauldin, RL; McGrath, JA; Montzka, D; Richter, D; Ullmann, K; Walega, J; Weibring, P; Weinheimer, A; Staebler, RM; Liao, J; Huey, LG; Kleffmann, J</t>
  </si>
  <si>
    <t>Villena, G.; Wiesen, P.; Cantrell, C. A.; Flocke, F.; Fried, A.; Hall, S. R.; Hornbrook, R. S.; Knapp, D.; Kosciuch, E.; Mauldin, R. L., III; McGrath, J. A.; Montzka, D.; Richter, D.; Ullmann, K.; Walega, J.; Weibring, P.; Weinheimer, A.; Staebler, R. M.; Liao, J.; Huey, L. G.; Kleffmann, J.</t>
  </si>
  <si>
    <t>Nitrous acid (HONO) during polar spring in Barrow, Alaska: A net source of OH radicals?</t>
  </si>
  <si>
    <t>JOURNAL OF GEOPHYSICAL RESEARCH-ATMOSPHERES</t>
  </si>
  <si>
    <t>SOUTH-POLE; HIGH-SENSITIVITY; ANTARCTIC SNOW; MAJOR SOURCE; HUMIC-ACID; CHEMISTRY; NOX; PHOTOCHEMISTRY; EMISSIONS; SUMMIT</t>
  </si>
  <si>
    <t>HONO was measured by a LOPAP instrument (LOng Path Absorption Photometer) for one month during the OASIS spring 2009 campaign in Barrow, Alaska. HONO concentrations between &lt;= 0.4 pptv (DL) and similar to 500 pptv were measured. The very high concentrations observed on several days were caused by local direct emissions and were highly correlated with the NOx and CO data. When only clean days were considered, average HONO concentrations varied between &lt;= 0.4 - 10 pptv. Average HONO/NOx and HONO/NOy ratios of similar to 6% and similar to 1% were observed, respectively, in good agreement with other remote LOPAP measurement data, but lower than measured in most other polar regions by other methods. The strong correlation between sharp peaks of OH and HONO during daytime, which was not observed for any other measured radical precursor, suggested that HONO photolysis was a major source of OH radicals in Barrow. This was supported by calculated net OH radical production by HONO and O-3 photolysis for which the contribution of O-3 (2%) could be neglected compared to that of HONO (98%). A net extra HONO/OH source necessary to explain elevated HONO levels during daytime of up to 90 pptv/h was determined, which was highly correlated with the actinic flux. Accordingly, a photochemical HONO source is proposed here, in good agreement with recent studies. From the higher correlation of the net HONO source with J(NO2) and [NO2] compared to J(O(1D)) and [NO3-], photosensitized conversion of NO2 on humic acid containing snow surfaces may be a more likely source of HONO in the polar atmosphere of Barrow than nitrate photolysis.</t>
  </si>
  <si>
    <t>[Villena, G.; Wiesen, P.; Kleffmann, J.] Univ Wuppertal, FB C, D-42119 Wuppertal, Germany; [Cantrell, C. A.; Flocke, F.; Fried, A.; Hall, S. R.; Hornbrook, R. S.; Knapp, D.; Kosciuch, E.; Mauldin, R. L., III; McGrath, J. A.; Montzka, D.; Richter, D.; Ullmann, K.; Walega, J.; Weibring, P.; Weinheimer, A.] Natl Ctr Atmospher Res, Div Atmospher Chem, Boulder, CO 80305 USA; [Liao, J.; Huey, L. G.] Georgia Inst Technol, Sch Earth &amp; Atmospher Sci, Atlanta, GA 30332 USA; [Staebler, R. M.] Environm Canada, Toronto, ON M3H 5T4, Canada; [Mauldin, R. L., III] Univ Colorado, Dept Atmospher &amp; Ocean Sci, Boulder, CO 80309 USA</t>
  </si>
  <si>
    <t>University of Wuppertal; National Center Atmospheric Research (NCAR) - USA; University System of Georgia; Georgia Institute of Technology; Environment &amp; Climate Change Canada; University of Colorado System; University of Colorado Boulder</t>
  </si>
  <si>
    <t>Villena, G (corresponding author), Univ Wuppertal, FB C, Gaussstr 20, D-42119 Wuppertal, Germany.</t>
  </si>
  <si>
    <t>kleffman@uni-wuppertal.de</t>
  </si>
  <si>
    <t>McGrath, Joshua/J-6402-2014; Hornbrook, Rebecca/AAA-3520-2021; Hall, Samuel/AAG-9516-2020; Cantrell, Christopher/AAC-4648-2019; Cantrell, Christopher/GXH-7594-2022; Liao, Jin/H-4865-2013; Flocke, Frank/AAD-1356-2019</t>
  </si>
  <si>
    <t>Hall, Samuel/0000-0002-2060-7112; Flocke, Frank/0000-0002-2661-6394; Villena, Guillermo/0000-0002-1867-1879; Staebler, Ralf/0000-0002-6372-0414; Hornbrook, Rebecca/0000-0002-6304-6554</t>
  </si>
  <si>
    <t>NSF [ATM-0807702]; Canadian Federal Program Office for the International Polar Year [MD-065]</t>
  </si>
  <si>
    <t>NSF(National Science Foundation (NSF)); Canadian Federal Program Office for the International Polar Year</t>
  </si>
  <si>
    <t>This work is part of the international multi-disciplinary OASIS (Ocean-Atmosphere-Sea Ice-Snowpack) program. G. V. would like to thank the NSF for grant ATM-0807702. The Canadian contribution was supported by the Canadian Federal Program Office for the International Polar Year (project MD-065). The National Center for Atmospheric Research is sponsored by the National Science Foundation. Any opinions, findings and conclusions or recommendations expressed in the publication are those of the authors and do not necessarily reflect the views of the National Science Foundation.</t>
  </si>
  <si>
    <t>2169-897X</t>
  </si>
  <si>
    <t>2169-8996</t>
  </si>
  <si>
    <t>J GEOPHYS RES-ATMOS</t>
  </si>
  <si>
    <t>J. Geophys. Res.-Atmos.</t>
  </si>
  <si>
    <t>DEC 23</t>
  </si>
  <si>
    <t>D00R07</t>
  </si>
  <si>
    <t>10.1029/2011JD016643</t>
  </si>
  <si>
    <t>868AN</t>
  </si>
  <si>
    <t>WOS:000298496000003</t>
  </si>
  <si>
    <t>Fransson, A; Chierici, M; Yager, PL; Smith, WO</t>
  </si>
  <si>
    <t>Fransson, Agneta; Chierici, Melissa; Yager, Patricia L.; Smith, Walker O., Jr.</t>
  </si>
  <si>
    <t>Antarctic sea ice carbon dioxide system and controls</t>
  </si>
  <si>
    <t>M-CRESOL PURPLE; ATLANTIC SECTOR; SURFACE-WATER; CO2 SINK; ROSS SEA; OCEAN; DYNAMICS; SEAWATER; CLIMATE; OXYGEN</t>
  </si>
  <si>
    <t>In austral summer, from December 2008 to January 2009, we investigated the sea-ice carbon dioxide (CO2) system and CO2 controls in the Amundsen and Ross Seas, Antarctica. We sampled seawater, brine and sea ice for the measurements of total alkalinity (A(T)), total inorganic carbon (DIC), pH, inorganic nutrients, particulate organic carbon (POC) and nitrogen (PON), chlorophyll a, pigments, salinity and temperature. Large variability in all measured parameters was observed in time and space due to the complex sea-ice dynamics. We discuss the controls of the sea-ice CO2 system, such as brine rejection, biological processes, calcium carbonate (CaCO3) precipitation/dissolution and CO2 exchange. Most (80 to 90%) of the DIC loss was due to brine rejection, which suggests that the sea ice acted as an efficient DIC sink from 0.8 and 2.6 mol m(-2) yr(-1) (9.6-31 g C m(-2) yr(-1)). The remaining change in DIC was to a large extent explained by net biological production. The A(T):DIC ratio in the sea ice was higher than in the under-ice water (UIW), with ratios reaching 1.7, which indicated CaCO3 precipitation and concomitant DIC loss in the sea ice. Elevated A(T):DIC ratios and carbonate concentrations were also observed in the UIW, which reflect the solid CaCO3 rejected from the ice during melt. The potential for uptake of atmospheric CO2 in the mixed layer increased by approximately 56 mu atm due to the combined effect of CaCO3 precipitation during ice formation, and ice melt in summer.</t>
  </si>
  <si>
    <t>[Fransson, Agneta] Univ Gothenburg, Dept Earth Sci, SE-40530 Gothenburg, Sweden; [Chierici, Melissa] Univ Gothenburg, Dept Chem, SE-41296 Gothenburg, Sweden; [Smith, Walker O., Jr.] Coll William &amp; Mary, Virginia Inst Marine Sci, Gloucester Point, VA 23062 USA; [Yager, Patricia L.] Univ Georgia, Dept Marine Sci, Athens, GA 30602 USA</t>
  </si>
  <si>
    <t>University of Gothenburg; University of Gothenburg; William &amp; Mary; Virginia Institute of Marine Science; University System of Georgia; University of Georgia</t>
  </si>
  <si>
    <t>Fransson, A (corresponding author), Univ Gothenburg, Dept Earth Sci, Box 460, SE-40530 Gothenburg, Sweden.</t>
  </si>
  <si>
    <t>agneta@gvc.gu.se</t>
  </si>
  <si>
    <t>Yager, Patricia/K-8020-2014</t>
  </si>
  <si>
    <t>Yager, Patricia/0000-0002-8462-6427</t>
  </si>
  <si>
    <t>Swedish science council (VR) [DNR 2008-6226, 2008-6228, 2009-2994]; NSF [ANT-0836112, ANT-0836144]</t>
  </si>
  <si>
    <t>Swedish science council (VR)(Swedish Research Council); NSF(National Science Foundation (NSF))</t>
  </si>
  <si>
    <t>This work is a contribution to the Oden Southern Ocean Expedition 2008/09 funded by the Swedish science council (VR) projects: DNR 2008-6226, 2008-6228, and 2009-2994 and NSF grants ANT-0836112 and ANT-0836144 (Antarctic Organisms and Ecosystems Program). Ray Sambrotto generously provided us with the nutrient data. Jonathan Brett Heimlich skillfully ran the respiration and DIC samples at sea. We thank My Mattsdotter and Madeleine Nilsson for chemical analyses. We are grateful for the constructive and valuable comments from two anonymous reviewers. We are also grateful to the support by the Captain and crew on the Swedish icebreaker IB Oden, and the Swedish Polar Research Secretariat and Raytheon Polar Services for logistical and technical support.</t>
  </si>
  <si>
    <t>C12035</t>
  </si>
  <si>
    <t>10.1029/2010JC006844</t>
  </si>
  <si>
    <t>868SN</t>
  </si>
  <si>
    <t>Bronze, Green Published</t>
  </si>
  <si>
    <t>WOS:000298545800001</t>
  </si>
  <si>
    <t>Klaassen, RHG; Alerstam, T; Carlsson, P; Fox, JW; Lindström, Å</t>
  </si>
  <si>
    <t>Klaassen, Raymond H. G.; Alerstam, Thomas; Carlsson, Peter; Fox, James W.; Lindstrom, Ake</t>
  </si>
  <si>
    <t>Great flights by great snipes: long and fast non-stop migration over benign habitats</t>
  </si>
  <si>
    <t>BIOLOGY LETTERS</t>
  </si>
  <si>
    <t>avian migration; endurance exercise; geolocators; stopover ecology; wind assistance</t>
  </si>
  <si>
    <t>PACIFIC-OCEAN; TRACKING; MIGRANTS; LOADS; WIND</t>
  </si>
  <si>
    <t>Migratory land birds perform extreme endurance flights when crossing ecological barriers, such as deserts, oceans and ice-caps. When travelling over benign areas, birds are expected to migrate by shorter flight steps, since carrying the heavy fuel loads needed for long non-stop flights comes at considerable cost. Here, we show that great snipes Gallinago media made long and fast nonstop flights (4300-6800 km in 48-96 h), not only over deserts and seas but also over wide areas of suitable habitats, which represents a previously unknown migration strategy among land birds. Furthermore, the great snipes achieved very high ground speeds (15-27 ms(-1)), which was not an effect of strong tailwind support, and we know of no other animal that travels this rapidly over such a long distance. Our results demonstrate that some migratory birds are prepared to accept extreme costs of strenuous exercise and large fuel loads, even when stopover sites are available along the route and there is little tailwind assistance. A strategy of storing a lot of energy before departure, even if migration is over benign habitats, may be advantageous owing to differential conditions of fuel deposition, predation or infection risk along the migration route.</t>
  </si>
  <si>
    <t>[Klaassen, Raymond H. G.; Alerstam, Thomas; Lindstrom, Ake] Lund Univ, Dept Biol, S-22362 Lund, Sweden; [Carlsson, Peter] Lake Annsjon Bird Observ, S-83015 Duved, Sweden; [Fox, James W.] British Antarctic Survey, Nat Environm Res Council, Cambridge CB3 0ET, England</t>
  </si>
  <si>
    <t>Lund University; UK Research &amp; Innovation (UKRI); Natural Environment Research Council (NERC); NERC British Antarctic Survey</t>
  </si>
  <si>
    <t>Klaassen, RHG (corresponding author), Lund Univ, Dept Biol, Ecol Bldg, S-22362 Lund, Sweden.</t>
  </si>
  <si>
    <t>Klaassen, Raymond/K-3027-2013</t>
  </si>
  <si>
    <t>Fox, James W./0000-0002-3107-696X</t>
  </si>
  <si>
    <t>Swedish Research Council; Centre for Animal Movement Research at Lund University (CAnMove) [349-2007-8690]; NERC [bas010013, bas0100025] Funding Source: UKRI; Natural Environment Research Council [bas0100025, bas010013] Funding Source: researchfish</t>
  </si>
  <si>
    <t>Swedish Research Council(Swedish Research Council); Centre for Animal Movement Research at Lund University (CAnMove); NERC(UK Research &amp; Innovation (UKRI)Natural Environment Research Council (NERC)); Natural Environment Research Council(UK Research &amp; Innovation (UKRI)Natural Environment Research Council (NERC))</t>
  </si>
  <si>
    <t>We thank Johan Raghall and Hanna Eriksson for field assistance, and Staffan Bensch and two anonymous reviewers for useful comments. Financial support was received from the Swedish Research Council and the Centre for Animal Movement Research at Lund University (CAnMove, Linnaeus grant 349-2007-8690).</t>
  </si>
  <si>
    <t>ROYAL SOC</t>
  </si>
  <si>
    <t>6-9 CARLTON HOUSE TERRACE, LONDON SW1Y 5AG, ENGLAND</t>
  </si>
  <si>
    <t>1744-9561</t>
  </si>
  <si>
    <t>BIOL LETTERS</t>
  </si>
  <si>
    <t>Biol. Lett.</t>
  </si>
  <si>
    <t>10.1098/rsbl.2011.0343</t>
  </si>
  <si>
    <t>Biology; Ecology; Evolutionary Biology</t>
  </si>
  <si>
    <t>Life Sciences &amp; Biomedicine - Other Topics; Environmental Sciences &amp; Ecology; Evolutionary Biology</t>
  </si>
  <si>
    <t>846IQ</t>
  </si>
  <si>
    <t>WOS:000296890900010</t>
  </si>
  <si>
    <t>Cury, PM; Boyd, IL; Bonhommeau, S; Anker-Nilssen, T; Crawford, RJM; Furness, RW; Mills, JA; Murphy, EJ; Österblom, H; Paleczny, M; Piatt, JF; Roux, JP; Shannon, L; Sydeman, WJ</t>
  </si>
  <si>
    <t>Cury, Philippe M.; Boyd, Ian L.; Bonhommeau, Sylvain; Anker-Nilssen, Tycho; Crawford, Robert J. M.; Furness, Robert W.; Mills, James A.; Murphy, Eugene J.; Oesterblom, Henrik; Paleczny, Michelle; Piatt, John F.; Roux, Jean-Paul; Shannon, Lynne; Sydeman, William J.</t>
  </si>
  <si>
    <t>Global Seabird Response to Forage Fish Depletion-One-Third for the Birds</t>
  </si>
  <si>
    <t>SCIENCE</t>
  </si>
  <si>
    <t>FOOD AVAILABILITY; CLIMATE; ECOSYSTEMS; CONSERVATION; BIODIVERSITY; ENVIRONMENT; POPULATION; INDICATORS; MANAGEMENT; PREDATORS</t>
  </si>
  <si>
    <t>Determining the form of key predator-prey relationships is critical for understanding marine ecosystem dynamics. Using a comprehensive global database, we quantified the effect of fluctuations in food abundance on seabird breeding success. We identified a threshold in prey (fish and krill, termed forage fish) abundance below which seabirds experience consistently reduced and more variable productivity. This response was common to all seven ecosystems and 14 bird species examined within the Atlantic, Pacific, and Southern Oceans. The threshold approximated one-third of the maximum prey biomass observed in long-term studies. This provides an indicator of the minimal forage fish biomass needed to sustain seabird productivity over the long term.</t>
  </si>
  <si>
    <t>[Cury, Philippe M.] Ctr Rech Halieut Mediterraneenne &amp; Trop, Inst Rech Dev, UMR EME 212, F-34203 Sete, France; [Boyd, Ian L.] Univ St Andrews, Scottish Oceans Inst, St Andrews KY16 8LB, Fife, Scotland; [Bonhommeau, Sylvain] IFREMER, Ctr Rech Halieut Mediterraneenne &amp; Trop, UMR EME 212, F-34203 Sete, France; [Anker-Nilssen, Tycho] Norwegian Inst Nat Res, NO-7485 Trondheim, Norway; [Crawford, Robert J. M.] Dept Environm Affairs, Branch Oceans &amp; Coasts, ZA-8012 Cape Town, South Africa; [Crawford, Robert J. M.] Univ Glasgow, Coll Med Vet &amp; Life Sci, Glasgow G12 8QQ, Lanark, Scotland; [Murphy, Eugene J.] British Antarctic Survey, Cambridge CB3 0ET, England; [Oesterblom, Henrik] Stockholm Univ, Stockholm Resilience Ctr, Balt Nest Inst, SE-10691 Stockholm, Sweden; [Paleczny, Michelle] Univ British Columbia, Fisheries Ctr, AERL, Vancouver, BC V6T 1Z4, Canada; [Piatt, John F.] US Geol Survey, Alaska Sci Ctr, Anchorage, AK 99508 USA; [Roux, Jean-Paul] Luderitz Marine Res, Minist Fisheries &amp; Marine Resources, Ecosyst Anal Sect, Luderitz, Namibia; [Roux, Jean-Paul] Univ Cape Town, Dept Zool, Anim Demog Unit, ZA-7701 Cape Town, South Africa; [Shannon, Lynne] Univ Cape Town, Marine Res Inst, ZA-7701 Cape Town, South Africa; [Shannon, Lynne] Univ Cape Town, Dept Zool, ZA-7701 Cape Town, South Africa; [Sydeman, William J.] Farallon Inst Adv Ecosyst Res, Petaluma, CA 94952 USA</t>
  </si>
  <si>
    <t>Ifremer; Institut de Recherche pour le Developpement (IRD); Universite de Montpellier; University of St Andrews; Ifremer; Institut de Recherche pour le Developpement (IRD); Universite de Montpellier; Norwegian Institute Nature Research; Department of Environment, Forestry &amp; Fisheries; University of Glasgow; UK Research &amp; Innovation (UKRI); Natural Environment Research Council (NERC); NERC British Antarctic Survey; Stockholm University; University of British Columbia; United States Department of the Interior; United States Geological Survey; University of Cape Town; University of Cape Town; University of Cape Town</t>
  </si>
  <si>
    <t>Cury, PM (corresponding author), Ctr Rech Halieut Mediterraneenne &amp; Trop, Inst Rech Dev, UMR EME 212, Ave Jean Monnet,BP 171, F-34203 Sete, France.</t>
  </si>
  <si>
    <t>philippe.cury@ird.fr; ilb@st-andrews.ac.uk</t>
  </si>
  <si>
    <t>Bonhommeau, Sylvain/P-8654-2014; Anker-Nilssen, Tycho/AAB-7666-2022; murphy, eugene/GZL-1620-2022; Osterblom, Henrik G/D-4249-2012; Shannon, Lynne/A-1612-2015</t>
  </si>
  <si>
    <t>Bonhommeau, Sylvain/0000-0002-0882-5918; Anker-Nilssen, Tycho/0000-0002-1030-5524; Osterblom, Henrik/0000-0002-1913-5197; Shannon, Lynne/0000-0001-7842-0636; Piatt, John/0000-0002-4417-5748; Cury, philippe/0000-0002-4622-4208</t>
  </si>
  <si>
    <t>Eur-Oceans Consortium; Institut de Recherche pour le Developpement (IRD); Lenfest Forage Fish Task Force; Mistra; Sea Around Us Project; South African Research Chair Initiative; NERC [bas0100025] Funding Source: UKRI; Natural Environment Research Council [bas0100025] Funding Source: researchfish</t>
  </si>
  <si>
    <t>Eur-Oceans Consortium; Institut de Recherche pour le Developpement (IRD); Lenfest Forage Fish Task Force; Mistra; Sea Around Us Project; South African Research Chair Initiative; NERC(UK Research &amp; Innovation (UKRI)Natural Environment Research Council (NERC)); Natural Environment Research Council(UK Research &amp; Innovation (UKRI)Natural Environment Research Council (NERC))</t>
  </si>
  <si>
    <t>This work was partly funded by Eur-Oceans Consortium, the Institut de Recherche pour le Developpement (IRD), the Lenfest Forage Fish Task Force, Mistra, the Sea Around Us Project, and the South African Research Chair Initiative. Disclaimers and acknowledgment of institutes and collaborators are provided in the SOM. Data, methods, and codes are available in the SOM.</t>
  </si>
  <si>
    <t>AMER ASSOC ADVANCEMENT SCIENCE</t>
  </si>
  <si>
    <t>1200 NEW YORK AVE, NW, WASHINGTON, DC 20005 USA</t>
  </si>
  <si>
    <t>0036-8075</t>
  </si>
  <si>
    <t>1095-9203</t>
  </si>
  <si>
    <t>Science</t>
  </si>
  <si>
    <t>10.1126/science.1212928</t>
  </si>
  <si>
    <t>865XK</t>
  </si>
  <si>
    <t>WOS:000298344000067</t>
  </si>
  <si>
    <t>Babu, SS; Chaubey, JP; Moorthy, KK; Gogoi, MM; Kompalli, SK; Sreekanth, V; Bagare, SP; Bhatt, BC; Gaur, VK; Prabhu, TP; Singh, NS</t>
  </si>
  <si>
    <t>Babu, S. S.; Chaubey, Jai Prakash; Moorthy, K. Krishna; Gogoi, Mukunda M.; Kompalli, Sobhan Kumar; Sreekanth, V.; Bagare, S. P.; Bhatt, Bhuvan C.; Gaur, Vinod K.; Prabhu, Tushar P.; Singh, N. S.</t>
  </si>
  <si>
    <t>High altitude (∼4520 m amsl) measurements of black carbon aerosols over western trans-Himalayas: Seasonal heterogeneity and source apportionment</t>
  </si>
  <si>
    <t>AIRCRAFT MEASUREMENTS; ATMOSPHERIC AEROSOLS; PHYSICAL-PROPERTIES; LIGHT-ABSORPTION; BOUNDARY-LAYER; URBAN LOCATION; STATION; PARTICLES; RECORD; SNOW</t>
  </si>
  <si>
    <t>The first ever, year-round measurements of aerosol black carbon (BC) over the western part of trans-Himalayas are reported from Hanle (similar to 4520 m above mean sea level). The daily mean BC concentrations varied from as low as 7 ng m(-3) to as high as 296 ng m(-3) with an annual average of 77 +/- 64 ng m(-3), indicating significant BC burden even at free-tropospheric altitudes. Variation with in the day as well as from day to day were highly subdued during winter season (December to February) while they used to be the highest in Spring (March to May). In general, the less frequently occurring high BC values contributed more to the annual and seasonal means, while 64% of the values were below the annual mean. Seasonally, highest BC concentration (109 +/- 78 ng m(-3)) occurred during Spring and lowest (66 +/- 42/66 +/- 62 ng m(3)) during Summer/Winter season(June to August/December to February). Diurnal variations in general were very weak, except during Spring and Summer when the effects of convective boundary layer dynamics is discernible. Back trajectory clustering and concentration weighted trajectory (CWT) analyses indicated that, most time of the year the sampling location is influenced by the advection from West and Southwest Asia, while the contribution from the Indo-Gangetic Plains (IGP) remained very low during Spring and Summer. The seasonal and annual mean BC at Hanle are significantly lower than the corresponding values reported for other Himalayan stations, while they were quite higher than those reported from the South Pole and pristine Antarctic environments.</t>
  </si>
  <si>
    <t>[Babu, S. S.; Chaubey, Jai Prakash; Moorthy, K. Krishna; Gogoi, Mukunda M.; Kompalli, Sobhan Kumar; Sreekanth, V.] Vikram Sarabhai Space Ctr, Space Phys Lab, Trivandrum 695022, Kerala, India; [Bagare, S. P.; Bhatt, Bhuvan C.; Gaur, Vinod K.; Prabhu, Tushar P.; Singh, N. S.] Indian Inst Astro Phys, Bangalore 560034, Karnataka, India</t>
  </si>
  <si>
    <t>Department of Space (DoS), Government of India; Indian Space Research Organisation (ISRO); Vikram Sarabhai Space Center (VSSC); Department of Science &amp; Technology (India); Indian Institute of Astrophysics (IIA)</t>
  </si>
  <si>
    <t>Babu, SS (corresponding author), Vikram Sarabhai Space Ctr, Space Phys Lab, Trivandrum 695022, Kerala, India.</t>
  </si>
  <si>
    <t>s_sureshbabu@vssc.gov.in</t>
  </si>
  <si>
    <t>Kompalli, Sobhan Kumar/V-9683-2019; MOORTHY, KRISHNA/AAG-6807-2019; Vakacherla, Sreekanth/H-6772-2019; Bagare, Somashekhar P/F-1067-2012; Prabhu, Tushar/AAD-7280-2021</t>
  </si>
  <si>
    <t>Kompalli, Sobhan Kumar/0000-0003-3944-3207; Vakacherla, Sreekanth/0000-0003-0400-6584; Prabhu, Tushar/0000-0003-0797-5057; Moorthy, K. Krishna/0000-0002-7234-3868; Bhatt, B. C./0000-0002-4582-1879</t>
  </si>
  <si>
    <t>DEC 22</t>
  </si>
  <si>
    <t>D24201</t>
  </si>
  <si>
    <t>10.1029/2011JD016722</t>
  </si>
  <si>
    <t>868AK</t>
  </si>
  <si>
    <t>WOS:000298495700006</t>
  </si>
  <si>
    <t>Karlsson, NB; Holt, JW; Hindmarsh, RCA</t>
  </si>
  <si>
    <t>Karlsson, N. B.; Holt, J. W.; Hindmarsh, R. C. A.</t>
  </si>
  <si>
    <t>Testing for flow in the north polar layered deposits of Mars using radar stratigraphy and a simple 3D ice-flow model</t>
  </si>
  <si>
    <t>WEST ANTARCTICA; CAP; REGION; EXPLORATION; GEOMETRY; SCIENCE; TROUGHS; RATES; AGE</t>
  </si>
  <si>
    <t>The water-ice-rich north polar layered deposits (NPLD) of Mars play a key role in the Martian climate through an active exchange of water vapor with the atmosphere. Conditions are not currently amenable for flow of the NPLD; however, gross morphological evidence for past flow suggests the possibility of a warmer climate in the past. Here we present the first comparison of internal stratigraphy predicted by a flow model with that observed by an orbital radar sounder. We have analyzed radar data from Gemina Lingula, the southernmost tongue of the NPLD, acquired by the Shallow Radar on board NASA's Mars Reconnaissance Orbiter. The data shows extensive internal reflections and several radar reflectors were mapped to create gridded surfaces of this part of the NPLD. All the mapped radar reflectors were smooth with no sudden dips towards the surface or the bedrock. The internal radar reflectors were then compared with modeled isochrones in two different areas of Gemina Lingula under the assumption of flow occurring. Results indicate that flow of ice is unlikely to have occurred between the main dome and Gemina Lingula. Furthermore, we found no evidence for the existence of a prior ablation zone in Gemina Lingula as predicted in another study. Citation: Karlsson, N. B., J. W. Holt, and R. C. A. Hindmarsh (2011), Testing for flow in the north polar layered deposits of Mars using radar stratigraphy and a simple 3D ice-flow model, Geophys. Res. Lett., 38, L24204, doi: 10.1029/2011GL049630.</t>
  </si>
  <si>
    <t>[Karlsson, N. B.] Univ Copenhagen, Niels Bohr Inst, Ctr Ice &amp; Climate, DK-2100 Copenhagen, Denmark; [Holt, J. W.] Univ Texas Austin, Inst Geophys, Jackson Sch Geosci, Austin, TX 78712 USA; [Hindmarsh, R. C. A.] British Antarctic Survey, Cambridge CB3 0ET, England</t>
  </si>
  <si>
    <t>University of Copenhagen; Niels Bohr Institute; University of Texas System; University of Texas Austin; UK Research &amp; Innovation (UKRI); Natural Environment Research Council (NERC); NERC British Antarctic Survey</t>
  </si>
  <si>
    <t>Karlsson, NB (corresponding author), Univ Copenhagen, Niels Bohr Inst, Ctr Ice &amp; Climate, Juliane Mariesvej 30, DK-2100 Copenhagen, Denmark.</t>
  </si>
  <si>
    <t>nanna.karlsson@nbi.ku.dk</t>
  </si>
  <si>
    <t>Holt, John W/C-4896-2009; Karlsson, Nanna Bjørnholt/G-4621-2018; Hindmarsh, Richard/N-1195-2019; Karlsson, Nanna B./M-4519-2014</t>
  </si>
  <si>
    <t>Hindmarsh, Richard/0000-0003-1633-2416; Karlsson, Nanna B./0000-0003-0423-8705</t>
  </si>
  <si>
    <t>NASA [NNX08AR34G]; MRO through SHARAD Co-I; European Research Council [246815]; Antarctic Science Bursary; Geological Remote Sensing Group; Dudley Stamp Memorial Fund; Department of Geography, University of Hull; Natural Environment Research Council [bas0100027] Funding Source: researchfish; NERC [bas0100027] Funding Source: UKRI; NASA [95696, NNX08AR34G] Funding Source: Federal RePORTER</t>
  </si>
  <si>
    <t>NASA(National Aeronautics &amp; Space Administration (NASA)); MRO through SHARAD Co-I; European Research Council(European Research Council (ERC)); Antarctic Science Bursary; Geological Remote Sensing Group; Dudley Stamp Memorial Fund; Department of Geography, University of Hull; Natural Environment Research Council(UK Research &amp; Innovation (UKRI)Natural Environment Research Council (NERC)); NERC(UK Research &amp; Innovation (UKRI)Natural Environment Research Council (NERC)); NASA(National Aeronautics &amp; Space Administration (NASA))</t>
  </si>
  <si>
    <t>This work was supported by NASA grant NNX08AR34G and the MRO Project through a SHARAD Co-I contract to JWH. NBK is supported by European Research Council grant 246815. The work was made possible with the support of the Antarctic Science Bursary, the Geological Remote Sensing Group, the Dudley Stamp Memorial Fund and the Department of Geography, University of Hull. The authors would like to thank D. Winebrenner for making the flowline data available to us and Ralf Greve and one anonymous reviewer, whose comments significantly improved this manuscript.</t>
  </si>
  <si>
    <t>L24204</t>
  </si>
  <si>
    <t>10.1029/2011GL049630</t>
  </si>
  <si>
    <t>868BR</t>
  </si>
  <si>
    <t>WOS:000298499000002</t>
  </si>
  <si>
    <t>Codabaccus, BM; Bridle, AR; Nichols, PD; Carter, CG</t>
  </si>
  <si>
    <t>Codabaccus, Basseer M.; Bridle, Andrew R.; Nichols, Peter D.; Carter, Chris G.</t>
  </si>
  <si>
    <t>An extended feeding history with a stearidonic acid enriched diet from parr to smolt increases n-3 long-chain polyunsaturated fatty acids biosynthesis in white muscle and liver of Atlantic salmon (Salmo salar L.)</t>
  </si>
  <si>
    <t>AQUACULTURE</t>
  </si>
  <si>
    <t>Vegetable oil; Fish oil; Stearidonic acid; n-3 long-chain (&gt;= C-20) polyunsaturated fatty acids; Gene expression</t>
  </si>
  <si>
    <t>FISH-OIL; VEGETABLE-OIL; GROWTH-PERFORMANCE; LIPID-COMPOSITION; GENE-EXPRESSION; SUNFLOWER OIL; RAPESEED OIL; HUMAN HEALTH; ECHIUM OIL; METABOLISM</t>
  </si>
  <si>
    <t>Vegetable oils (VO) are globally accepted alternatives for fish oil (FO) in aquafeeds. The lack of n-3 long-chain (&gt;= C-20) polyunsaturated fatty acids (n-3 LC-PUFA) in VO is a major constraint. Echium oil (EO), rich in stearidonic acid (SDA), has the potential to increase endogeneous n-3 LC-PUFA biosynthesis. We tested whether feeding Atlantic salmon an EO-based diet in both freshwater and seawater would increase n-3 LC-PUFA levels by comparing the fatty acid (FA) profiles in liver and white muscle to fish fed FO and rapeseed oil (RO)-based diets. The gene expression of n-3 LC-PUFA biosynthetic enzymes was measured to demonstrate the underlying mechanism of n-3 LC-PUFA biosynthesis. After prolonged feeding with EO diet from freshwater to seawater phases, EO fish had higher n-3 LC-PUFA levels in both liver and white muscle compared to RO fish. However, FO fish had the highest n-3 LC-PUFA levels in examined tissues. Delta 6 Desaturase gene expression in liver and white muscle was up-regulated in RO fish only, liver Delta 5 desaturase gene expression was reduced in seawater and liver FA elongase gene expression was regulated by an interaction between dietary oil and environment. This study showed that feeding Atlantic salmon from parr to smolt using an SDA enriched diet increases n-3 LC-PUFA biosynthesis in liver and white muscle through increased supply of the n-3 LC-PUFA precursor SDA. The down regulation of Delta 5 desaturase gene expression in the liver of seawater fish may explain environmental differences in n-3 LC-PUFA biosynthesis. (C) 2011 Elsevier B. V. All rights reserved.</t>
  </si>
  <si>
    <t>[Codabaccus, Basseer M.; Bridle, Andrew R.] Univ Tasmania, NCMCRS, Launceston, Tas 7250, Australia; [Codabaccus, Basseer M.; Nichols, Peter D.] CSIRO Food Futures Flagship, Div Marine &amp; Atmospher Res, Hobart, Tas 7001, Australia; [Codabaccus, Basseer M.; Carter, Chris G.] Univ Tasmania, Inst Marine &amp; Antarctic Studies, Hobart, Tas 7001, Australia</t>
  </si>
  <si>
    <t>University of Tasmania; Commonwealth Scientific &amp; Industrial Research Organisation (CSIRO); University of Tasmania</t>
  </si>
  <si>
    <t>Codabaccus, BM (corresponding author), Univ Tasmania, NCMCRS, Locked Bag 1370, Launceston, Tas 7250, Australia.</t>
  </si>
  <si>
    <t>mohamedc@utas.edu.au</t>
  </si>
  <si>
    <t>Bridle, Andrew R/B-4117-2013; Carter, Chris Guy/A-3438-2008; Nichols, Peter D/C-5128-2011</t>
  </si>
  <si>
    <t>Carter, Chris Guy/0000-0001-5210-1282; codabaccus, mohamed/0000-0001-5108-373X; Bridle, Andrew/0000-0002-5788-1297</t>
  </si>
  <si>
    <t>EIPRS, UTAS; CSIRO Food Futures Flagship</t>
  </si>
  <si>
    <t>EIPRS, UTAS; CSIRO Food Futures Flagship(Commonwealth Scientific &amp; Industrial Research Organisation (CSIRO))</t>
  </si>
  <si>
    <t>This study was supported by an Endeavour International Postgraduate Scholarship (EIPRS, UTAS) and a CSIRO Food Futures Flagship postgraduate award.</t>
  </si>
  <si>
    <t>0044-8486</t>
  </si>
  <si>
    <t>1873-5622</t>
  </si>
  <si>
    <t>Aquaculture</t>
  </si>
  <si>
    <t>DEC 21</t>
  </si>
  <si>
    <t>10.1016/j.aquaculture.2011.09.014</t>
  </si>
  <si>
    <t>919HU</t>
  </si>
  <si>
    <t>WOS:000302314800009</t>
  </si>
  <si>
    <t>Gandhi, N; Singh, A; Prakash, S; Ramesh, R; Raman, M; Sheshshayee, MS; Shetye, S</t>
  </si>
  <si>
    <t>Gandhi, Naveen; Singh, Arvind; Prakash, S.; Ramesh, R.; Raman, Mini; Sheshshayee, M. S.; Shetye, Suhas</t>
  </si>
  <si>
    <t>First direct measurements of N2 fixation during a Trichodesmium bloom in the eastern Arabian Sea</t>
  </si>
  <si>
    <t>GLOBAL BIOGEOCHEMICAL CYCLES</t>
  </si>
  <si>
    <t>SUSPENDED PARTICULATE MATTER; DISSOLVED ORGANIC NITROGEN; ISOTOPIC COMPOSITION; FIXED-NITROGEN; INDIAN-OCEAN; CARBON; OXYGEN; N-15; AMMONIUM; RELEASE</t>
  </si>
  <si>
    <t>We report the first direct estimates of N-2 fixation rates measured during the spring, 2009 using the N-15(2) gas tracer technique in the eastern Arabian Sea, which is well known for significant loss of nitrogen due to intense denitrification. Carbon uptake rates are also concurrently estimated using the C-13 tracer technique. The N-2 fixation rates vary from similar to 0.1 to 34 mmol N m(-2)d(-1) after correcting for the isotopic under-equilibrium with dissolved air in the samples. These higher N-2 fixation rates are consistent with higher chlorophyll a and low delta N-15 of natural particulate organic nitrogen. Our estimates of N-2 fixation is a useful step toward reducing the uncertainty in the nitrogen budget.</t>
  </si>
  <si>
    <t>[Gandhi, Naveen; Singh, Arvind; Ramesh, R.] Phys Res Lab, Ahmadabad 380009, Gujarat, India; [Prakash, S.] INCOIS, Hyderabad 500090, Andhra Pradesh, India; [Raman, Mini] Ctr Space Applicat, Ahmadabad 380015, Gujarat, India; [Sheshshayee, M. S.] Univ Agr Sci, Dept Crop Physiol, Bangalore 560065, Karnataka, India; [Shetye, Suhas] Natl Ctr Antarctic &amp; Ocean Res, Vasco Da Gama 403804, Goa, India</t>
  </si>
  <si>
    <t>Department of Space (DoS), Government of India; Physical Research Laboratory - India; Ministry of Earth Sciences (MoES) - India; Indian National Centre for Ocean Information Services (INCOIS); Department of Space (DoS), Government of India; Indian Space Research Organisation (ISRO); Space Applications Centre (SAC); University of Agricultural Sciences Bangalore; Ministry of Earth Sciences (MoES) - India; National Centre for Polar and Ocean Research (NCPOR)</t>
  </si>
  <si>
    <t>Gandhi, N (corresponding author), Phys Res Lab, Ahmadabad 380009, Gujarat, India.</t>
  </si>
  <si>
    <t>av.arvind@gmail.com</t>
  </si>
  <si>
    <t>Ramachandran, Ramesh/AAI-1583-2020; Singh, Arvind/AAW-7130-2020</t>
  </si>
  <si>
    <t>Ramachandran, Ramesh/0000-0003-2471-7746; Singh, Arvind/0000-0002-3060-891X; Raman, Mini/0000-0002-2594-3799; Sreeman, Sheshshayee/0000-0002-2634-8596</t>
  </si>
  <si>
    <t>Indian Space Research Organization</t>
  </si>
  <si>
    <t>We thank all the participants and crew members of ORV Sagar Kanya (SK 258) for their assistance onboard. We also thank the Indian Space Research Organization Geosphere-Biosphere program for funding. Critical comments from two anonymous reviewers helped improve the manuscript. This is INCOIS contribution 89.</t>
  </si>
  <si>
    <t>1944-9224</t>
  </si>
  <si>
    <t>GLOBAL BIOGEOCHEM CY</t>
  </si>
  <si>
    <t>Glob. Biogeochem. Cycle</t>
  </si>
  <si>
    <t>GB4014</t>
  </si>
  <si>
    <t>10.1029/2010GB003970</t>
  </si>
  <si>
    <t>Environmental Sciences; Geosciences, Multidisciplinary; Meteorology &amp; Atmospheric Sciences</t>
  </si>
  <si>
    <t>Environmental Sciences &amp; Ecology; Geology; Meteorology &amp; Atmospheric Sciences</t>
  </si>
  <si>
    <t>868BY</t>
  </si>
  <si>
    <t>WOS:000298499700001</t>
  </si>
  <si>
    <t>Hernandez-Sanchez, MT; Mills, RA; Planquette, H; Pancost, RD; Hepburn, L; Salter, I; FitzGeorge-Balfour, T</t>
  </si>
  <si>
    <t>Hernandez-Sanchez, Maria T.; Mills, Rachel A.; Planquette, Helene; Pancost, Richard D.; Hepburn, Laura; Salter, Ian; FitzGeorge-Balfour, Tania</t>
  </si>
  <si>
    <t>Quantifying export production in the Southern Ocean: Implications for the Baxs proxy</t>
  </si>
  <si>
    <t>PALEOCEANOGRAPHY</t>
  </si>
  <si>
    <t>ANTARCTIC CIRCUMPOLAR CURRENT; GLACIAL-INTERGLACIAL CHANGES; NATURAL IRON FERTILIZATION; CENTRAL EQUATORIAL PACIFIC; ORGANIC-CARBON; MARINE BARITE; PHYTOPLANKTON BLOOM; CONTINENTAL-MARGIN; DEEP-SEA; BIOGENIC BARIUM</t>
  </si>
  <si>
    <t>The water column and sedimentary Ba-xs distribution around the Crozet Plateau is used to decipher the controls and timing of barite formation and to evaluate how export production signals are recorded in sediments underlying a region of natural Fe fertilization within the Fe limited Southern Ocean. Export production estimated from preserved, vertical sedimentary Ba-xs accumulation rates are compared with published export fluxes assessed from an integrated study of the biological carbon pump to determine the validity of Ba-xs as a quantitative proxy under different Fe supply conditions typical of the Southern Ocean. Detailed assessment of the geochemical partitioning of Ba in sediments and the lithogenic end-member allows appropriate correction of the bulk Ba content and determination of the Ba-xs content of sediments and suspended particles. The upper water column distribution of Ba-xs is extremely heterogeneous spatially and temporally. Organic carbon/Ba-xs ratios in deep traps from the Fe fertilized region are similar to other oceanic settings allowing quantification of the inferred carbon export based on established algorithms. There appears to be some decoupling of POC and Ba export in the Fe limited region south of the Plateau. The export production across the Crozet Plateau inferred from the Ba-xs sedimentary proxy indicates that the Fe fertilized area to the north of the Plateau experiences enhanced export relative to equivalent Southern Ocean settings throughout the Holocene and that this influence may also have impacted the site to the south for significant periods. This interpretation is corroborated by alternative productivity proxies (opal accumulation, Pa-231(xs)/Th-230(xs)). Ba-xs can be used to quantify export production in complex settings such as naturally Fe-fertilized (volcanoclastic) areas, providing appropriate lithogenic correction is undertaken, and sediment focusing is corrected for along with evaluation of barite preservation.</t>
  </si>
  <si>
    <t>[Hernandez-Sanchez, Maria T.; Pancost, Richard D.] Univ Bristol, Sch Chem, Organ Geochem Unit, Bristol Biogeochem Res Ctr, Bristol BS8 1TS, Avon, England; [Mills, Rachel A.; Planquette, Helene; Hepburn, Laura] Univ Southampton, Natl Oceanog Ctr, Southampton SO14 3ZH, Hants, England; [Salter, Ian] Univ Paris 06, CNRS INSU, UMR, Observ Oceanol Banyuls Sur Mer, F-7621 Paris, France; [FitzGeorge-Balfour, Tania] Queen Mary Univ London, Sch Biol &amp; Chem Sci, London E1 4NS, England</t>
  </si>
  <si>
    <t>University of Bristol; University of Southampton; NERC National Oceanography Centre; Sorbonne Universite; Centre National de la Recherche Scientifique (CNRS); CNRS - National Institute for Earth Sciences &amp; Astronomy (INSU); University of London; Queen Mary University London</t>
  </si>
  <si>
    <t>Hernandez-Sanchez, MT (corresponding author), Univ Bristol, Sch Chem, Organ Geochem Unit, Bristol Biogeochem Res Ctr, Bristol BS8 1TS, Avon, England.</t>
  </si>
  <si>
    <t>maite.hernandezsanchez@bristol.ac.uk</t>
  </si>
  <si>
    <t>Hepburn, Laura/AAW-4324-2021; Salter, Ian/AAI-1015-2021; Mills, Rachel/A-1150-2011; Planquette, Helene/B-4990-2013</t>
  </si>
  <si>
    <t>Salter, Ian/0000-0002-4513-0314; Mills, Rachel/0000-0002-9811-246X; Planquette, Helene/0000-0002-2235-5158; Hepburn, Laura/0000-0003-3336-5340; Pancost, Richard/0000-0003-0298-4026</t>
  </si>
  <si>
    <t>NERC [NER/A/S/2003/00576, SGM/1255.1007]; EU [MEST-CT-2004-514262]; NERC [noc010011, noc010009] Funding Source: UKRI; Natural Environment Research Council [noc010009, NER/A/S/2003/00576, noc010011] Funding Source: researchfish</t>
  </si>
  <si>
    <t>NERC(UK Research &amp; Innovation (UKRI)Natural Environment Research Council (NERC)); EU(European Union (EU)); NERC(UK Research &amp; Innovation (UKRI)Natural Environment Research Council (NERC)); Natural Environment Research Council(UK Research &amp; Innovation (UKRI)Natural Environment Research Council (NERC))</t>
  </si>
  <si>
    <t>The authors would like to thank Darryl Green and Matt Cooper for analytical support at NOC and for Gideon Henderson and Alex Thomas for supporting U-series measurements at the University of Oxford. We also gratefully acknowledge the NERC funded Crozet natural Iron bloom Export Experiment (CROZEX) and Benthic Crozet Programme (NER/A/S/2003/00576) for the collection of samples. Additionally we would like to thank NERC for funding radiocarbon analyses (SGM/1255.1007). We also thank Raymond Pollard and the scientists, officers, crew and technical support on RRS Discovery Cruises D285, D286 and D300 and the EU for funding a Ph.D. studentship (MTH) via the sixth Framework (FP6) Marie Curie Actions (MEST-CT-2004-514262). Finally, we are particularly grateful to William Homoky for carrying out ICP-MS analysis, Hugh Venables for chl-a estimates and Marcus Badger for software support.</t>
  </si>
  <si>
    <t>0883-8305</t>
  </si>
  <si>
    <t>1944-9186</t>
  </si>
  <si>
    <t>Paleoceanography</t>
  </si>
  <si>
    <t>PA4222</t>
  </si>
  <si>
    <t>10.1029/2010PA002111</t>
  </si>
  <si>
    <t>Geosciences, Multidisciplinary; Oceanography; Paleontology</t>
  </si>
  <si>
    <t>Geology; Oceanography; Paleontology</t>
  </si>
  <si>
    <t>868AR</t>
  </si>
  <si>
    <t>WOS:000298496400001</t>
  </si>
  <si>
    <t>Coppola, D; Bruno, S; Ronda, L; Viappiani, C; Abbruzzetti, S; di Prisco, G; Verde, C; Mozzarelli, A</t>
  </si>
  <si>
    <t>Coppola, Daniela; Bruno, Stefano; Ronda, Luca; Viappiani, Cristiano; Abbruzzetti, Stefania; di Prisco, Guido; Verde, Cinzia; Mozzarelli, Andrea</t>
  </si>
  <si>
    <t>Low affinity PEGylated hemoglobin from Trematomus bernacchii, a model for hemoglobin-based blood substitutes</t>
  </si>
  <si>
    <t>BMC BIOCHEMISTRY</t>
  </si>
  <si>
    <t>RECOMBINANT HEMOGLOBINS; CRYSTAL-STRUCTURE; OXYGEN-BINDING; PEG-HB; FISH; ADAPTATION; REACTIVITY; MP4</t>
  </si>
  <si>
    <t>Background: Conjugation of human and animal hemoglobins with polyethylene glycol has been widely explored as a means to develop blood substitutes, a novel pharmaceutical class to be used in surgery or emergency medicine. However, PEGylation of human hemoglobin led to products with significantly different oxygen binding properties with respect to the unmodified tetramer and high NO dioxygenase reactivity, known causes of toxicity. These recent findings call for the biotechnological development of stable, low-affinity PEGylated hemoglobins with low NO dioxygenase reactivity. Results: To investigate the effects of PEGylation on protein structure and function, we compared the PEGylation products of human hemoglobin and Trematomus bernacchii hemoglobin, a natural variant endowed with a remarkably low oxygen affinity and high tetramer stability. We show that extension arm facilitated PEGylation chemistry based on the reaction of T. bernacchii hemoglobin with 2-iminothiolane and maleimido-functionalyzed polyethylene glycol (MW 5000 Da) leads to a tetraPEGylated product, more homogeneous than the corresponding derivative of human hemoglobin. PEGylated T. bernacchii hemoglobin largely retains the low affinity of the unmodified tetramer, with a p50 50 times higher than PEGylated human hemoglobin. Moreover, it is still sensitive to protons and the allosteric effector ATP, indicating the retention of allosteric regulation. It is also 10-fold less reactive towards nitrogen monoxide than PEGylated human hemoglobin. Conclusions: These results indicate that PEGylated hemoglobins, provided that a suitable starting hemoglobin variant is chosen, can cover a wide range of oxygen-binding properties, potentially meeting the functional requirements of blood substitutes in terms of oxygen affinity, tetramer stability and NO dioxygenase reactivity.</t>
  </si>
  <si>
    <t>[Bruno, Stefano; Ronda, Luca; Mozzarelli, Andrea] Univ Parma, Dept Biochem &amp; Mol Biol, I-43100 Parma, Italy; [Coppola, Daniela; di Prisco, Guido; Verde, Cinzia] CNR, Inst Prot Biochem, I-80125 Naples, Italy; [Viappiani, Cristiano; Abbruzzetti, Stefania] Univ Parma, Dept Phys, CNR, NEST Ist Nanosci, I-43100 Parma, Italy; [Abbruzzetti, Stefania] Univ Verona, Dept Biotechnol, I-37100 Verona, Italy</t>
  </si>
  <si>
    <t>University of Parma; Consiglio Nazionale delle Ricerche (CNR); Istituto di Biochimica delle Proteine (IBP-CNR); University of Parma; Consiglio Nazionale delle Ricerche (CNR); Istituto Nanoscienze (NANO-CNR); University of Verona</t>
  </si>
  <si>
    <t>Bruno, S (corresponding author), Univ Parma, Dept Biochem &amp; Mol Biol, I-43100 Parma, Italy.</t>
  </si>
  <si>
    <t>stefano.bruno@unipr.it</t>
  </si>
  <si>
    <t>abbruzzetti, stefania/AAE-5518-2020; Ronda, Luca/E-5214-2012; Viappiani, Cristiano/AAC-7579-2019; Coppola, Daniela/ABG-4430-2020; Mozzarelli, Andrea/C-3615-2014; Bruno, Stefano/A-4582-2011</t>
  </si>
  <si>
    <t>abbruzzetti, stefania/0000-0001-7685-8554; Viappiani, Cristiano/0000-0001-7470-4770; Mozzarelli, Andrea/0000-0003-3762-0062; Ronda, Luca/0000-0002-5389-2669; Bruno, Stefano/0000-0002-7890-2472; VERDE, Cinzia/0000-0001-6185-282X; Coppola, Daniela/0000-0001-6699-8967</t>
  </si>
  <si>
    <t>Italian National Programme for Antarctic Research (PNRA); Fondazione Cariparma; SCAR programme Evolution and Biodiversity in the Antarctic (EBA); European Commission [ENV.2007.2.2.1.6]; Italian Ministero dell'Istruzione; dell'Universita e della Ricerca (MIUR); Direzione Generale per l'Internazionalizzazione della Ricerca; Progetti di Grande Rilevanza Italia-Argentina</t>
  </si>
  <si>
    <t>Italian National Programme for Antarctic Research (PNRA); Fondazione Cariparma(Fondazione Cariparma); SCAR programme Evolution and Biodiversity in the Antarctic (EBA); European Commission(European Union (EU)European Commission Joint Research Centre); Italian Ministero dell'Istruzione(Ministry of Education, Universities and Research (MIUR)); dell'Universita e della Ricerca (MIUR)(Ministry of Education, Universities and Research (MIUR)); Direzione Generale per l'Internazionalizzazione della Ricerca; Progetti di Grande Rilevanza Italia-Argentina</t>
  </si>
  <si>
    <t>This study is financially supported by the Italian National Programme for Antarctic Research (PNRA) and Fondazione Cariparma (to AM), and is in the framework of the SCAR programme Evolution and Biodiversity in the Antarctic (EBA) and the project CAREX (Coordination Action for Research Activities on Life in Extreme Environments), European Commission FP7 call ENV.2007.2.2.1.6.; This project was supported by the Italian Ministero dell'Istruzione, dell'Universita e della Ricerca (MIUR), Direzione Generale per l'Internazionalizzazione della Ricerca, Progetti di Grande Rilevanza Italia-Argentina. We are grateful to Prof. Lelio Mazzarella for invaluable discussion, ideas and enthusiastic support in addressing these themes.</t>
  </si>
  <si>
    <t>1471-2091</t>
  </si>
  <si>
    <t>BMC BIOCHEM</t>
  </si>
  <si>
    <t>BMC Boichem.</t>
  </si>
  <si>
    <t>DEC 20</t>
  </si>
  <si>
    <t>10.1186/1471-2091-12-66</t>
  </si>
  <si>
    <t>Biochemistry &amp; Molecular Biology</t>
  </si>
  <si>
    <t>886AI</t>
  </si>
  <si>
    <t>WOS:000299822200001</t>
  </si>
  <si>
    <t>Nesvorny, D; Janches, D; Vokrouhlicky, D; Pokorny, P; Bottke, WF; Jenniskens, P</t>
  </si>
  <si>
    <t>Nesvorny, David; Janches, Diego; Vokrouhlicky, David; Pokorny, Petr; Bottke, William F.; Jenniskens, Peter</t>
  </si>
  <si>
    <t>DYNAMICAL MODEL FOR THE ZODIACAL CLOUD AND SPORADIC METEORS</t>
  </si>
  <si>
    <t>ASTROPHYSICAL JOURNAL</t>
  </si>
  <si>
    <t>comets: general; meteorites, meteors, meteoroids; zodiacal dust</t>
  </si>
  <si>
    <t>JUPITER-FAMILY COMETS; SPATIAL-DISTRIBUTION; RADIANT DISTRIBUTION; ORBITAL DISTRIBUTION; UPPER-ATMOSPHERE; KUIPER-BELT; HIGH-POWER; DUST; DISTRIBUTIONS; EARTH</t>
  </si>
  <si>
    <t>The solar system is dusty, and would become dustier over time as asteroids collide and comets disintegrate, except that small debris particles in interplanetary space do not last long. They can be ejected from the solar system by Jupiter, thermally destroyed near the Sun, or physically disrupted by collisions. Also, some are swept by the Earth (and other planets), producing meteors. Here we develop a dynamical model for the solar system meteoroids and use it to explain meteor radar observations. We find that the Jupiter Family Comets (JFCs) are the main source of the prominent concentrations of meteors arriving at the Earth from the helion and antihelion directions. To match the radiant and orbit distributions, as measured by the Canadian Meteor Orbit Radar (CMOR) and Advanced Meteor Orbit Radar (AMOR), our model implies that comets, and JFCs in particular, must frequently disintegrate when reaching orbits with low perihelion distance. Also, the collisional lifetimes of millimeter particles may be longer (greater than or similar to 10(5) yr at 1 AU) than postulated in the standard collisional models (similar to 10(4) yr at 1 AU), perhaps because these chondrule-sized meteoroids are stronger than thought before. Using observations of the Infrared Astronomical Satellite to calibrate the model, we find that the total cross section and mass of small meteoroids in the inner solar system are (1.7-3.5) x 10(11) km(2) and similar to 4 x 10(19) g, respectively, in a good agreement with previous studies. The mass input required to keep the zodiacal cloud in a steady state is estimated to be similar to 10(4)-10(5) kg s(-1). The input is up to similar to 10 times larger than found previously, mainly because particles released closer to the Sun have shorter collisional lifetimes and need to be supplied at a faster rate. The totalmass accreted by the Earth in particles between diameters D = 5 mu m and 1 cm is found to be similar to 15,000 tons yr(-1) (factor of two uncertainty), which is a large share of the accretion flux measured by the Long Term Duration Facility. The majority of JFC particles plunge into the upper atmosphere at &lt;15 km s(-1) speeds, should survive the atmospheric entry, and can produce micrometeorite falls. This could explain the compositional similarity of samples collected in the Antarctic ice and stratosphere, and those brought from comet Wild 2 by the Stardust spacecraft. Meteor radars such as CMOR and AMOR see only a fraction of the accretion flux (similar to 1%-10% and similar to 10%-50%, respectively), because small particles impacting at low speeds produce ionization levels that are below these radars' detection capabilities.</t>
  </si>
  <si>
    <t>[Nesvorny, David; Vokrouhlicky, David; Pokorny, Petr; Bottke, William F.] SW Res Inst, Dept Space Studies, Boulder, CO 80302 USA; [Janches, Diego] GSFC NASA, Space Weather Lab, Greenbelt, MD 20771 USA; [Vokrouhlicky, David; Pokorny, Petr] Charles Univ Prague, Inst Astron, CZ-18000 Prague 8, Czech Republic; [Jenniskens, Peter] SETI Inst, Carl Sagan Ctr, Mountain View, CA 94043 USA</t>
  </si>
  <si>
    <t>National Aeronautics &amp; Space Administration (NASA); Charles University Prague</t>
  </si>
  <si>
    <t>Nesvorny, D (corresponding author), SW Res Inst, Dept Space Studies, 1050 Walnut St,Suite 300, Boulder, CO 80302 USA.</t>
  </si>
  <si>
    <t>Vokrouhlický, David/Q-4359-2017; Pokorny, Petr/AAA-4788-2021; Janches, Diego/D-4674-2012</t>
  </si>
  <si>
    <t>Pokorny, Petr/0000-0002-5667-9337; Janches, Diego/0000-0001-8615-5166</t>
  </si>
  <si>
    <t>NASA; NSF [AST 0908118]; Czech Grant Agency [205/08/0064, 205/08/H005]; Czech Ministry of Education [MSM0021620860]; Division Of Astronomical Sciences; Direct For Mathematical &amp; Physical Scien [0908118] Funding Source: National Science Foundation</t>
  </si>
  <si>
    <t>NASA(National Aeronautics &amp; Space Administration (NASA)); NSF(National Science Foundation (NSF)); Czech Grant Agency(Grant Agency of the Czech Republic); Czech Ministry of Education(Ministry of Education, Youth &amp; Sports - Czech Republic); Division Of Astronomical Sciences; Direct For Mathematical &amp; Physical Scien(National Science Foundation (NSF)NSF - Directorate for Mathematical &amp; Physical Sciences (MPS))</t>
  </si>
  <si>
    <t>This article is based on work supported by the NASA's Planetary Geology and Geophysics and Planetary Astronomy programs. D.J.'s participation in this work was supported through the NSF Award AST 0908118. The work of D.V. and P.P. was partially supported by the Czech Grant Agency (grants 205/08/0064 and 205/08/H005) and the Research Program MSM0021620860 of the Czech Ministry of Education. We thank Margaret Campbell-Brown, Jack Baggaley, and Hal Levison for useful discussions. We also thank the anonymous reviewer for excellent suggestions to this work.</t>
  </si>
  <si>
    <t>IOP PUBLISHING LTD</t>
  </si>
  <si>
    <t>BRISTOL</t>
  </si>
  <si>
    <t>TEMPLE CIRCUS, TEMPLE WAY, BRISTOL BS1 6BE, ENGLAND</t>
  </si>
  <si>
    <t>0004-637X</t>
  </si>
  <si>
    <t>1538-4357</t>
  </si>
  <si>
    <t>ASTROPHYS J</t>
  </si>
  <si>
    <t>Astrophys. J.</t>
  </si>
  <si>
    <t>10.1088/0004-637X/743/2/129</t>
  </si>
  <si>
    <t>863PO</t>
  </si>
  <si>
    <t>WOS:000298178400031</t>
  </si>
  <si>
    <t>Nomura, D; McMinn, A; Hattori, H; Aoki, S; Fukuchi, M</t>
  </si>
  <si>
    <t>Nomura, Daiki; McMinn, Andrew; Hattori, Hiroshi; Aoki, Shigeru; Fukuchi, Mitsuo</t>
  </si>
  <si>
    <t>Incorporation of nitrogen compounds into sea ice from atmospheric deposition</t>
  </si>
  <si>
    <t>MARINE CHEMISTRY</t>
  </si>
  <si>
    <t>Nutrient; Sea ice; Snow; Malting; Sea of Okhotsk</t>
  </si>
  <si>
    <t>SAROMA-KO LAGOON; WEDDELL SEA; BALTIC-SEA; NUTRIENT STATUS; SNOW; WINTER; GULF; COMPONENTS; CHEMISTRY; AMUNDSEN</t>
  </si>
  <si>
    <t>Temporal measurements of temperature, salinity, water-oxygen isotopic ratio and nutrient concentrations at Saroma-ko Lagoon, southern Sea of Okhotsk, were made in February-March 2008 to examine the processes by which nitrogen compounds from the atmosphere were incorporated via snowfall into sea ice. Granular ice made up more than half the ice thickness, and the mass fraction of snow in the snow-ice layer on top of the ice ranged from 0.8% to 46.9%. The high concentrations of NO3- + NO2- and NH4+ observed in the snow and snow-ice throughout the study period were likely due to the proximity of the study site, in northern Japan, to the east coast of the Asian continent. Pollutants containing high NO3- and NH4+ concentrations are transported from East Asia and deposited in snowfall over the sea ice in the southern part of the Sea of Okhotsk. Compared with NO3- + NO2- and NH4+ concentrations, PO43- concentrations in the snow and snow-ice were low. The strong correlation between the NO3- + NO2- and NH4+ concentrations in the snow-ice and the mass fraction of snow indicates that the nitrogen compounds on top of the sea ice were controlled mainly by the snow contribution to the sea ice when snow-ice predominated. Our results indicate that chemical cycles in sea ice can be affected by polluted precipitation (snow) originating from a nonpolar sea. (C) 2011 Elsevier B.V. All rights reserved.</t>
  </si>
  <si>
    <t>[Nomura, Daiki; Fukuchi, Mitsuo] Natl Inst Polar Res, Tachikawa, Tokyo, Japan; [McMinn, Andrew] Univ Tasmania, Inst Antarctic &amp; So Ocean Studies, Hobart, Tas 7001, Australia; [Hattori, Hiroshi] Tokai Univ, Minami Ku, Sapporo, Hokkaido, Japan; [Aoki, Shigeru] Hokkaido Univ, Inst Low Temp Sci, Sapporo, Hokkaido 060, Japan</t>
  </si>
  <si>
    <t>Research Organization of Information &amp; Systems (ROIS); National Institute of Polar Research (NIPR) - Japan; University of Tasmania; Tokai University; Hokkaido University</t>
  </si>
  <si>
    <t>Nomura, D (corresponding author), Polar Environm Ctr, Norwegian Polar Inst, N-9296 Tromso, Norway.</t>
  </si>
  <si>
    <t>daiki.nomura@npolar.no; andrew.mcminn@utas.edu.au; hattori@tspirit.tokai-u.jp; shigeru@lowtem.hokudai.ac.jp; fukuchi@nipr.ac.jp</t>
  </si>
  <si>
    <t>McMinn, Andrew/A-9910-2008; Aoki, Shigeru/D-9105-2012</t>
  </si>
  <si>
    <t>Japan Society for the Promotion of Science [195968]; Grants-in-Aid for Scientific Research [21310002]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</si>
  <si>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</si>
  <si>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Ms. K. Nakamura, Dr. K. Shirasawa, Dr. T. Toyota, Dr. M. A. Granskog, Dr. S. Nihashi, Professor H. Y. Inoue, Dr. J. Nishioka and Ms. A. Murayama for assistance in sampling and analyzing samples, for providing access to instruments and for useful comments. This work was supported partly by a Research Fellowship of the Japan Society for the Promotion of Science (#195968).</t>
  </si>
  <si>
    <t>0304-4203</t>
  </si>
  <si>
    <t>1872-7581</t>
  </si>
  <si>
    <t>MAR CHEM</t>
  </si>
  <si>
    <t>Mar. Chem.</t>
  </si>
  <si>
    <t>1-4</t>
  </si>
  <si>
    <t>10.1016/j.marchem.2011.08.002</t>
  </si>
  <si>
    <t>Chemistry, Multidisciplinary; Oceanography</t>
  </si>
  <si>
    <t>Chemistry; Oceanography</t>
  </si>
  <si>
    <t>864EI</t>
  </si>
  <si>
    <t>WOS:000298219400010</t>
  </si>
  <si>
    <t>Han, Y; Huh, Y; Hong, S; Hur, SD; Motoyama, H; Fujita, S; Nakazawa, F; Fukui, K</t>
  </si>
  <si>
    <t>Han, Yeongcheol; Huh, Youngsook; Hong, Sungmin; Hur, Soon Do; Motoyama, Hideaki; Fujita, Shuji; Nakazawa, Fumio; Fukui, Kotaro</t>
  </si>
  <si>
    <t>Quantification of Total Mercury in Antarctic Surface Snow using ICP-SF-MS: Spatial Variation from the Coast to Dome Fuji</t>
  </si>
  <si>
    <t>BULLETIN OF THE KOREAN CHEMICAL SOCIETY</t>
  </si>
  <si>
    <t>Gaseous elemental mercury; Reactive gaseous mercury; Atmospheric mercury depletion event; Photochemical oxidation and reduction</t>
  </si>
  <si>
    <t>ATMOSPHERIC MERCURY; ARCTIC SNOW; SPRINGTIME DEPLETION; NY-ALESUND; DEPOSITION; SPECIATION; TROPOSPHERE; CHEMISTRY; RADIATION; SVALBARD</t>
  </si>
  <si>
    <t>The total mercury concentration (Hg-T) of surface snow samples collected along a similar to 1500 km transect in east Queen Maud Land was determined using inductively coupled plasma sector field mass spectrometry to address the behavior of Hg on the Antarctic Plateau. Due to the volatile nature of mercury, measures were taken against Hg loss from standard solutions by choosing appropriate container material and stabilizing agents. Glass bottles with Teflon-lined caps were superior to Teflon and polyethylene containers in protecting against Hg loss, but addition of gold chloride (AuCl3) or bromine chloride (BrCl) was necessary to ensure preservation of Hg. As Hg loss was also observed in snowmelt samples, our analysis may underestimate the actual amount of Hg-T in the snow. Even so, the measured Hg-T was still very low (&lt; 0.4-10.8 pg g(-1) n = 44) without a signal of depositional enhancement accompanying photo-oxidation of atmospheric elemental mercury in austral midsummer. Moreover, the dynamic variation along the traverse implies spatial and temporal heterogeneity in its source processes.</t>
  </si>
  <si>
    <t>[Han, Yeongcheol; Huh, Youngsook] Seoul Natl Univ, Sch Earth &amp; Environm Sci RIO, Seoul 151747, South Korea; [Hong, Sungmin] Inha Univ, Dept Ocean Sci, Inchon 402751, South Korea; [Hur, Soon Do] Korea Polar Res Inst, Inchon 406840, South Korea; [Motoyama, Hideaki; Fujita, Shuji; Nakazawa, Fumio; Fukui, Kotaro] Natl Inst Polar Res, Tachikawa, Tokyo 1908518, Japan</t>
  </si>
  <si>
    <t>Seoul National University (SNU); Inha University; Korea Institute of Ocean Science &amp; Technology (KIOST); Korea Polar Research Institute (KOPRI); Research Organization of Information &amp; Systems (ROIS); National Institute of Polar Research (NIPR) - Japan</t>
  </si>
  <si>
    <t>Huh, Y (corresponding author), Seoul Natl Univ, Sch Earth &amp; Environm Sci RIO, Seoul 151747, South Korea.</t>
  </si>
  <si>
    <t>yhuh@snu.ac.kr</t>
  </si>
  <si>
    <t>Huh, Youngsook/C-3379-2014; Nakazawa, Fumio/R-4031-2018; FUKUI, Kotaro/H-5600-2018; Fujita, Shuji/A-7884-2016</t>
  </si>
  <si>
    <t>Fujita, Shuji/0000-0003-0127-0777</t>
  </si>
  <si>
    <t>NRF [2010-0027586]; MEST; KOPRI [PE11090]; Inha University [INHA-42819-01]</t>
  </si>
  <si>
    <t>NRF; MEST(Ministry of Education, Science &amp; Technology (MEST), Republic of Korea); KOPRI(Korea Polar Research Institute of Marine Research Placement (KOPRI)); Inha University</t>
  </si>
  <si>
    <t>This work was performed as part of the ITASE project, and we thank all field personnel in the 2007-2008 Japanese-Swedish IPY Antarctic expedition. This work was supported by the Mid-Career Researcher Program (No. 2010-0027586) through NRF grant funded by the MEST, KOPRI research grant (No. PE11090), and Inha University research grant (No. INHA-42819-01).</t>
  </si>
  <si>
    <t>KOREAN CHEMICAL SOC</t>
  </si>
  <si>
    <t>SEOUL</t>
  </si>
  <si>
    <t>635-4 YEOGSAM-DONG, KANGNAM-GU, SEOUL 135-703, SOUTH KOREA</t>
  </si>
  <si>
    <t>0253-2964</t>
  </si>
  <si>
    <t>B KOREAN CHEM SOC</t>
  </si>
  <si>
    <t>Bull. Korean Chem. Soc.</t>
  </si>
  <si>
    <t>10.5012/bkcs.2011.32.12.4258</t>
  </si>
  <si>
    <t>869UQ</t>
  </si>
  <si>
    <t>WOS:000298624100021</t>
  </si>
  <si>
    <t>Earp, A; Hanson, CE; Ralph, PJ; Brando, VE; Allen, S; Baird, M; Clementson, L; Daniel, P; Dekker, AG; Fearns, PRCS; Parslow, J; Strutton, PG; Thompson, PA; Underwood, M; Weeks, S; Doblin, MA</t>
  </si>
  <si>
    <t>Earp, Alan; Hanson, Christine E.; Ralph, Peter J.; Brando, Vittorio E.; Allen, Simon; Baird, Mark; Clementson, Lesley; Daniel, Paul; Dekker, Arnold G.; Fearns, Peter R. C. S.; Parslow, John; Strutton, Peter G.; Thompson, Peter A.; Underwood, Mark; Weeks, Scarla; Doblin, Martina A.</t>
  </si>
  <si>
    <t>Review of fluorescent standards for calibration of in situ fluorometers: Recommendations applied in coastal and ocean observing programs</t>
  </si>
  <si>
    <t>OPTICS EXPRESS</t>
  </si>
  <si>
    <t>DISSOLVED ORGANIC-MATTER; ABSORPTION; SENSORS</t>
  </si>
  <si>
    <t>Fluorometers are widely used in ecosystem observing to monitor fluorescence signals from organic compounds, as well as to infer geophysical parameters such as chlorophyll or CDOM concentration, but measurements are susceptible to variation caused by biofouling, instrument design, sensor drift, operating environment, and calibration rigor. To collect high quality data, such sensors need frequent checking and regular calibration. In this study, a wide variety of both liquid and solid fluorescent materials were trialed to assess their suitability as reference standards for performance assessment of in situ fluorometers. Criteria used to evaluate the standards included the spectral excitation/emission responses of the materials relative to fluorescence sensors and to targeted ocean properties, the linearity of the fluorometer's optical response with increasing concentration, stability and consistency, availability and ease of use, as well as cost. Findings are summarized as a series of recommended reference standards for sensors deployed on stationary and mobile platforms, to suit a variety of in situ coastal to ocean sensor configurations. Repeated determinations of chlorophyll scale factor using the recommended liquid standard, Fluorescein, achieved an accuracy of 2.5%. Repeated measurements with the recommended solid standard, Plexiglas Satinice (R) plum 4H01 DC (polymethylmethacrylate), over an 18 day period varied from the mean value by 1.0% for chlorophyll sensors and 3.3% for CDOM sensors. (C) 2011 Optical Society of America</t>
  </si>
  <si>
    <t>[Earp, Alan; Ralph, Peter J.; Baird, Mark; Doblin, Martina A.] Univ Technol Sydney, Sydney, NSW 2007, Australia; [Hanson, Christine E.] Univ Western Australia, UWA Oceans Inst, Crawley, WA 6009, Australia; [Hanson, Christine E.] Univ Western Australia, Sch Environm Syst Engn, Crawley, WA 6009, Australia; [Brando, Vittorio E.; Daniel, Paul; Dekker, Arnold G.] CSIRO Land &amp; Water, Environm Earth Observat Program, Canberra, ACT 2601, Australia; [Strutton, Peter G.] Univ Tasmania, Inst Marine &amp; Antarctic Studies, Hobart, Tas 7001, Australia; [Clementson, Lesley; Parslow, John; Thompson, Peter A.; Underwood, Mark] CSIRO Marine &amp; Atmospher Res, Hobart, Tas 7001, Australia; [Fearns, Peter R. C. S.] Curtin Univ, Dept Imaging &amp; Appl Phys, Perth, WA 6845, Australia; [Weeks, Scarla] Univ Queensland, Ctr Spatial Environm Res, Brisbane, Qld 4072, Australia</t>
  </si>
  <si>
    <t>University of Technology Sydney; University of Western Australia; University of Western Australia; Commonwealth Scientific &amp; Industrial Research Organisation (CSIRO); CSIRO Land &amp; Water; University of Tasmania; Commonwealth Scientific &amp; Industrial Research Organisation (CSIRO); Curtin University; University of Queensland</t>
  </si>
  <si>
    <t>Earp, A (corresponding author), Univ Technol Sydney, POB 123 Broadway, Sydney, NSW 2007, Australia.</t>
  </si>
  <si>
    <t>martina.doblin@uts.edu.au</t>
  </si>
  <si>
    <t>Fearns, Peter R.C.S/A-5291-2008; Clementson, Lesley A/M-6905-2013; Brando, Vittorio/A-1321-2008; Doblin, Martina/L-1804-2019; Daniel, Paul/E-1618-2012; Ralph, Peter/L-1527-2019; Baird, Mark/GLU-2397-2022; Strutton, Peter/C-4466-2011; Dekker, Arnold/G-8863-2011; Weeks, Scarla/E-8632-2013; Thompson, Peter/A-2361-2012</t>
  </si>
  <si>
    <t>Brando, Vittorio/0000-0002-2193-5695; Doblin, Martina/0000-0001-8750-3433; Ralph, Peter/0000-0002-3103-7346; Baird, Mark/0000-0003-4955-2298; Fearns, Peter/0000-0002-2747-9037; Underwood, Mark/0000-0002-6378-5875; Strutton, Peter/0000-0002-2395-9471; Dekker, Arnold/0000-0002-8160-6498; Weeks, Scarla/0000-0002-0579-7069; Thompson, Peter/0000-0002-9504-5433; Clementson, Lesley/0000-0003-4415-993X; Allen, Simon/0000-0002-3122-1178</t>
  </si>
  <si>
    <t>Australian National Facility for Ocean Gliders (ANFOG); CSIRO; Australia's Integrated Marine Observing System (IMOS); IMOS; University of Technology, Sydney; Australian Government through the National Collaborative Research Infrastructure Strategy and the Super Science Initiative</t>
  </si>
  <si>
    <t>Australian National Facility for Ocean Gliders (ANFOG); CSIRO(Commonwealth Scientific &amp; Industrial Research Organisation (CSIRO)); Australia's Integrated Marine Observing System (IMOS); IMOS; University of Technology, Sydney; Australian Government through the National Collaborative Research Infrastructure Strategy and the Super Science Initiative(Australian GovernmentDepartment of Industry, Innovation and Science)</t>
  </si>
  <si>
    <t>The authors would like to thank the following people for their active support and useful discussions throughout this study; Paul Thomson from the Australian National Facility for Ocean Gliders (ANFOG), Robert Kay from CSIRO Marine and Atmospheric Research Hobart, Gordon MacDonald from Australia's Integrated Marine Observing System (IMOS), Jim Franklin and Marlene Zbinden from the University of Technology, Sydney, and Ian Walsh from WET Labs, USA. The authors are members of the IMOS National Working Group on Bio-optical Instrumentation and Observing. Funds and support for this work were provided by IMOS and the University of Technology, Sydney. IMOS is supported by the Australian Government through the National Collaborative Research Infrastructure Strategy and the Super Science Initiative.</t>
  </si>
  <si>
    <t>OPTICAL SOC AMER</t>
  </si>
  <si>
    <t>2010 MASSACHUSETTS AVE NW, WASHINGTON, DC 20036 USA</t>
  </si>
  <si>
    <t>1094-4087</t>
  </si>
  <si>
    <t>OPT EXPRESS</t>
  </si>
  <si>
    <t>Opt. Express</t>
  </si>
  <si>
    <t>DEC 19</t>
  </si>
  <si>
    <t>10.1364/OE.19.026768</t>
  </si>
  <si>
    <t>903WB</t>
  </si>
  <si>
    <t>WOS:000301151500090</t>
  </si>
  <si>
    <t>Cramer, BS; Miller, KG; Barrett, PJ; Wright, JD</t>
  </si>
  <si>
    <t>Cramer, B. S.; Miller, K. G.; Barrett, P. J.; Wright, J. D.</t>
  </si>
  <si>
    <t>Late Cretaceous-Neogene trends in deep ocean temperature and continental ice volume: Reconciling records of benthic foraminiferal geochemistry (δ18O and Mg/Ca) with sea level history</t>
  </si>
  <si>
    <t>SEAWATER CARBONATE CONCENTRATION; GEOLOGICAL WATER CYCLE; NEW-JERSEY; COASTAL-PLAIN; PLANKTONIC-FORAMINIFERA; ORIDORSALIS-UMBONATUS; CALCITE COMPENSATION; SURFACE-TEMPERATURE; CHEMICAL EVOLUTION; CENOZOIC CLIMATE</t>
  </si>
  <si>
    <t>We reconstruct trends in ice volume and deep ocean temperature for the past 108 Myr, resolving variations on timescales of similar to 2 Myr and longer. We use a sea level record as a proxy for ice volume, a benthic foraminiferal Mg/Ca-bf record as a proxy for temperature, and a benthic foraminiferal d(18)O(bf) record as a proxy for both. This allows us to construct dual estimates of temperature and ice volume variations for the interval 10-60 Ma: extracting temperature from d(18)O(bf) by using sea level as a proxy for ice volume to constrain the d(18)O(sw) component, and extracting seawater d(18)O(sw) (which reflects ice volume) from d(18)O(bf) by using Mg/Ca-bf to constrain the temperature component. Each of these approaches requires numerous assumptions, but the range of plausible solutions are concordant on timescales &gt;2 Myr and within an uncertainty of +/- 2 degrees C temperature and +/- 0.4 parts per thousand delta O-18(sw). The agreement between the two approaches for the last 50 Myr provides empirical justification for the use of d(18)O(bf), Mg/Ca-bf, and sea level records as robust climate proxies. Our reconstructions indicate differences between deep ocean cooling and continental ice growth in the late Cenozoic: cooling occurred gradually in the middle-late Eocene and late Miocene-Pliocene while ice growth occurred rapidly in the earliest Oligocene, middle Miocene, and Plio-Pleistocene. These differences are consistent with climate models that imply that temperatures, set by the long-term CO2 equilibrium, should change only gradually on timescales &gt;2 Myr, but growth of continental ice sheets may be rapid in response to climate thresholds due to feedbacks that are not yet fully understood.</t>
  </si>
  <si>
    <t>[Cramer, B. S.] Theiss Res, Eugene, OR USA; [Miller, K. G.; Wright, J. D.] Rutgers State Univ, Dept Earth &amp; Planetary Sci, Piscataway, NJ 08854 USA; [Barrett, P. J.] Victoria Univ, Antarctic Res Ctr, Wellington 6001, New Zealand</t>
  </si>
  <si>
    <t>Rutgers University System; Rutgers University New Brunswick; Victoria University Wellington</t>
  </si>
  <si>
    <t>Cramer, BS (corresponding author), Theiss Res, POB 127, La Jolla, CA 92038 USA.</t>
  </si>
  <si>
    <t>b.s.cramer@theissresearch.org</t>
  </si>
  <si>
    <t>Wright, James/AAF-7180-2019; Cramer, Benjamin S/A-5303-2008</t>
  </si>
  <si>
    <t>Wright, James/0000-0001-5212-9146</t>
  </si>
  <si>
    <t>NSF [OCE-0927663]; Directorate For Geosciences; Division Of Ocean Sciences [0927663] Funding Source: National Science Foundation</t>
  </si>
  <si>
    <t>NSF(National Science Foundation (NSF)); Directorate For Geosciences; Division Of Ocean Sciences(National Science Foundation (NSF)NSF - Directorate for Geosciences (GEO))</t>
  </si>
  <si>
    <t>We are very grateful to two anonymous reviewers, whose comments led to major changes in our analysis and forced us to deal with the full complexity of the Mg/Cabf proxy. This research was funded in part by NSF grant OCE-0927663 to B.S. Cramer.</t>
  </si>
  <si>
    <t>DEC 16</t>
  </si>
  <si>
    <t>C12023</t>
  </si>
  <si>
    <t>10.1029/2011JC007255</t>
  </si>
  <si>
    <t>864PV</t>
  </si>
  <si>
    <t>WOS:000298253100004</t>
  </si>
  <si>
    <t>Chu, XZ; Yu, ZB; Gardner, CS; Chen, C; Fong, WC</t>
  </si>
  <si>
    <t>Chu, Xinzhao; Yu, Zhibin; Gardner, Chester S.; Chen, Cao; Fong, Weichun</t>
  </si>
  <si>
    <t>Lidar observations of neutral Fe layers and fast gravity waves in the thermosphere (110-155 km) at McMurdo (77.8°S, 166.7°E), Antarctica</t>
  </si>
  <si>
    <t>UPPER-ATMOSPHERE; CHEMISTRY; ARECIBO; RADAR; MODEL; ION</t>
  </si>
  <si>
    <t>We report the first lidar observations of neutral Fe layers with gravity wave signatures in the thermosphere from 110-155 km at McMurdo, Antarctica in May 2011. The thermospheric Fe densities are low, ranging from similar to 200 cm(-3) at 120 km to similar to 20 cm(-3) at 150 km. The measured temperatures from 115-135 km are considerably warmer than MSIS and appear to be related to Joule heating enhanced by aurora. The observed waves originate in the lower atmosphere and show periods of 1.5-2 h through 77-155 km. The vertical wavelength increases from similar to 13 km at 115 km to similar to 70 km at 150 km altitude. These wave characteristics are strikingly similar to the traveling ionospheric disturbances caused by internal gravity waves. The thermospheric Fe layers are likely formed through the neutralization of vertically converged Fe(+) layers that descend in height following the gravity wave downward phase progression. Citation: Chu, X., Z. Yu, C. S. Gardner, C. Chen, and W. Fong (2011), Lidar observations of neutral Fe layers and fast gravity waves in the thermosphere (110-155 km) at McMurdo (77.8 degrees S, 166.7 degrees E), Antarctica, Geophys. Res. Lett., 38, L23807, doi: 10.1029/2011GL050016.</t>
  </si>
  <si>
    <t>[Chu, Xinzhao; Yu, Zhibin; Chen, Cao; Fong, Weichun] Univ Colorado, Cooperat Inst Res Environm Sci, Boulder, CO 80309 USA; [Chu, Xinzhao; Yu, Zhibin; Chen, Cao; Fong, Weichun] Univ Colorado, Dept Aerosp Engn Sci, Boulder, CO 80309 USA; [Gardner, Chester S.] Univ Illinois, Dept Elect &amp; Comp Engn, Urbana, IL 61801 USA</t>
  </si>
  <si>
    <t>University of Colorado System; University of Colorado Boulder; University of Colorado System; University of Colorado Boulder; University of Illinois System; University of Illinois Urbana-Champaign</t>
  </si>
  <si>
    <t>Chu, XZ (corresponding author), Univ Colorado, Cooperat Inst Res Environm Sci, 216 UCB, Boulder, CO 80309 USA.</t>
  </si>
  <si>
    <t>xinzhao.chu@colorado.edu</t>
  </si>
  <si>
    <t>Chen, Cao/D-9851-2016; Yu, Zhibin/GZA-3374-2022; CHU, XINZHAO/I-5670-2015</t>
  </si>
  <si>
    <t>Chen, Cao/0000-0002-7780-2787; Yu, Zhibin/0000-0001-5128-809X; CHU, XINZHAO/0000-0001-6147-1963</t>
  </si>
  <si>
    <t>National Science Foundation (NSF) [ANT-0839091]; Directorate For Geosciences; Office of Polar Programs (OPP) [1246405] Funding Source: National Science Foundation; Office of Polar Programs (OPP); Directorate For Geosciences [0839091] Funding Source: National Science Foundation</t>
  </si>
  <si>
    <t>National Science Foundation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</si>
  <si>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sincerely acknowledge Wentao Huang, Zhangjun Wang and John A. Smith for their contributions to the lidar campaign. We are very grateful to Art Richmond, Jeff Forbes, Jeff Thayer, John Plane, Rich Collins, Alan Burns, Jonathan Friedman and Vladimir Papitashvili for valuable discussions. We thank the staff of United States Antarctic Program, McMurdo Station, Antarctic New Zealand and Scott Base for their support. This project was supported by the National Science Foundation (NSF) grant ANT-0839091.</t>
  </si>
  <si>
    <t>DEC 15</t>
  </si>
  <si>
    <t>L23807</t>
  </si>
  <si>
    <t>10.1029/2011GL050016</t>
  </si>
  <si>
    <t>864TA</t>
  </si>
  <si>
    <t>WOS:000298261800006</t>
  </si>
  <si>
    <t>Williams, SE; Whittaker, JM; Müller, RD</t>
  </si>
  <si>
    <t>Williams, Simon E.; Whittaker, Joanne M.; Mueller, R. Dietmar</t>
  </si>
  <si>
    <t>Full-fit, palinspastic reconstruction of the conjugate Australian-Antarctic margins</t>
  </si>
  <si>
    <t>TECTONICS</t>
  </si>
  <si>
    <t>CONTINENTAL EXTENSION; SOUTHERN MARGIN; GRAVITY-FIELD; PLATE; TRANSITION; HISTORY; OROGENY; BASIN; ZONE; SEA</t>
  </si>
  <si>
    <t>Despite decades of study the prerift configuration and early rifting history between Australia and Antarctica is not well established. The plate boundary system during the Cretaceous includes the evolving Kerguelen-Broken Ridge Large Igneous Province in the west as well as the conjugate passive and transform margin segments of the Australian and Antarctic continents. Previous rigid plate reconstruction models have highlighted the difficulty in satisfying all the available observations within a single coherent reconstruction history. We investigate a range of scenarios for the early rifting history of these plates by developing a deforming plate model for this conjugate margin pair. Potential field data are used to define the boundaries of stretched continental crust on a regional scale. Integrating crustal thickness along tectonic flow lines provides an estimate of the prerift location of the continental plate boundary. We then use the prerift plate boundary positions, along with additional constraints from geological structures and large igneous provinces within the same Australian and Antarctic plate system, to compute full-fit poles of rotation for Australia relative to Antarctica. Our preferred model implies that the Leeuwin and Vincennes Fracture Zones are conjugate features within Gondwana, but that the direction of initial opening between Australia and Antarctica does not follow the orientation of these features; rather, the geometry of these features is likely related to the earlier rifting of India away from Australia-Antarctica. Previous full-fit reconstructions, based on qualitative estimates of continental margin overlaps, generally yield a tighter fit than our preferred reconstruction based on palinspastic margin restoration.</t>
  </si>
  <si>
    <t>[Williams, Simon E.; Whittaker, Joanne M.; Mueller, R. Dietmar] Univ Sydney, Sch Geosci, EarthByte Grp, Sydney, NSW 2006, Australia</t>
  </si>
  <si>
    <t>University of Sydney</t>
  </si>
  <si>
    <t>Williams, SE (corresponding author), Univ Sydney, Sch Geosci, EarthByte Grp, Sydney, NSW 2006, Australia.</t>
  </si>
  <si>
    <t>simon.williams@sydney.edu.au</t>
  </si>
  <si>
    <t>Müller, Dietmar/L-1200-2019; Whittaker, Joanne/B-3695-2010</t>
  </si>
  <si>
    <t>Müller, Dietmar/0000-0002-3334-5764; Whittaker, Joanne/0000-0002-3170-3935; Williams, Simon/0000-0003-4670-8883</t>
  </si>
  <si>
    <t>ARC [FL0992245]; Statoil</t>
  </si>
  <si>
    <t>ARC(Australian Research Council); Statoil</t>
  </si>
  <si>
    <t>The figures in this paper were created using Wessel and Smith's GMT software and ArcGIS. S. W. and R. D. M. were supported by ARC grant FL0992245. J.W. would like to gratefully acknowledge the support received from Statoil. The authors wish to thank Alexey Goncharov and Jennie Totterdell of Geoscience Australia for valuable discussion during the work presented in this paper. We thank editor Todd Ehlers and Douwe van Hinsbergen and Gilles Borel for constructive reviews. Key data used in this paper will be made available at ftp://ftp.earthbyte.org/earthbyte/AustraliaAntarcticaReconstruction.</t>
  </si>
  <si>
    <t>0278-7407</t>
  </si>
  <si>
    <t>1944-9194</t>
  </si>
  <si>
    <t>Tectonics</t>
  </si>
  <si>
    <t>TC6012</t>
  </si>
  <si>
    <t>10.1029/2011TC002912</t>
  </si>
  <si>
    <t>864TO</t>
  </si>
  <si>
    <t>WOS:000298263200001</t>
  </si>
  <si>
    <t>Klunder, MB; Laan, P; Middag, R; De Baar, HJW; van Ooijen, JC</t>
  </si>
  <si>
    <t>Klunder, M. B.; Laan, P.; Middag, R.; De Baar, H. J. W.; van Ooijen, J. C.</t>
  </si>
  <si>
    <t>Dissolved iron in the Southern Ocean (Atlantic sector)</t>
  </si>
  <si>
    <t>Iron; Hydrothermal; Upwelling; Sea-ice; Dust; Antarctic; Southern Ocean; Antarctic Circumpolar Current; Weddell Gyre</t>
  </si>
  <si>
    <t>ANTARCTIC CIRCUMPOLAR CURRENT; SURFACE WATERS; FERTILIZATION EXPERIMENT; ENRICHMENT EXPERIMENTS; ORGANIC COMPLEXATION; AUSTRALIAN SECTOR; NORTH-ATLANTIC; TIME-SERIES; WEDDELL SEA; PHYTOPLANKTON</t>
  </si>
  <si>
    <t>We report a comprehensive dataset of dissolved iron (Fe) comprising 482 values at 22 complete vertical profiles along a 1 degrees latitudinal section at the Zero meridian. In addition a shorter high resolution (similar to 00 degrees 09') surface section of the southernmost part of the transect (66 degrees 00'-69 degrees 035'S) is presented. Within the upper surface mixed layer the concentrations of dissolved Fe vary between 0.1 and 0.3 nM. An inverse trend versus fluorescence suggests significant Fe removal by plankton blooms. Vertical mixing and upwelling are the most important supply mechanisms of iron from deep waters to the upper surface mixed layer. At lower latitude (42 degrees S) there is a distinct maximum of 0.6-0.7 nM in the 2000-3000 m depth range due to inflow of North Atlantic Deep Water. In one region (55 degrees S) elevated dissolved Fe found in the surface mixed layer is ascribed to the recent deposition of aeolian dust originating from South America. Close to the Antarctic continent there is an indication of Fe supply in surface waters from icebergs. In the deep waters there is a strong indication of a hydrothermal plume of dissolved Fe and Mn over the ridge in the Bouvet region (52-56 degrees S). In the Weddell Gyre basin the dissolved Fe in the deep water is 0.47 +/- 0.16 nM in the eastward flow at similar to 56-62 degrees S and is lower with a value of 0.34 +/- 0.14 nM in the westward flow at high similar to 62-69 degrees S latitude. At the edge of the continental ice-sheet on the prime meridian, the continental margin of the Antarctic continent appears to be lesser source of dissolved Fe than in any other place in the world; this is likely because it is unique in being overlain by the extending continental ice-sheet that largely prevents biogeochemical cycling. (C) 2010 Elsevier Ltd. All rights reserved.</t>
  </si>
  <si>
    <t>[Klunder, M. B.; Laan, P.; Middag, R.; De Baar, H. J. W.; van Ooijen, J. C.] Royal Netherlands Inst Sea Res Royal NIOZ, NL-1790 AB Den Burg, Netherlands; [De Baar, H. J. W.] Univ Groningen, Dept Ocean Ecosyst, Groningen, Netherlands</t>
  </si>
  <si>
    <t>Utrecht University; Royal Netherlands Institute for Sea Research (NIOZ); University of Groningen</t>
  </si>
  <si>
    <t>Klunder, MB (corresponding author), Royal Netherlands Inst Sea Res Royal NIOZ, POB 59, NL-1790 AB Den Burg, Netherlands.</t>
  </si>
  <si>
    <t>Maarten.klunder@nioz.nl</t>
  </si>
  <si>
    <t>Middag, Rob/D-6423-2013</t>
  </si>
  <si>
    <t>Middag, Rob/0000-0002-3326-530X</t>
  </si>
  <si>
    <t>NWO</t>
  </si>
  <si>
    <t>NWO(Netherlands Organization for Scientific Research (NWO))</t>
  </si>
  <si>
    <t>The authors are most grateful to the captain, officers and crew of FS POLARSTERN for their excellent support and commitment throughout the expedition ANT XXIV-3. This research was supported by NWO under project number XXXXX of the 2007-1008 International Polar Year Program. We would like to thank A. Bowie and two anonymous reviewers for their helpful and constructive comments. We also would like to thank Sven Ober from the Royal NIOZ and Gerd Rohardt from the Alfred Wegener Institute for providing the physical parameters. We commemorate our colleague Willem Polman who unfortunately did not return from ANT XXIV-3.</t>
  </si>
  <si>
    <t>25-26</t>
  </si>
  <si>
    <t>10.1016/j.dsr2.2010.10.042</t>
  </si>
  <si>
    <t>847WD</t>
  </si>
  <si>
    <t>WOS:000297002300012</t>
  </si>
  <si>
    <t>Croot, PL; Baars, O; Streu, P</t>
  </si>
  <si>
    <t>Croot, Peter L.; Baars, Oliver; Streu, Peter</t>
  </si>
  <si>
    <t>The distribution of dissolved zinc in the Atlantic sector of the Southern Ocean</t>
  </si>
  <si>
    <t>Southern Ocean; Zinc phytoplankton; Iron limitation</t>
  </si>
  <si>
    <t>ANTARCTIC CIRCUMPOLAR CURRENT; LIMITS PHYTOPLANKTON GROWTH; SILICIC-ACID; TRACE-METALS; WEDDELL SEA; DEEP-WATER; IRON-DEFICIENCY; ELEMENTAL COMPOSITION; COMMUNITY STRUCTURE; UPTAKE KINETICS</t>
  </si>
  <si>
    <t>The distribution of dissolved zinc (Zn) was investigated in the Atlantic sector of the Southern Ocean in the austral autumn of 2008 as part of the IPY GEOTRACES expedition ZERO &amp; DRAKE. Research focused on transects across the major frontal systems along the Zero Meridian and across the Drake Passage. There was a strong gradient in surface zinc concentrations observed across the Antarctic Polar Front along both transects and high zinc levels were found in surface waters throughout the Southern Ocean. Vertical profiles for dissolved Zinc showed the presence of local minima and maxima in the upper 200 m consistent with significant uptake by phytoplankton and release by zooplankton grazing, respectively. Highest deep water zinc concentrations were found in the centre of the Weddell Gyre associated with Central Intermediate Water (CIW), a water mass which is depleted in O-2, elevated in CO2 and is regionally a CFC minimum. Our data suggests that the remineralization of sinking particles is a key control on the distribution of Zn in the Southern Ocean. Disappearance ratios of zinc to phosphate (Zn:P) in the upper water column increased southwards along both transects and based on laboratory studies they suggest slower growth rates of phytoplankton due to iron or light limitation. Zinc and silicate were strongly correlated throughout the study region but the disappearance ratio (Zn:Si) was relatively uniform overall except for the region close to the ice edge on the Zero Meridian. (C) 2010 Elsevier Ltd. All rights reserved.</t>
  </si>
  <si>
    <t>[Croot, Peter L.; Baars, Oliver; Streu, Peter] IFM GEOMAR, Marine Biogeochem FB2, D-24105 Kiel, Germany</t>
  </si>
  <si>
    <t>Helmholtz Association; GEOMAR Helmholtz Center for Ocean Research Kiel</t>
  </si>
  <si>
    <t>Croot, PL (corresponding author), IFM GEOMAR, Marine Biogeochem FB2, Dusternbrooker Weg 20, D-24105 Kiel, Germany.</t>
  </si>
  <si>
    <t>pcroot@ifm-geomar.de</t>
  </si>
  <si>
    <t>Croot, Peter/C-8460-2009; Croot, Peter/U-5296-2019</t>
  </si>
  <si>
    <t>Croot, Peter/0000-0003-1396-0601; Baars, Oliver/0000-0002-4644-5086</t>
  </si>
  <si>
    <t>IFM-GEOMAR; DFG [SPP 1158, CR145/10-1]</t>
  </si>
  <si>
    <t>IFM-GEOMAR; DFG(German Research Foundation (DFG))</t>
  </si>
  <si>
    <t>We gratefully acknowledge the officers and crew of the P.S. Polarstern, whose help and cooperation made this work possible. Special thanks also to the chief scientist Prof. Eberhard Fahrbach (AWI) for making our participation possible. Shipboard work was only possible with the help of the NIOZ team led by Prof. Hein de Baar and superbly marshaled by Patrick Laan. Work in the IFM-GEOMAR lab container was supported by Maija Heller and Katrin Bluhm (IFM-GEOMAR). The comments of two anonymous reviewers and the editor, Hein de Baar, are greatly appreciated in improving this manuscript. This work is a contribution to IPY GEOTRACES and was financed by the DFG Antarctic Program (SPP 1158) via a grant to PC (CR145/10-1).</t>
  </si>
  <si>
    <t>10.1016/j.dsr2.2010.10.041</t>
  </si>
  <si>
    <t>WOS:000297002300014</t>
  </si>
  <si>
    <t>Baars, O; Croot, PL</t>
  </si>
  <si>
    <t>Baars, Oliver; Croot, Peter L.</t>
  </si>
  <si>
    <t>The speciation of dissolved zinc in the Atlantic sector of the Southern Ocean</t>
  </si>
  <si>
    <t>ANTARCTIC CIRCUMPOLAR CURRENT; MARINE-PHYTOPLANKTON; ORGANIC COMPLEXATION; ROSS SEA; PSEUDOPOLAROGRAPHIC DETERMINATION; STRIPPING VOLTAMMETRY; STABILITY-CONSTANTS; CHEMICAL SPECIATION; EMILIANIA-HUXLEYI; NARRAGANSETT BAY</t>
  </si>
  <si>
    <t>The speciation of dissolved zinc (Zn) was investigated by voltammetry in the Atlantic sector of the Southern Ocean along two transects across the major frontal systems: along the Zero Meridian and across the Drake Passage. In the Southern Ocean south of the APF we found detectable labile inorganic Zn throughout the surface waters in contrast to studies from lower latitudes. Using a combination of ASV titrations and pseudopolarography revealed the presence of significant concentration of electrochemically inert Zn ligands throughout the Southern Ocean. These ligands however were nearly always saturated due to the presence of excess concentrations of dissolved Zn that were associated with the high nutrient waters south of the Antarctic Polar Front (APF). Only in surface waters did the concentration of Zn complexing ligands exceed the dissolved Zn concentrations suggesting a biological source for these ligands. Our findings have clear implications for the biogeochemical cycling of Zn and for the interpretation of paleo records utilizing Zn in opal as a tracer of Zn speciation in the water column. (C) 2011 Elsevier Ltd. All rights reserved.</t>
  </si>
  <si>
    <t>[Baars, Oliver; Croot, Peter L.] IFM GEOMAR, Marine Biogeochem FB2, D-24105 Kiel, Germany</t>
  </si>
  <si>
    <t>Croot, Peter/U-5296-2019; Croot, Peter/C-8460-2009</t>
  </si>
  <si>
    <t>We gratefully acknowledge the officers and crew of the P.S. Polarstern whose help and cooperation made this work possible. Special thanks also to the chief scientist Prof Eberhard Fahrbach (AWI) for making our participation possible. Shipboard work was only possible with the help of the NIOZ team led by Prof. Hein de Baar and superbly marshaled by Patrick Laan. Work in the IFM-GEOMAR lab container was supported by Maija Heller and Katrin Bluhm (IFM-GEOMAR). Thanks also to Peter Streu (IFM-GEOMAR) for the laboratory analysis in Kiel. This work is a contribution to IPY GEOTRACES and was financed by the DFG Antarctic Program (SPP 1158) via a grant to PC (CR145/10-1).</t>
  </si>
  <si>
    <t>10.1016/j.dsr2.2011.02.003</t>
  </si>
  <si>
    <t>WOS:000297002300015</t>
  </si>
  <si>
    <t>Venchiarutti, C; van der Loeff, MR; Stimac, I</t>
  </si>
  <si>
    <t>Venchiarutti, Celia; van der Loeff, Michiel Rutgers; Stimac, Ingrid</t>
  </si>
  <si>
    <t>Scavenging of 231Pa and thorium isotopes based on dissolved and size-fractionated particulate distributions at Drake Passage (ANTXXIV-3)</t>
  </si>
  <si>
    <t>Thorium isotopes; Protactinium; Marine particles; Scavenging; Southern Ocean; Drake Passage</t>
  </si>
  <si>
    <t>ANTARCTIC POLAR FRONT; DEEP-WATER; PARTICLE COMPOSITION; PACIFIC-OCEAN; TRACE-METALS; NATURAL RADIONUCLIDES; PA-231/TH-230 RATIO; GLOBAL DISTRIBUTION; SURFACE SEDIMENTS; ATLANTIC SECTOR</t>
  </si>
  <si>
    <t>Drake Passage is a major route for many water masses in the strong Antarctic Circumpolar Current. During the ANTXXIV-3 expedition (in 2008), the vertical distributions of dissolved and size-fractionated particulate Pa-231 and thorium isotopes (Th-230, Th-232 and Th-234) were investigated in order to better define the scavenging regimes, and the effects of the oceanic circulation on the fate of particulate material and on the Pa-Th distributions in the water column. The reversible scavenging model applied to both Th-230 and Th-234, in the upper 1500 m depth, gives estimates of the particle dynamics (settling velocities S similar to 500-1300 m year(-1) adsorption and desorption rate constants of 0.1-0.4 and 1-6 year(-1), respectively). The particulate Th-234/Th-230 activity ratio decreases with increase in depth, which is in agreement with previous studies, but no relationship with particle size is found. Pa-231 and thorium isotope fractionation and particle-water partition coefficients were investigated as a function of particle size vs. depth and latitude, and appeared to vary horizontally following a North-South gradient. Both the radionuclides are mostly bound to the fine suspended particles. At Drake Passage, the Th-230(xs) distribution is controlled by the southward upwelling of deep water (clearly visible on the vertical section of total Th-230(xs), defined as dissolved + particulate concentrations) and reversible-scavenging processes (linear increase of Th-230(xs) with increasing depth) with north of the Southern ACC Front, higher settling velocities and less adsorption/desorption cycles than south of it. Distributions of dissolved and total Pa-231(xs) also reflect the influence of the north-south upwelling but this effect is limited to the upper depth (1500 m) of the water column. Below this depth, Pa-231(xs) vertical profiles exhibit contrasting concentrations with some highly dissolved activities in the deep water of the stations in the northern part of ACC and not to the south of ACC. These N-S differences in dissolved Pa-231(xs) are attributed to different origins, and the scavenging history of the deep Pacific waters flow across Drake Passage. In the north, radionuclides-rich deep water originates from the Central Pacific, while the deep water in the south is thought to be derived from the Southern Pacific, and the observed low radionuclides concentrations are attributed to high opal abundance in that region. In the southern part of the Drake Passage, highly dissolved and particulate activities of Th-230 and Th-232 confirmed the westward intrusion of Th-230-rich Weddell Sea Deep Water (WSDW) close to the Antarctic Peninsula. (C) 2010 Elsevier Ltd. All rights reserved.</t>
  </si>
  <si>
    <t>[Venchiarutti, Celia; van der Loeff, Michiel Rutgers; Stimac, Ingrid] Alfred Wegener Inst Polar &amp; Marine Res, D-27515 Bremerhaven, Germany</t>
  </si>
  <si>
    <t>Venchiarutti, C (corresponding author), Alfred Wegener Inst Polar &amp; Marine Res, POB 120161, D-27515 Bremerhaven, Germany.</t>
  </si>
  <si>
    <t>CVenchiarutti@gmail.com</t>
  </si>
  <si>
    <t>Rutgers van der Loeff, Michiel/0000-0003-1393-3742; Stimac, Ingrid/0000-0001-6053-2330</t>
  </si>
  <si>
    <t>DFG [T11173: RU 712/7-1]</t>
  </si>
  <si>
    <t>DFG(German Research Foundation (DFG))</t>
  </si>
  <si>
    <t>We thank the Captain and crew of F.S. Polarstern. We are grateful to the chief scientist Eberhard Fahrbach and Hein de Baar for giving us enough sampling time to collect these data. Special thanks to Prof. Pinghe Cai and Lars Gremlowski for their help in the deployment of the in-situ pumps. We are thankful to Steven van Heuven for compiling the entire expedition data into useful ODV files. We would like to thank Bob Anderson and Gideon Henderson for their helpful/thoughtful reviews. This work was funded by the DFG-Schwerpunktprogramm 1158 (T11173: RU 712/7-1).</t>
  </si>
  <si>
    <t>10.1016/j.dsr2.2010.10.040</t>
  </si>
  <si>
    <t>WOS:000297002300018</t>
  </si>
  <si>
    <t>Bayon, G; Birot, D; Ruffine, L; Caprais, JC; Ponzevera, E; Bollinger, C; Donval, JP; Charlou, JL; Voisset, M; Grimaud, S</t>
  </si>
  <si>
    <t>Bayon, G.; Birot, D.; Ruffine, L.; Caprais, J. -C.; Ponzevera, E.; Bollinger, C.; Donval, J-P; Charlou, J. -L; Voisset, M.; Grimaud, S.</t>
  </si>
  <si>
    <t>Evidence for intense REE scavenging at cold seeps from the Niger Delta margin</t>
  </si>
  <si>
    <t>EARTH AND PLANETARY SCIENCE LETTERS</t>
  </si>
  <si>
    <t>rare earth elements; neodymium isotopes; seawater; cold seeps; Fe-Mn oxyhydroxides; benthic fluxes</t>
  </si>
  <si>
    <t>RARE-EARTH-ELEMENTS; NORTH-ATLANTIC DEEP; ND ISOTOPIC COMPOSITION; EASTERN INDIAN-OCEAN; TM ADDITION; SOUTHERN-OCEAN; HYDROTHERMAL PLUME; NEODYMIUM ISOTOPES; RESIDENCE TIME; TRACE-ELEMENTS</t>
  </si>
  <si>
    <t>For many trace elements, continental margins are the location of intense exchange processes between sediment and seawater, which control their distribution in the water column, but have yet to be fully understood. In this study, we have investigated the impact of fluid seepage at cold seeps on the marine cycle of neodymium. We determined dissolved and total dissolvable (TD) concentrations for REE and well-established tracers of fluid seepage (CH4, TDFe, TDMn), and Nd isotopic compositions in seawater samples collected above cold seeps and a reference site (i.e. away from any fluid venting area) from the Niger Delta margin. We also analyzed cold seep authigenic phases and various core-top sediment fractions (pore water, detrital component, easily leachable phases, uncleaned foraminifera) recovered near the hydrocast stations. Methane, TDFe and TDMn concentrations clearly indicate active fluid venting at the studied seeps, with plumes rising up to about 100 m above the seafloor. Depth profiles show pronounced REE enrichments in the non-filtered samples (TD concentrations) within plumes, whereas filtered samples (dissolved concentrations) exhibit slight REE depletion in plumes relative to the overlying water column and display typical seawater REE patterns. These results suggest that the net flux of REE emitted into seawater at cold seeps is controlled by the presence of particulate phases, most probably Fe-Mn oxyhydroxides associated to resuspended sediments. At the reference site, however, our data reveal significant enrichment for dissolved REE in bottom waters, that clearly relates to diffusive benthic fluxes from surface sediments. Neodymium isotopic ratios measured in the water column range from epsilon(Nd) similar to-15.7 to -10.4. Evidence that the epsilon(Nd) values for Antarctic Intermediate waters (AAIW) differed from those reported for the same water mass at open ocean settings shows that sediment/water interactions take place in the Gulf of Guinea. At each site, however, the bottom water epsilon(Nd) signature generally differs from that for cold seep minerals, easily leachable sediment phases, and detrital fractions from local sediments, ruling out the possibility that seepage of methane-rich fluids and sediment dissolution act as a substantial source of dissolved Nd to seawater in the Gulf of Guinea. Taken together, our data hence suggest that co-precipitation of Fe-Mn oxyhydroxide phases in sub-surface sediments leads to quantitative scavenging of dissolved REE at cold seeps, preventing their emission into bottom waters. Most probably, it is likely that diffusion from suboxic surface sediments dominates the exchange processes affecting the marine Nd cycle at the Niger Delta margin. (C) 2011 Elsevier B.V. All rights reserved.</t>
  </si>
  <si>
    <t>[Bayon, G.; Birot, D.; Ruffine, L.; Ponzevera, E.; Donval, J-P; Charlou, J. -L; Voisset, M.] IFREMER, Dept Geosci Marines, F-29280 Plouzane, France; [Caprais, J. -C.] IFREMER, Dept Etud Ecosyst Profonds, F-29280 Plouzane, France; [Bollinger, C.] Univ Europeenne Bretagne, F-35000 Rennes, France; [Bollinger, C.] Univ Brest, IUEM, CNRS, UMS 3113, F-29280 Plouzane, France; [Grimaud, S.] TOTAL, CSTJF Av Larribau, F-64019 Pau, France</t>
  </si>
  <si>
    <t>Ifremer; Ifremer; Universite de Bretagne Occidentale; Universite de Bretagne Occidentale; Institut Universitaire Europeen de la Mer (IUEM); Centre National de la Recherche Scientifique (CNRS); CNRS - National Institute for Earth Sciences &amp; Astronomy (INSU); Total SA; Centre Scientifique et Technique Jean Feger (CSTJF)</t>
  </si>
  <si>
    <t>Bayon, G (corresponding author), IFREMER, Dept Geosci Marines, F-29280 Plouzane, France.</t>
  </si>
  <si>
    <t>gbayon@ifremer.fr</t>
  </si>
  <si>
    <t>Bayon, Germain/F-9754-2010</t>
  </si>
  <si>
    <t>Bayon, Germain/0000-0002-6791-4953; Ponzevera, Emmanuel/0000-0001-6481-7309</t>
  </si>
  <si>
    <t>IFREMER; TOTAL</t>
  </si>
  <si>
    <t>IFREMER; TOTAL(Total SA)</t>
  </si>
  <si>
    <t>We thank the Captains, the officers and crews of R/V Pourquoi Pas?, and members of the ERIG-3D scientific parties for their assistance at sea. We are very grateful to the three anonymous reviewers for their thoughtful and constructive comments, and thanks G.M. Henderson for editorial handling. This work was funded by IFREMER and TOTAL via the ERIG-3D project.</t>
  </si>
  <si>
    <t>0012-821X</t>
  </si>
  <si>
    <t>1385-013X</t>
  </si>
  <si>
    <t>EARTH PLANET SC LETT</t>
  </si>
  <si>
    <t>Earth Planet. Sci. Lett.</t>
  </si>
  <si>
    <t>3-4</t>
  </si>
  <si>
    <t>10.1016/j.epsl.2011.10.008</t>
  </si>
  <si>
    <t>880ID</t>
  </si>
  <si>
    <t>WOS:000299399900019</t>
  </si>
  <si>
    <t>Cerovecki, I; Talley, LD; Mazloff, MR</t>
  </si>
  <si>
    <t>Cerovecki, Ivana; Talley, Lynne D.; Mazloff, Matthew R.</t>
  </si>
  <si>
    <t>A Comparison of Southern Ocean Air-Sea Buoyancy Flux from an Ocean State Estimate with Five Other Products</t>
  </si>
  <si>
    <t>NCEP-NCAR REANALYSIS; SURFACE HEAT FLUXES; SATELLITE MEASUREMENTS; GAUGE OBSERVATIONS; DATA SETS; CIRCULATION; MODEL; PRECIPITATION; IMPACT; UNCERTAINTIES</t>
  </si>
  <si>
    <t>The authors have intercompared the following six surface buoyancy flux estimates, averaged over the years 2005-07: two reanalyses [the recent ECMWF reanalysis (ERA-Interim; hereafter ERA), and the National Centers for Environmental Prediction (NCEP)-NCAR reanalysis 1 (hereafter NCEP1)], two recent flux products developed as an improvement of NCEP1 [the flux product by Large and Yeager and the Southern Ocean State Estimate (SOSE)], and two ad hoc air sea flux estimates that are obtained by combining the NCEP1 or ERA net radiative fluxes with turbulent flux estimates using the Coupled Ocean Atmosphere Response Experiment (COARE) 3.0 bulk formulas with NCEP1 or ERA input variables. The accuracy of SOSE adjustments of NCEP1 atmospheric fields (which SOSE uses as an initial guess and a constraint) was assessed by verification that SOSE reduces the biases in the NCEP1 fluxes as diagnosed by the Working Group on Air-Sea Fluxes (Taylor), suggesting that oceanic observations may be a valuable constraint to improve atmospheric variables. Compared with NCEP1, both SOSE and Large and Yeager increase the net ocean heat loss in high latitudes, decrease ocean heat loss in the subtropical Indian Ocean, decrease net evaporation in the subtropics, and decrease net precipitation in polar latitudes. The large-scale pattern of SOSE and Large and Yeager turbulent heat flux adjustment is similar, but the magnitude of SOSE adjustments is significantly larger. Their radiative heat flux adjustments patterns differ. Turbulent heat fluxes determined by combining COARE bulk formulas with NCEP1 or ERA should not be combined with unmodified NCEP1 or ERA radiative fluxes as the net ocean heat gain poleward of 25 degrees S becomes unrealistically large. The other surface flux products (i.e., NCEP1, ERA, Large and Yeager, and SOSE) balance more closely. Overall, the statistical estimates of the differences between the various air-sea heat flux products tend lobe largest in regions with strong ocean mesoscale activity such as the Antarctic Circumpolar Current and the western boundary currents.</t>
  </si>
  <si>
    <t>[Cerovecki, Ivana; Talley, Lynne D.; Mazloff, Matthew R.] Univ Calif San Diego, Scripps Inst Oceanog, La Jolla, CA 92093 USA</t>
  </si>
  <si>
    <t>Cerovecki, I (corresponding author), Univ Calif San Diego, Scripps Inst Oceanog, La Jolla, CA 92093 USA.</t>
  </si>
  <si>
    <t>icerovecki@ucsd.edu</t>
  </si>
  <si>
    <t>Mazloff, Matthew/AAG-6463-2019</t>
  </si>
  <si>
    <t>Mazloff, Matthew/0000-0002-1650-5850; Talley, Lynne/0000-0003-1574-729X</t>
  </si>
  <si>
    <t>NSF [OCE-0327544, OCE-0850869, OPP-0961218, MCA06N007]; NASA [EOS/03-0602-0117]; National Science Foundation (NSF); Directorate For Geosciences; Office of Polar Programs (OPP) [0961218] Funding Source: National Science Foundation</t>
  </si>
  <si>
    <t>NSF(National Science Foundation (NSF)); NASA(National Aeronautics &amp; Space Administration (NASA)); National Science Foundation (NSF)(National Science Foundation (NSF)); Directorate For Geosciences; Office of Polar Programs (OPP)(National Science Foundation (NSF)NSF - Directorate for Geosciences (GEO))</t>
  </si>
  <si>
    <t>This work was supported by NSF Ocean Sciences Grants OCE-0327544, OCE-0850869 and OPP-0961218 to Scripps Institution of Oceanography. The work also benefited from support under NASA Grant EOS/03-0602-0117. Computational resources for SOSE were provided by NSF Teragrid resource Grant MCA06N007. NCEP Reanalysis data are provided by the NOAA/OAR/ ESRL PSD, Boulder, Colorado, from their web site at http://www.cdc.noaa.gov/. The ERA-Interim, GODAS, and LY09 (LY09 is listed as Coare2.0 Global air-sea flux dataset) data used in this study are from the Research Data Archive (RDA), which is maintained by the Computational and Information Systems Laboratory (CISL) at the National Center for Atmospheric Research (NCAR). NCAR is sponsored by the National Science Foundation (NSF). The original ERA-Interim data are available from the RDA (http://dss.ucar.edu) in dataset number ds627.0. The original LY09 data used here are available from the RDA (http://dss.ucar.edu) in dataset number ds260.2. The GODAS data are available from the RDA (http://dss.ucar.edu) in dataset number ds277.6. IC would like to thank Sarah Gille, Janet Sprintall, Steve Yeager, and especially Bill Large for motivating discussions as well as the three anonymous reviewers whose suggestions significantly improved this manuscript.</t>
  </si>
  <si>
    <t>10.1175/2011JCLI3858.1</t>
  </si>
  <si>
    <t>863XJ</t>
  </si>
  <si>
    <t>WOS:000298201300002</t>
  </si>
  <si>
    <t>Hezel, PJ; Alexander, B; Bitz, CM; Steig, EJ; Holmes, CD; Yang, X; Sciare, J</t>
  </si>
  <si>
    <t>Hezel, P. J.; Alexander, B.; Bitz, C. M.; Steig, E. J.; Holmes, C. D.; Yang, X.; Sciare, J.</t>
  </si>
  <si>
    <t>Modeled methanesulfonic acid (MSA) deposition in Antarctica and its relationship to sea ice</t>
  </si>
  <si>
    <t>DRONNING MAUD LAND; SULFUR CYCLE; DIMETHYL SULFIDE; EAST ANTARCTICA; METHANE SULFONATE; BOUNDARY-LAYER; SOUTHERN-OCEAN; GAS-EXCHANGE; GLOBAL-MODEL; INDIAN-OCEAN</t>
  </si>
  <si>
    <t>Methanesulfonic acid (MSA) has previously been measured in ice cores in Antarctica as a proxy for sea ice extent and Southern Hemisphere circulation. In a series of chemical transport model (GEOS-Chem) sensitivity experiments, we identify mechanisms that control the MSA concentrations recorded in ice cores. Sea ice is linked to MSA via dimethylsulfide (DMS), which is produced biologically in the surface ocean and known to be particularly concentrated in the sea ice zone. Given existing ocean surface DMS concentration data sets, the model does not demonstrate a strong relationship between sea ice and MSA deposition in Antarctica. The variability of DMS emissions associated with sea ice extent is small (11-30%) due to the small interannual variability of sea ice extent. Wind plays a role in the variability in DMS emissions, but its contribution relative to that of sea ice is strongly dependent on the assumed DMS concentrations in the sea ice zone. Atmospheric sulfur emitted as DMS from the sea ice undergoes net transport northward. Our model runs suggest that DMS emissions from the sea ice zone may account for 26-62% of MSA deposition at the Antarctic coast and 36-95% in inland Antarctica. Though our results are sensitive to model assumptions, it is clear that an improved understanding of both DMS concentrations and emissions from the sea ice zone are required to better assess the impact of sea ice variability on MSA deposition to Antarctica.</t>
  </si>
  <si>
    <t>[Hezel, P. J.; Alexander, B.; Bitz, C. M.] Univ Washington, Dept Atmospher Sci, Seattle, WA 98195 USA; [Steig, E. J.] Univ Washington, Dept Earth &amp; Space Sci, Seattle, WA 98195 USA; [Holmes, C. D.] Univ Calif Irvine, Dept Earth Syst Sci, Irvine, CA 92697 USA; [Sciare, J.] CNRS CEA UVSQ, LSCI, F-91191 Gif Sur Yvette, France; [Yang, X.] Univ Cambridge, Dept Chem, Ctr Atmospher Sci, NCAS Climate, Cambridge CB2 1EW, England</t>
  </si>
  <si>
    <t>University of Washington; University of Washington Seattle; University of Washington; University of Washington Seattle; University of California System; University of California Irvine; CEA; Universite Paris Saclay; UK Research &amp; Innovation (UKRI); Natural Environment Research Council (NERC); NERC National Centre for Atmospheric Science; University of Cambridge</t>
  </si>
  <si>
    <t>Hezel, PJ (corresponding author), Univ Washington, Dept Atmospher Sci, Box 351640, Seattle, WA 98195 USA.</t>
  </si>
  <si>
    <t>phezel@atmos.washington.edu</t>
  </si>
  <si>
    <t>Yang, Xin/AGB-3514-2022; Bitz, Cecilia M/S-8423-2016; sciare, jean/A-9529-2008; Alexander, Becky/N-7048-2013; Holmes, Christopher D/C-9956-2014; /G-9088-2015</t>
  </si>
  <si>
    <t>Yang, Xin/0000-0002-3838-9758; Alexander, Becky/0000-0001-9915-4621; Holmes, Christopher D/0000-0002-2727-0954; sciare, jean/0000-0002-9908-6718; Bitz, Cecilia/0000-0002-9477-7499; /0000-0002-8191-5549</t>
  </si>
  <si>
    <t>NSF [ANT-0739127]; French Polar Institute (IPEV); NERC [ncas10006] Funding Source: UKRI; Natural Environment Research Council [ncas10006, ncas10009] Funding Source: researchfish; Directorate For Geosciences; Office of Polar Programs (OPP) [0739127] Funding Source: National Science Foundation</t>
  </si>
  <si>
    <t>NSF(National Science Foundation (NSF)); French Polar Institute (IPEV);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</si>
  <si>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project was supported through NSF grant ANT-0739127. The authors would like to thank A. Lana and R. Simo for providing the gridded Simo and Dachs DMS data set, and N. Bertler for providing the data set of Antarctic snow and ice core MSA measurements. Measurements performed at Amsterdam Island were supported by the French Polar Institute (IPEV) within the AEROTRACE program. The authors would also like to thank S. Elliott and two anonymous reviewers for comments and suggestions that strengthened and improved the manuscript.</t>
  </si>
  <si>
    <t>D23214</t>
  </si>
  <si>
    <t>10.1029/2011JD016383</t>
  </si>
  <si>
    <t>864QQ</t>
  </si>
  <si>
    <t>WOS:000298255300008</t>
  </si>
  <si>
    <t>Pedro, JB; Heikkilä, UE; Klekociuk, A; Smith, AM; van Ommen, TD; Curran, MAJ</t>
  </si>
  <si>
    <t>Pedro, J. B.; Heikkilae, U. E.; Klekociuk, A.; Smith, A. M.; van Ommen, T. D.; Curran, M. A. J.</t>
  </si>
  <si>
    <t>Beryllium-10 transport to Antarctica: Results from seasonally resolved observations and modeling</t>
  </si>
  <si>
    <t>STRATOSPHERE-TROPOSPHERE EXCHANGE; LAW DOME; EAST ANTARCTICA; SOLAR-ACTIVITY; ICE CORE; ATMOSPHERIC DEPOSITION; TEMPERATURE INVERSION; MODULATION; CLIMATE; NITRATE</t>
  </si>
  <si>
    <t>Cosmogenic Be-10 measured in polar ice cores has important application in the reconstruction of past solar activity. However, the processes controlling its atmospheric transport and deposition to the ice sheets are not fully understood. Here we use the seasonal changes in Be-10 concentrations in a 10 year monthly resolved ice core record from the Law Dome site (East Antarctica) in conjunction with ECHAM5-HAM general circulation model (GCM) simulations of Be-10 and Be-7 deposition as tools to examine this problem. Maximum Be-10 concentrations are observed in the ice core during the austral late summer to early autumn (summer-autumn), while minimum concentrations are observed during the austral winter. The GCM simulations, corroborated by earlier observations of Be-10:Be-7 ratios in Antarctica from the Georg von Neumayer air sampling station, suggest that the Be-10 concentration maximum is linked to direct input of stratospheric Be-10 from the Antarctic stratosphere to the lower levels of the Antarctic troposphere during the austral summer-autumn. This result contrasts with the modeled transport of Be-10 to Greenland, where the seasonal maximum in stratospheric input is seen in the late winter to spring, synchronous with the timing of the seasonal maximum in midlatitude stratosphere to troposphere exchange. Our results suggest that a different combination of processes is responsible for the transport of Be-10 to the Antarctic and Greenland ice sheets.</t>
  </si>
  <si>
    <t>[Pedro, J. B.] Univ Tasmania, Inst Marine &amp; Antarct Studies, Hobart, Tas 7001, Australia; [Pedro, J. B.; van Ommen, T. D.; Curran, M. A. J.] Antarctic Climate &amp; Ecosyst Cooperat Res Ctr, Hobart, Tas 7001, Australia; [Heikkilae, U. E.; Smith, A. M.] Australian Nucl Sci &amp; Technol Org, Lucas Heights, NSW 2234, Australia; [Klekociuk, A.; van Ommen, T. D.; Curran, M. A. J.] Australian Antarctic Div, Kingston, Tas 7050, Australia</t>
  </si>
  <si>
    <t>University of Tasmania; Antarctic Climate &amp; Ecosystems Cooperative Research Centre (ACE CRC); Australian Nuclear Science &amp; Technology Organisation; Australian Antarctic Division</t>
  </si>
  <si>
    <t>Pedro, JB (corresponding author), Univ Tasmania, Inst Marine &amp; Antarct Studies, Hobart, Tas 7001, Australia.</t>
  </si>
  <si>
    <t>jbpedro@utas.edu.au</t>
  </si>
  <si>
    <t>Pedro, Joel/M-5632-2014; , Andrew/HLX-8550-2023; Pedro, Joel Benjamin/L-8918-2019; van Ommen, Tas/B-5020-2012; Klekociuk, Andrew/A-4498-2015</t>
  </si>
  <si>
    <t>Pedro, Joel/0000-0002-0728-2712; Pedro, Joel Benjamin/0000-0002-0728-2712; van Ommen, Tas/0000-0002-2463-1718; Klekociuk, Andrew/0000-0003-3335-0034; Smith, Andrew/0000-0002-9193-2617</t>
  </si>
  <si>
    <t>Australian Antarctic Division [AAS 2384, AAS 3064, AAS 1172]; Australian Government's Cooperative Research Centre through the Antarctic Ecosystems and Climate Cooperative Research Centre (ACE CRC); Australian Institute of Nuclear Science and Engineering (AINSE); Institute for Environmental Research at the Australian Nuclear Science and Technology Organisation (ANSTO); National Science Foundation [ATM-0527878]; AINSE</t>
  </si>
  <si>
    <t>Australian Antarctic Division; Australian Government's Cooperative Research Centre through the Antarctic Ecosystems and Climate Cooperative Research Centre (ACE CRC)(Australian GovernmentDepartment of Industry, Innovation and ScienceCooperative Research Centres (CRC) Programme); Australian Institute of Nuclear Science and Engineering (AINSE); Institute for Environmental Research at the Australian Nuclear Science and Technology Organisation (ANSTO); National Science Foundation(National Science Foundation (NSF)); AINSE</t>
  </si>
  <si>
    <t>The authors acknowledge support from the Australian Antarctic Division (Australian Antarctic Science Projects AAS 2384, AAS 3064, and AAS 1172), the Australian Government's Cooperative Research Centres Programme through the Antarctic Ecosystems and Climate Cooperative Research Centre (ACE CRC), the Australian Institute of Nuclear Science and Engineering (AINSE), and the Cosmogenic Climate Archives of the Southern Hemisphere (CcASH) project in the Institute for Environmental Research at the Australian Nuclear Science and Technology Organisation (ANSTO). The McMurdo neutron monitor record was obtained from the Bartol Research Institute neutron monitor program (supported by National Science Foundation grant ATM-0527878) from their Web site at http://neutronm.bartol.udel.edu/. The NCEP/NCAR reanalysis-1 data were provided by the Physical Sciences Division, Earth System Research Laboratory, NOAA, Boulder, Colorado, from their Web site at http://www.esrl.noaa.gov/psd/. We are grateful to the German Computer Center (DKRZ) for providing us with the computing time. We also thank Andreas Stohl for making the FLEXPART data available and for his suggestions, which contributed to the discussion. J.B.P. is supported by an AINSE postgraduate award. We are grateful to three anonymous reviewers whose comments strengthened the final manuscript.</t>
  </si>
  <si>
    <t>D23120</t>
  </si>
  <si>
    <t>10.1029/2011JD016530</t>
  </si>
  <si>
    <t>WOS:000298255300009</t>
  </si>
  <si>
    <t>Sedwick, PN; Marsay, CM; Sohst, BM; Aguilar-Islas, AM; Lohan, MC; Long, MC; Arrigo, KR; Dunbar, RB; Saito, MA; Smith, WO; DiTullio, GR</t>
  </si>
  <si>
    <t>Sedwick, P. N.; Marsay, C. M.; Sohst, B. M.; Aguilar-Islas, A. M.; Lohan, M. C.; Long, M. C.; Arrigo, K. R.; Dunbar, R. B.; Saito, M. A.; Smith, W. O.; DiTullio, G. R.</t>
  </si>
  <si>
    <t>Early season depletion of dissolved iron in the Ross Sea polynya: Implications for iron dynamics on the Antarctic continental shelf</t>
  </si>
  <si>
    <t>PHYTOPLANKTON COMMUNITY STRUCTURE; SOUTHERN-OCEAN; CIRCUMPOLAR CURRENT; GROWTH-RATES; WATERS; BLOOMS; ICE; CO2; AVAILABILITY; CIRCULATION</t>
  </si>
  <si>
    <t>The Ross Sea polynya is among the most productive regions in the Southern Ocean and may constitute a significant oceanic CO2 sink. Based on results from several field studies, this region has been considered seasonally iron limited, whereby a winter reserve of dissolved iron (dFe) is progressively depleted during the growing season to low concentrations (similar to 0.1 nM) that limit phytoplankton growth in the austral summer (December-February). Here we report new iron data for the Ross Sea polynya during austral summer 2005-2006 (27 December-22 January) and the following austral spring 2006 (16 November-3 December). The summer 2005-2006 data show generally low dFe concentrations in polynya surface waters (0.10 +/- 0.05 nM in upper 40 m, n = 175), consistent with previous observations. Surprisingly, our spring 2006 data reveal similar low surface dFe concentrations in the polynya (0.06 +/- 0.04 nM in upper 40 m, n = 69), in association with relatively high rates of primary production (similar to 170-260 mmol C m(-2) d(-1)). These results indicate that the winter reserve dFe may be consumed relatively early in the growing season, such that polynya surface waters can become iron limited as early as November; i.e., the seasonal depletion of dFe is not necessarily gradual. Satellite observations reveal significant biomass accumulation in the polynya during summer 2006-2007, implying significant sources of new dFe to surface waters during this period. Possible sources of this new dFe include episodic vertical exchange, lateral advection, aerosol input, and reductive dissolution of particulate iron.</t>
  </si>
  <si>
    <t>[Sedwick, P. N.; Sohst, B. M.] Old Dominion Univ, Dept Ocean Earth &amp; Atmospher Sci, Norfolk, VA 23529 USA; [Marsay, C. M.] Univ Southampton, Sch Ocean &amp; Earth Sci, Southampton SO14 3ZH, Hants, England; [Aguilar-Islas, A. M.] Univ Alaska Fairbanks, Sch Fisheries &amp; Ocean Sci, Fairbanks, AK 99775 USA; [Lohan, M. C.] Univ Plymouth, Sch Earth Ocean &amp; Environm Sci, Plymouth P14 8AA, Devon, England; [Long, M. C.; Arrigo, K. R.; Dunbar, R. B.] Stanford Univ, Dept Environm Earth Syst Sci, Stanford, CA 94305 USA; [Saito, M. A.] Woods Hole Oceanog Inst, Woods Hole, MA 02543 USA; [Smith, W. O.] Virginia Inst Marine Sci, Coll William &amp; Mary, Gloucester Point, VA 23062 USA; [DiTullio, G. R.] Coll Charleston, Grice Marine Lab, Charleston, SC 29412 USA</t>
  </si>
  <si>
    <t>Old Dominion University; University of Southampton; NERC National Oceanography Centre; University of Alaska System; University of Alaska Fairbanks; University of Plymouth; Stanford University; Woods Hole Oceanographic Institution; William &amp; Mary; Virginia Institute of Marine Science; College of Charleston</t>
  </si>
  <si>
    <t>Sedwick, PN (corresponding author), Old Dominion Univ, Dept Ocean Earth &amp; Atmospher Sci, 4600 Elkhorn Ave, Norfolk, VA 23529 USA.</t>
  </si>
  <si>
    <t>psedwick@odu.edu</t>
  </si>
  <si>
    <t>Long, Matthew C/H-4632-2016; Saito, Mak/ADT-4986-2022</t>
  </si>
  <si>
    <t>Marsay, Christopher/0000-0003-1244-0444; Sedwick, Peter/0000-0003-0663-8323; Arrigo, Kevin/0000-0002-7364-876X; Long, Matthew/0000-0003-1273-2957; Lohan, Maeve/0000-0002-5340-3108; Dunbar, Robert/0000-0002-9728-5609</t>
  </si>
  <si>
    <t>U.S. National Science Foundation [OPP-0338164, OPP-0338350, OPP-0440840, OPP-0338157, OPP-0338097]</t>
  </si>
  <si>
    <t>U.S. National Science Foundation(National Science Foundation (NSF))</t>
  </si>
  <si>
    <t>We thank the members of the CORSACS science team, the officers and crew of RVIB Nathaniel B. Palmer, and the field support personnel of the Raytheon Polar Services Company for their contributions to this research. We are grateful to Ken Bruland and Geoffrey Smith for providing the towfish underway sampling system; to Angela Milne and Juliette Tria for assistance with the shipboard sampling; and to Mike Dinninan for helpful discussions. We also thank three anonymous reviewers and the editors for their numerous comments and suggestions, which have greatly improved the paper. This research was supported by U.S. National Science Foundation awards OPP-0338164 to PNS, OPP-0338350 to RBD, OPP-0440840 to MAS, OPP-0338157 to WOS, and OPP-0338097 to GRD.</t>
  </si>
  <si>
    <t>C12019</t>
  </si>
  <si>
    <t>10.1029/2010JC006553</t>
  </si>
  <si>
    <t>864PU</t>
  </si>
  <si>
    <t>WOS:000298253000001</t>
  </si>
  <si>
    <t>Fahrbach, E; Hoppema, M; Rohardt, G; Boebel, O; Klatt, O; Wisotzki, A</t>
  </si>
  <si>
    <t>Fahrbach, E.; Hoppema, M.; Rohardt, G.; Boebel, O.; Klatt, O.; Wisotzki, A.</t>
  </si>
  <si>
    <t>Warming of deep and abyssal water masses along the Greenwich meridian on decadal time scales: The Weddell gyre as a heat buffer</t>
  </si>
  <si>
    <t>Southern Ocean; Weddell Sea; Water masses; Decadal variability; Polarstern</t>
  </si>
  <si>
    <t>ANTARCTIC BOTTOM WATER; SOUTHERN ANNULAR MODE; SCOTIA SEA; TEMPERATURE TRENDS; PROFILING FLOATS; NEUTRAL DENSITY; CLIMATE-CHANGE; OCEAN; CIRCULATION; VARIABILITY</t>
  </si>
  <si>
    <t>The Southern Ocean renders a significant contribution to the global overturning system through the formation of deep and bottom waters. The Weddell Sea is one of the most prominent regions in this respect. Data obtained between 1984 and 2008 from eight repeat hydrographic sections, moored instruments and profiling floats in the Weddell gyre on the Greenwich meridian - almost all of them collected with RV Polarstern - were used to identify variations in the Weddell system. Fluctuations in the water mass properties were detected in the Warm Deep Water, with a temperature maximum in the 1990s and a minimum in 2005, but also significant variations occurred in the Weddell Sea Deep and Bottom Waters, whereas the Warm Deep Water is dominated by decadal variations; the average temperature and salinity of the whole water column is subject to a positive trend over 24 years. The variations of the water mass properties are induced by variations of the inflow of Circumpolar Deep Water at the boundary. Due to asymmetric wind forcing at the northern and the southern limb of the gyre, variable in- and outflows occur at the open boundaries. Internal processes redistribute heat and salt in the gyre resulting in a long-term increase of the temperature and salinity in the whole water column. The transfer of heat to deeper layers assigns to the Weddell gyre the role of a buffer, with potential impact on the global climate. (C) 2011 Published by Elsevier Ltd.</t>
  </si>
  <si>
    <t>[Fahrbach, E.; Hoppema, M.; Rohardt, G.; Boebel, O.; Klatt, O.; Wisotzki, A.] Stiftung Alfred Wegener Inst Polar &amp; Meeresforsch, Fachbereich Klimawissensch, Sekt Messende Ozeanog, D-27515 Bremerhaven, Germany</t>
  </si>
  <si>
    <t>Fahrbach, E (corresponding author), Stiftung Alfred Wegener Inst Polar &amp; Meeresforsch, Fachbereich Klimawissensch, Sekt Messende Ozeanog, Postfach 120161, D-27515 Bremerhaven, Germany.</t>
  </si>
  <si>
    <t>Eberhard.Fahrbach@awi.de</t>
  </si>
  <si>
    <t>Hoppema, Mario/I-6286-2013</t>
  </si>
  <si>
    <t>Hoppema, Mario/0000-0002-2326-619X</t>
  </si>
  <si>
    <t>Helmholtz-Gemeinschaft Deutscher Forschungszentren</t>
  </si>
  <si>
    <t>Helmholtz-Gemeinschaft Deutscher Forschungszentren(Helmholtz Association)</t>
  </si>
  <si>
    <t>This work is based on seven cruises of FS Polarstern. We are grateful to the masters and crews for their ongoing and most dedicated support. We are not able to cite all those by name who contributed by their continuous efforts on land to keep Polarstern in operation. We want to thank the reviewers who provided us a great deal of very helpful suggestions. In particular they pushed us towards using neutral density surfaces as water mass boundaries, which increased clearly the visibility of some of the patterns we discuss. We are grateful to the Helmholtz-Gemeinschaft Deutscher Forschungszentren for supporting this research during the MARCOPOLI and PACES programs and to the Bundesministerium fur Bildung und Forschung and its predecessors during the WOCE and the CLIVAR projects for maintaining by providing ongoing support the long time series in the Weddell gyre.</t>
  </si>
  <si>
    <t>10.1016/j.dsr2.2011.06.007</t>
  </si>
  <si>
    <t>WOS:000297002300002</t>
  </si>
  <si>
    <t>Barré, N; Provost, C; Renault, A; Sennéchael, N</t>
  </si>
  <si>
    <t>Barre, Nicolas; Provost, Christine; Renault, Alice; Sennechael, Nathalie</t>
  </si>
  <si>
    <t>Fronts, meanders and eddies in Drake Passage during the ANT-XXIII/3 cruise in January-February 2006: A satellite perspective</t>
  </si>
  <si>
    <t>Drake Passage; ACC (Antarctic Circumpolar Current); Fronts; Eddies; Trends; Altimetry</t>
  </si>
  <si>
    <t>ANTARCTIC CIRCUMPOLAR CURRENT; SEA-SURFACE TEMPERATURE; SHORT-TERM VARIATIONS; SOUTHERN-OCEAN; CYCLONIC RING; POLAR FRONT; WORLD OCEAN; VARIABILITY; ALTIMETRY; TRANSPORT</t>
  </si>
  <si>
    <t>We used satellite altimetric data to provide a context for the results of the ANT-XXIII/3 cruise in January-February 2006 both in time (16 years) and space (the whole of Drake Passage). The repeat of the hydrographical section within 3 weeks permitted different comparisons between the in-situ datasets and the satellite data products. Comparisons suggested that the multi-satellite product improved the temporal resolution on a Jason-1 track. A detailed analysis of the four absolute dynamic topography maps contemporaneous with the ANT-XXIII/3 cruise permitted identification of the location of the frontal branches of the Antarctic Circumpolar Current, of the major meanders and eddies. This spatial context proved particularly valuable for the interpretation of the in-situ data (see companion papers of Provost et al., 2011; Renault et al., 2011; Sudre et al., 2011). The altimetric time-series documented the long-term trends in sea-surface height, the recurrence of major frontal meanders and eddies and the statistical links between them. Negative trends in the Yaghan Basin indicated that both the Subantarctic Front and the Polar Front have shifted to the north of their climatological location. This northward shift in the Yaghan Basin contrasts with the large-scale southward shift in the Polar Front current core described in the literature, and is probably related to the local bottom topography in Drake Passage. Sea-level anomaly patterns observed during the cruise were related to statistical modes of the corresponding variations in Drake Passage. For example, the southward meander of the Subantarctic Front at the entrance to Drake Passage was part of a dipole comprising an adjacent Polar Front meander and occurred with a close to annual periodicity. A census of eddies in the Ona Basin revealed that the spatial distribution of anticyclonic eddies was consistent with generation from a meander of the Polar and Southern ACC Fronts over the Ona Seafloor Depression, while cyclonic eddies mostly originated from meanders of southern fronts associated with two rises on the continental slope: the Ona Rise and the Terror Rise. (C) 2011 Elsevier Ltd. All rights reserved.</t>
  </si>
  <si>
    <t>[Barre, Nicolas; Provost, Christine; Renault, Alice; Sennechael, Nathalie] Univ Paris 06, CNRS, UMR 7159, LOCEAN,IRD,MNHN, F-75252 Paris 05, France</t>
  </si>
  <si>
    <t>Institut de Recherche pour le Developpement (IRD); Museum National d'Histoire Naturelle (MNHN); Sorbonne Universite; Centre National de la Recherche Scientifique (CNRS); CNRS - National Institute for Earth Sciences &amp; Astronomy (INSU)</t>
  </si>
  <si>
    <t>Barré, N (corresponding author), Univ Paris 06, CNRS, UMR 7159, LOCEAN,IRD,MNHN, Boite 100,4 Pl Jussieu, F-75252 Paris 05, France.</t>
  </si>
  <si>
    <t>nicolas.barre@locean-ipsl.upmc.fr</t>
  </si>
  <si>
    <t>Provost, Christine/0000-0003-4693-3685</t>
  </si>
  <si>
    <t>10.1016/j.dsr2.2011.01.003</t>
  </si>
  <si>
    <t>WOS:000297002300004</t>
  </si>
  <si>
    <t>Provost, C; Renault, A; Barré, N; Sennéchael, N; Garçon, V; Sudre, J; Huhn, O</t>
  </si>
  <si>
    <t>Provost, C.; Renault, A.; Barre, N.; Sennechael, N.; Garcon, V.; Sudre, J.; Huhn, O.</t>
  </si>
  <si>
    <t>Two repeat crossings of Drake Passage in austral summer 2006: Short-term variations and evidence for considerable ventilation of intermediate and deep waters</t>
  </si>
  <si>
    <t>Drake Passage; Short-term differences; Water properties; Ventilation; Spatial heterogeneity; Mixing</t>
  </si>
  <si>
    <t>SOUTHERN-OCEAN; SCOTIA SEA; VARIABILITY; FRONTS; MASSES</t>
  </si>
  <si>
    <t>A high-resolution, full-depth, hydrographic section across Drake Passage with tracers and horizontal velocity measurements was repeated within three weeks in austral summer 2006. In-situ data (temperature, salinity, dissolved-oxygen and horizontal current velocities) are used to determine the location of the fronts and eddies of the Antarctic Circumpolar Current (ACC) inferred by Barre et al. (2011) from 7-day composite dynamic topography maps along the transect. Frontal displacements are about 40 km (2 stations) along the section. Considerable differences in properties between the two sections are observed throughout the whole water column with values as high as 0.2 degrees C in temperature, 0.01 in salinity, 0.03 kg m(-3) in neutral density and 10 mu mol kg(-1) in dissolved-oxygen concentration found below a depth of 3000 m. Only part of the differences is attributable to frontal or eddy displacements along the section. The other part results from the spatial heterogeneity of water properties upstream the section and the funnelling of the flow due to the topographic constraints of the Shackleton Fracture Zone (SFZ). The considerable short-term differences in water properties in rather large-scale structures that cannot be accounted for by frontal motions along the section call for caution when interpreting differences in hydrographical properties obtained by oceanographic cruises that are years apart in terms of climatic signals. The two sections show efficient ventilation of Antarctic Intermediate Water (AAIW) by Winter Water (WW) in the Yaghan Basin, with an estimated eddy-enhanced subduction rate of over 170 m year(-1). The SFZ constitutes a barrier, causing the two Southern ACC Fronts (SACCF) branches to separate by about 400 km and creating sheltered conditions in partial isolation from the ACC, while promoting an active recirculation region in the Ona Basin. This active recirculation, marked by cyclonic eddies carrying cold, fresh and oxygenated water from south of the Southern Boundary of the ACC, causes effective ventilation of the whole Circumpolar Deep Water (COW) density range. The differences in small-scale structures between the two sections deserve further analyses. (C) 2011 Elsevier Ltd. All rights reserved.</t>
  </si>
  <si>
    <t>[Provost, C.; Renault, A.; Barre, N.; Sennechael, N.] Univ Paris 06, CNRS, UMR 7159, LOCEAN,IRD,MNHN, F-75252 Paris 05, France; [Garcon, V.; Sudre, J.] CNRS, UMR 5566, LEGOS, F-31401 Toulouse 9, France; [Huhn, O.] Univ Bremen, IUP Oceanog, D-28359 Bremen, Germany</t>
  </si>
  <si>
    <t>Museum National d'Histoire Naturelle (MNHN); Institut de Recherche pour le Developpement (IRD); Centre National de la Recherche Scientifique (CNRS); CNRS - National Institute for Earth Sciences &amp; Astronomy (INSU); Sorbonne Universite;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University of Bremen</t>
  </si>
  <si>
    <t>Provost, C (corresponding author), Univ Paris 06, CNRS, UMR 7159, LOCEAN,IRD,MNHN, Boite 100,4 Pl Jussieu, F-75252 Paris 05, France.</t>
  </si>
  <si>
    <t>Christine.Provost@locean-ipsl.upmc.fr</t>
  </si>
  <si>
    <t>Sudre, Joël/G-9220-2018</t>
  </si>
  <si>
    <t>Sudre, Joël/0000-0001-8876-5179; Huhn, Oliver/0000-0003-3626-9135; Provost, Christine/0000-0003-4693-3685</t>
  </si>
  <si>
    <t>Cnes; CNES through the OST-ST; CNRS through the LEFE/IDAO</t>
  </si>
  <si>
    <t>Cnes(Centre National D'etudes Spatiales); CNES through the OST-ST; CNRS through the LEFE/IDAO</t>
  </si>
  <si>
    <t>We are grateful to the captain, Uwe Pahl, and the crew of R.V. Polarstern for their help and for creating excellent work conditions during the 2006 DRAKE cruise, and to Eberhard Fahrbach (AWI) for making this cruise possible. We would also like to thank Nicolas Martin (LOCEAN) and Claudie Bournot (DT-INSU) for their work on board. We thank the Ocean Biology Processing Group at the NASA/Goddard Space Flight Center for the production and the distribution of the MODIS ocean color data (http://oceancolor.gsfc.nasa.gov/). The altimeter products were produced by Ssalto/Duacs and distributed by Aviso, with support from Cnes (http://www.aviso.oceanobs.com/duacs/). Ray C. Griffiths contributed valuable comments to the article. We are indebted to the two anonymous reviewers for their advices. Financial support was provided both by CNES through the OST-ST Research Opportunity Announcement and by CNRS through the LEFE/IDAO program.</t>
  </si>
  <si>
    <t>10.1016/j.dsr2.2011.06.009</t>
  </si>
  <si>
    <t>WOS:000297002300005</t>
  </si>
  <si>
    <t>Renault, A; Provost, C; Sennéchael, N; Barré, N; Kartavtseff, A</t>
  </si>
  <si>
    <t>Renault, Alice; Provost, Christine; Sennechael, Nathalie; Barre, Nicolas; Kartavtseff, Annie</t>
  </si>
  <si>
    <t>Two full-depth velocity sections in the Drake Passage in 2006-Transport estimates</t>
  </si>
  <si>
    <t>LADCP; Transport; Drake Passage; ACC; Fronts</t>
  </si>
  <si>
    <t>ANTARCTIC-CIRCUMPOLAR-CURRENT; SHORT-TERM VARIATIONS; VARIABILITY; TRANSPORT; FRONTS; EDDIES; TEMPERATURE; FLOW</t>
  </si>
  <si>
    <t>In January/February 2006, a hydrographic section under Jason track 104 across Drake Passage (DP) was performed twice within 3 weeks, on board of the R/V Polarstern. Two LADCPs mounted on the CTD rosette provided the most comprehensive synoptic top-to-bottom observations of directly measured velocity available in the Drake Passage to date, with an estimated error of less than 3 cm s(-1). Geostrophic velocities computed from the hydrographic data were referenced to LADCP velocities. The velocity structure of the Antarctic Circumpolar Current (ACC) along the track and its evolution within 3 weeks reflect the frontal branches presented by Barre et al. (2011) and Provost et al. (2011). The repeated section offers two independent transport estimates, computed from the LADCP velocities (145 +/- 8.8 and 137.9 +/- 10.5 Sv, respectively) and from the adjusted geostrophic velocities (136.6 +/- 7 and 129 +/- 7 Sv, respectively). Error bars of the transport estimates are small. Contributions of the fronts and eddies to the total transport are modified within 3 weeks but tend to compensate each other. The total transport is reduced by about 10% (15-17 Sv) between the southward and northward journey. Total transport estimations are compared to previous results, in particular the ISOS (International Southern Ocean Study) data, from which the canonical value of 134 Sv has been estimated. Within the uncertainties due to uneven data distribution, no trend is discernible neither in the baroclinic nor total transports from 1975 to 2006. (C) 2011 Elsevier Ltd. All rights reserved.</t>
  </si>
  <si>
    <t>[Renault, Alice; Provost, Christine; Sennechael, Nathalie; Barre, Nicolas; Kartavtseff, Annie] LOCEAN, F-75252 Paris 05, France</t>
  </si>
  <si>
    <t>Sorbonne Universite; Museum National d'Histoire Naturelle (MNHN)</t>
  </si>
  <si>
    <t>Renault, A (corresponding author), LOCEAN, T 45-55 5E Etage,4 Pl Jussieu, F-75252 Paris 05, France.</t>
  </si>
  <si>
    <t>alice.renault@locean-ipsl.upmc.fr</t>
  </si>
  <si>
    <t>CNES through the OST-ST; CNRS through the LEFE/IDAO</t>
  </si>
  <si>
    <t>We are grateful to the captain, Uwe Pahl, and the crew of RV Polarstern for their help and for creating excellent work conditions during the 2006 DRAKE cruise, and to Eberhard Fahrbach (AWI) for making this cruise possible. We would like also to thank Nicolas Martin (LOCEAN) and Claudie Bournot (DT-INSU), for their work on board. We are indebted to Martin Visbeck, Gerd Krahmann (IFM-GEOMAR), Andreas Thurnherr (LDEO), Eric Firing (SOEST) and Brian King (NOCS) for their advices and support regarding LADCP issues. Ray C. Griffiths contributed valuable comments on the manuscript. Financial support was provided both by CNES through the OST-ST Research Opportunity Announcement and by CNRS through the LEFE/IDAO program.</t>
  </si>
  <si>
    <t>10.1016/j.dsr2.2011.01.004</t>
  </si>
  <si>
    <t>WOS:000297002300006</t>
  </si>
  <si>
    <t>Sudre, J; Garçon, V; Provost, C; Sennéchael, N; Huhn, O; Lacombe, M</t>
  </si>
  <si>
    <t>Sudre, J.; Garcon, V.; Provost, C.; Sennechael, N.; Huhn, O.; Lacombe, M.</t>
  </si>
  <si>
    <t>Short-term variations of deep water masses in Drake Passage revealed by a multiparametric analysis of the ANT-XXIII/3 bottle data</t>
  </si>
  <si>
    <t>Multiparametric analysis; Water masses; Southeast Pacific Deep Water; Southeast Pacific Deep Slope Water; Weddell Sea Deep Water; Drake Passage</t>
  </si>
  <si>
    <t>ANTARCTIC CIRCUMPOLAR CURRENT; SOUTHERN-OCEAN; SCOTIA SEA; VARIABILITY; CIRCULATION; STRATIFICATION; INTERMEDIATE; TRANSPORT; FRONTS</t>
  </si>
  <si>
    <t>A multiparametric analysis is applied on the ANT-XXIII/3 bottle data to determine the spreading and mixing of water masses across Drake Passage during January-February 2006, focusing our interest on the flow of the deep water masses. Mixing proportions are quantified along both the southward and northward journeys between the tip of South America and the Antarctic Peninsula. The method is sensitive enough to detect a marked variability in the flow pathways of the Circumpolar Deep Water, the Southeast Pacific Deep Water (SPDW) and the Weddell Sea Deep Water at the intersection of the Shackleton Fracture Zone (SFZ) and the West Scotia Ridge (WSR) between the southward and northward journeys. Indeed the presence of a sharp meander of the southern branch of the Polar Front (PFs) together with the displacement of the northern branch of the Southern Antarctic Circumpolar Current Front (SACCF(N)) above the complex bathymetric structure of the WSR induced a strong perturbation in the deep flow field during the southward journey. The height of the SFZ crests clearly sets the lower limit of the SPDW in the Ona Basin. An enhanced delta He-3 signature is confined to the north of the Polar Front between 55.5 degrees S and 56.5 degrees S in the 1500-2200 m depth range. It clearly indicates the signature of the core of the Southeast Pacific Deep Slope Water. The entry pathway in the ACC of the SPDSW during ANT-XXIII/3 was farther to the south off the continental slope of South America than it was during the WOCE A21 expedition in 1990, probably due to the sharp changes in the slope orientation at the extreme tip of the South America. (C) 2011 Elsevier Ltd. All rights reserved.</t>
  </si>
  <si>
    <t>[Sudre, J.; Garcon, V.; Lacombe, M.] CNRS, LEGOS, F-31401 Toulouse 9, France; [Provost, C.; Sennechael, N.] LOCEAN, F-75252 Paris 05, France; [Huhn, O.] Univ Bremen, IUP Oceanog, D-28359 Bremen, Germany</t>
  </si>
  <si>
    <t>Universite de Toulouse; Universite Toulouse III - Paul Sabatier; Centre National de la Recherche Scientifique (CNRS); Institut de Recherche pour le Developpement (IRD); Laboratoire d'Etudes en Geophysique et oceanographie spatiales; Sorbonne Universite; Museum National d'Histoire Naturelle (MNHN); University of Bremen</t>
  </si>
  <si>
    <t>Sudre, J (corresponding author), CNRS, LEGOS, 18 Av E Belin, F-31401 Toulouse 9, France.</t>
  </si>
  <si>
    <t>joel.sudre@legos.obs-mip.fr; veronique.garcon@legos.obs-mip.fr; christine.provost@locean-ipsl.upmc.fr; nathalie.sennechael@locean-ipsl.upmc.fr; ohuhn@physik.uni-bremen.de; marielle.lacombe@obs-mip.fr</t>
  </si>
  <si>
    <t>We would like to warmly thank the crew of FS Polarstern from AWI, Germany, who allowed achieving remarkable work conditions throughout ANT-XXIII/3. We would like to thank the ARAGO laboratory for lending us the Skalar system during the cruise. We thank Alice Renault for a very careful and constructive reading of the manuscript. We would also thank Louise Oriol for collecting and measuring nutrient concentrations for ANT-XXIII/3. Financial support was provided both byCNES through the OST-ST Research Opportunity Announcement and by CNRS through the LEFE/IDAO program.</t>
  </si>
  <si>
    <t>10.1016/j.dsr2.2011.01.005</t>
  </si>
  <si>
    <t>WOS:000297002300007</t>
  </si>
  <si>
    <t>Bluhm, K; Croot, PL; Huhn, O; Rohardt, G; Lochte, K</t>
  </si>
  <si>
    <t>Bluhm, K.; Croot, P. L.; Huhn, O.; Rohardt, G.; Lochte, K.</t>
  </si>
  <si>
    <t>Distribution of iodide and iodate in the Atlantic sector of the southern ocean during austral summer</t>
  </si>
  <si>
    <t>Iodide; Iodate; Iodine cycling; Southern Ocean; Weddell Sea; Tracer</t>
  </si>
  <si>
    <t>WEDDELL SEA; CARBON-DIOXIDE; REDOX REACTIONS; SURFACE WATERS; BOTTOM-WATER; DEEP-WATER; ICE-EDGE; MARINE; IRON; SEAWATER</t>
  </si>
  <si>
    <t>The biogeochemistry of iodine in the waters of the Atlantic sector of the Southern Ocean was investigated during the Polarstern cruise ANTXXIV-3 ZERO&amp;DRAKE. The speciation and distribution of iodine (iodate and iodide) in seawater was examined across gradients of iron concentrations and phytoplankton abundance, ranging from an open ocean region along the Zero Meridian to the Weddell Sea and Drake Passage. Iodine cycling in high latitudes differs from that in low latitudes due to differences in the plankton community composition and the physicochemical characteristics. Iodate concentrations ranged between 400 and 450 nmol L-1 from the surface to the bottom. Surface concentrations of iodide (17 to over 60 nmol L-1) were about an order of magnitude higher than below the pycnocline. The peak values of iodide lay nearly always within the euphotic zone and showed a weak, positive correlation with nitrite concentrations in the upper 200 m. In all vertical profiles a pronounced sub-surface maximum in iodide appears between 50 and 200 m depth indicating an iodide drawdown at the near surface. Iodide distribution in the Weddell Sea showed elevated levels in Weddell Sea Bottom Water (WSBW) indicating slow oxidation kinetics and the potential for iodide as a tracer of WSBW formation. (C) 2011 Elsevier Ltd. All rights reserved.</t>
  </si>
  <si>
    <t>[Bluhm, K.; Croot, P. L.] IFM GEOMAR, Leibniz Inst Meereswissensch, Dusternbrooker Weg 20, D-24105 Kiel, Germany; [Huhn, O.] Inst Umweltphys IUP, D-28359 Bremen, Germany; [Rohardt, G.; Lochte, K.] Alfred Wegener Inst, D-27570 Bremerhaven, Germany</t>
  </si>
  <si>
    <t>Helmholtz Association; GEOMAR Helmholtz Center for Ocean Research Kiel; University of Bremen; Helmholtz Association; Alfred Wegener Institute, Helmholtz Centre for Polar &amp; Marine Research</t>
  </si>
  <si>
    <t>Bluhm, K (corresponding author), IFM GEOMAR, Leibniz Inst Meereswissensch, Dusternbrooker Weg 20, D-24105 Kiel, Germany.</t>
  </si>
  <si>
    <t>kbluhm@ifm-geomar.de</t>
  </si>
  <si>
    <t>Croot, Peter/0000-0003-1396-0601; Huhn, Oliver/0000-0003-3626-9135</t>
  </si>
  <si>
    <t>German research foundation (DFG) [SPP1158, CR145/10-1, CR145/16-1]; AWI</t>
  </si>
  <si>
    <t>German research foundation (DFG)(German Research Foundation (DFG)); AWI</t>
  </si>
  <si>
    <t>This work was performed as part of the German GEOTRACES contribution to IPY. The work performed here was supported by the German research foundation (DFG) Antarctic Program (SPP1158) Grants CR145/10-1 (PC) and CR145/16-1 (PC). Special thanks go to the Chief Scientist Eberhard Fahrbach (AWI) for his support and encouragement, to Jan van Ooijen (NIOZ) for his tireless efforts in supplying nutrient data, to Steven van Heuven for his Ocean Data View (ODV) skills. The work of the NIOZ and AWI-CTD teams was greatly appreciated. We also acknowledge the MODIS mission scientists and associated NASA personnel for the production of the data used in this research effort. A final big thank you goes to the crew and scientists from the Polarstern cruise ANTXXIV-3 who made all this work possible.</t>
  </si>
  <si>
    <t>10.1016/j.dsr2.2011.02.002</t>
  </si>
  <si>
    <t>WOS:000297002300016</t>
  </si>
  <si>
    <t>van der Loeff, MR; Cai, PHH; Stimac, I; Bracher, A; Middag, R; Klunder, MB; van Heuven, SMAC</t>
  </si>
  <si>
    <t>van der Loeff, Michiel Rutgers; Cai, Pinghe H.; Stimac, Ingrid; Bracher, Astrid; Middag, Rob; Klunder, Maarten B.; van Heuven, Steven M. A. C.</t>
  </si>
  <si>
    <t>234Th in surface waters: Distribution of particle export flux across the Antarctic Circumpolar Current and in the Weddell Sea during the GEOTRACES expedition ZERO and DRAKE</t>
  </si>
  <si>
    <t>Thorium isotopes; Trace elements; Carbon cycle; Algal blooms; Export production; GEOTRACES; Southern Ocean; Antarctic Circumpolar Current</t>
  </si>
  <si>
    <t>PARTICULATE ORGANIC-CARBON; NATURAL IRON FERTILIZATION; SMALL-VOLUME TECHNIQUE; SOUTHERN-OCEAN; ATLANTIC SECTOR; POLAR FRONT; SPRING BLOOM; TRACER; ZONE; DISEQUILIBRIUM</t>
  </si>
  <si>
    <t>As part of the GEOTRACES Polarstern expedition ANTXXIV/3 (ZERO and DRAKE) we have measured the vertical distribution of Th-234 on sections through the Antarctic Circumpolar Current along the zero meridian and in Drake Passage and on an EW section through the Weddell Sea. Steady state export fluxes of Th-234 from the upper 100 m, derived from the depletion of Th-234 with respect to its parent U-238, ranged from 621 +/- 105 to 1773 +/- 90 dpm m(-2) d(-1). This Th-234 flux was converted into an export flux of organic carbon ranging from 3.1 to 13.2 mmol C m(-2) d(-1) (2.1-9.0 mmol C m(-2) d(-1)) using POC/Th-234 ratio of bulk (respectively &gt; 50 mu m) suspended particles at the export depth (100 m). Non-steady state fluxes assuming zero flux under ice cover were up to 23% higher. In addition, particulate and dissolved Th-234 were measured underway in high resolution in the surface water with a semi-automated procedure. Particulate Th-234 in surface waters is inversely correlated with light transmission and pCO(2) and positively with fluorescence and optical backscatter and is interpreted as a proxy for algal biomass. High resolution underway mapping of particulate and dissolved Th-234 in surface water shows clearly where trace elements are absorbed by plankton and where they are exported to depth. Quantitative determination of the export flux requires the full Th-234 profile since surface depletion and export flux become decoupled through changes in wind mixed layer depth and in contribution to export from subsurface layers. In a zone of very low algal abundance (54-58 degrees S at the zero meridian), confirmed by satellite Chl-a data, the lowest carbon export of the ACC was observed, allowing Fe and Mn to maintain their highest surface concentrations. An ice-edge bloom that had developed in December/January in the zone 60-65 degrees S as studied during the previous leg had caused a high export flux at 64.5 degrees S when we visited the area 2 months later (February/March). The ice-edge bloom had then shifted south to 65-69 degrees S evident from uptake of CO2 and dissolved Fe, Mn and Th-234, without causing export yet. In this way, the parallel analysis of Th-234 can help to explain the scavenging behavior of other trace elements. (C) 2011 Elsevier Ltd. All rights reserved.</t>
  </si>
  <si>
    <t>[van der Loeff, Michiel Rutgers; Cai, Pinghe H.; Stimac, Ingrid; Bracher, Astrid] Alfred Wegener Inst Polar &amp; Marine Res, D-27515 Bremerhaven, Germany; [Cai, Pinghe H.] Xiamen Univ, State Key Lab Marine Environm Sci, Xiamen 361005, Peoples R China; [Middag, Rob; Klunder, Maarten B.; van Heuven, Steven M. A. C.] Royal Netherlands Inst Sea Res, NL-1790 AB Den Burg, Netherlands</t>
  </si>
  <si>
    <t>Helmholtz Association; Alfred Wegener Institute, Helmholtz Centre for Polar &amp; Marine Research; Xiamen University; Utrecht University; Royal Netherlands Institute for Sea Research (NIOZ)</t>
  </si>
  <si>
    <t>van der Loeff, MR (corresponding author), Alfred Wegener Inst Polar &amp; Marine Res, POB 120161, D-27570 Bremerhaven, Germany.</t>
  </si>
  <si>
    <t>mloeff@awi.de</t>
  </si>
  <si>
    <t>Bracher, Astrid/B-7805-2013; Bracher, Astrid/I-2672-2013; Middag, Rob/D-6423-2013</t>
  </si>
  <si>
    <t>Bracher, Astrid/0000-0003-3025-5517; Rutgers van der Loeff, Michiel/0000-0003-1393-3742; Middag, Rob/0000-0002-3326-530X</t>
  </si>
  <si>
    <t>ESA; Humboldt foundation; AB the Helmholtz Initiative and Networking Fund</t>
  </si>
  <si>
    <t>ESA(European Space Agency); Humboldt foundation(Alexander von Humboldt Foundation); AB the Helmholtz Initiative and Networking Fund</t>
  </si>
  <si>
    <t>We are grateful to captain Schwarze and the crew of FS Polarstern for their support during the expedition. We thank Eberhard Fahrbach for the way in which he prepared and managed the expedition, Gerd Rohardt and Sven Ober for their help in collecting and providing the hydrographic data and the entire GEOTRACES team under guidance of Hein de Baar for excellent cooperation. We acknowledge thoughtful comments by Brad Moran and an anonymous reviewer. Remote sensing data of chlorophyll concentrations were supplied for SeaWiFS and MOMS by NASA and for MERIS by ESA and merged to one data product by the GlobColour project financed by ESA. Services and data delivery are highly acknowledged. PC thanks the Humboldt foundation and AB the Helmholtz Initiative and Networking Fund for their support.</t>
  </si>
  <si>
    <t>10.1016/j.dsr2.2011.02.004</t>
  </si>
  <si>
    <t>WOS:000297002300017</t>
  </si>
  <si>
    <t>Brey, T; Voigt, M; Jenkins, K; Ahn, IY</t>
  </si>
  <si>
    <t>Brey, Thomas; Voigt, Matthias; Jenkins, Kristen; Ahn, In-Young</t>
  </si>
  <si>
    <t>The bivalve Laternula elliptica at King George Island - A biological recorder of climate forcing in the West Antarctic Peninsula region</t>
  </si>
  <si>
    <t>JOURNAL OF MARINE SYSTEMS</t>
  </si>
  <si>
    <t>West Antarctic Peninsula; Climate change; Climate forcing; Bivalve growth; Metabolism</t>
  </si>
  <si>
    <t>FRESH-WATER; SEA-ICE; PHYTOPLANKTON BIOMASS; SEASONAL ENERGETICS; ARCTICA-ISLANDICA; POTTER COVE; GROWTH; TEMPERATURE; MORTALITY; ENSO</t>
  </si>
  <si>
    <t>The West Antarctic Peninsula (WAP) has experienced marked recent climate change. Air temperature increased by &lt;= 3 degrees C since the 1950s, glaciers are in retreat, and adjacent ocean sea ice cover has decreased. WAP also exhibits considerable inter-annual ocean atmosphere variability, governed by the Southern Hemisphere Annular Mode (SAM) and by the Antarctic Dipole (ADO, which is itself modulated by ENSO. Both climate trends and oscillations affect WAP ecosystems, but sound evidence for mechanistic coupling of distinct processes to climate change is scarce. We analyzed decadal variability in shell growth over the past 49 years for the bivalve Laternula elliptica at Maxwell Bay, King George Island. Distinct changes in shell growth pattern include a near doubling of specific growth rate, a 25% decrease in maximum size, and a shift in individual energy expenditure from production to respiration. ENSO forces shell growth through local air temperature that constitutes the major link between regional climate forcing and the direct marine drivers of L elliptica growth. The close coupling of shell growth to local and regional climate variability renders L elliptica a promising tool for tracking climate forcing of Antarctic coastal systems in general, as well as for the reconstruction of coastal ecosystem variability from fossil shells. (C) 2011 Elsevier B.V. All rights reserved.</t>
  </si>
  <si>
    <t>[Brey, Thomas] Alfred Wegener Inst Polar &amp; Marine Res, D-27515 Bremerhaven, Germany; [Voigt, Matthias] Univ Karlsruhe, Engler Bunte Inst, Dept Tech Biol, D-76131 Karlsruhe, Germany; [Jenkins, Kristen] Univ Chicago, Comm Evolutionary Biol, Chicago, IL 60615 USA; [Ahn, In-Young] Korea Polar Res Inst KOPRI, Inchon 406840, South Korea</t>
  </si>
  <si>
    <t>Helmholtz Association; Alfred Wegener Institute, Helmholtz Centre for Polar &amp; Marine Research; Helmholtz Association; Karlsruhe Institute of Technology; University of Chicago; Korea Polar Research Institute (KOPRI)</t>
  </si>
  <si>
    <t>Brey, T (corresponding author), Alfred Wegener Inst Polar &amp; Marine Res, POB 120161, D-27515 Bremerhaven, Germany.</t>
  </si>
  <si>
    <t>thomas.tbrey@awi.de</t>
  </si>
  <si>
    <t>Brey, Thomas/0000-0002-6345-2851</t>
  </si>
  <si>
    <t>European Research Council within the EUROPOLAR ERA-Net; German Academic Exchange Service (DAAD); Department of Geophysical Sciences at the University of Chicago</t>
  </si>
  <si>
    <t>European Research Council within the EUROPOLAR ERA-Net; German Academic Exchange Service (DAAD)(Deutscher Akademischer Austausch Dienst (DAAD)); Department of Geophysical Sciences at the University of Chicago</t>
  </si>
  <si>
    <t>This study is part of the IMCOAST project funded by the European Research Council within the EUROPOLAR ERA-Net. We thank M. Rauschert (Berlin) for making available the samples from Fildes Strait and Maxwell Bay, and A. Bick (Univ. Rostock) for the shells from Ardley Bay. Doris Abele (Awl). Eva Philipp (Univ. Kiel) and Harald Poigner (AWI) shared their shell samples from Potter Cove with us. K. Jenkins was supported by a grant of the German Academic Exchange Service (DAAD) and the Department of Geophysical Sciences at the University of Chicago in the completion of this work. We very much appreciate the efforts of Chris Todd and of several anonymous reviewers, whose comments and suggestions improved our manuscript substantially, and of Susan Kidwell, who brushed up the text even further.</t>
  </si>
  <si>
    <t>0924-7963</t>
  </si>
  <si>
    <t>1879-1573</t>
  </si>
  <si>
    <t>J MARINE SYST</t>
  </si>
  <si>
    <t>J. Mar. Syst.</t>
  </si>
  <si>
    <t>10.1016/j.jmarsys.2011.07.004</t>
  </si>
  <si>
    <t>Geosciences, Multidisciplinary; Marine &amp; Freshwater Biology; Oceanography</t>
  </si>
  <si>
    <t>Geology; Marine &amp; Freshwater Biology; Oceanography</t>
  </si>
  <si>
    <t>845KR</t>
  </si>
  <si>
    <t>WOS:000296822100005</t>
  </si>
  <si>
    <t>Asher, EC; Dacey, JWH; Mills, MM; Arrigo, KR; Tortell, PD</t>
  </si>
  <si>
    <t>Asher, Elizabeth C.; Dacey, John W. H.; Mills, Matthew M.; Arrigo, Kevin R.; Tortell, Philippe D.</t>
  </si>
  <si>
    <t>High concentrations and turnover rates of DMS, DMSP and DMSO in Antarctic sea ice</t>
  </si>
  <si>
    <t>DIMETHYL SULFIDE; ATMOSPHERIC SULFUR; SOUTHERN-OCEAN; DISSOLVED DMSO; ROSS SEA; DIMETHYLSULFOXIDE; DIMETHYLSULPHONIOPROPIONATE; TRANSFORMATION; PHYTOPLANKTON; REDUCTION</t>
  </si>
  <si>
    <t>The vast Antarctic sea-ice zone (SIZ) is a potentially significant source of the climate-active gas dimethylsulfide (DMS), yet few data are available on the concentrations and turnover rates of DMS and the related compounds dimethylsulfoniopropionate (DMSP) and dimethylsulfoxide (DMSO) in sea ice environments. Here we present new measurements characterizing the spatial variability of DMS, DMSP, and DMSO concentrations across the Antarctic SIZ, and results from tracer experiments quantifying the production rates of DMS from various sources. We observed extremely high concentrations (&gt;200 nM) and turnover rates (&gt;100 nM d(-1)) of DMS in sea-ice brines, indicating intense cycling of DMS/P/O. Our results demonstrate a previously unrecognized role for DMSO reduction as a major pathway of DMS production in Antarctic sea ice. Citation: Asher, E. C., J. W. H. Dacey, M. M. Mills, K. R. Arrigo, and P. D. Tortell (2011), High concentrations and turnover rates of DMS, DMSP and DMSO in Antarctic sea ice, Geophys. Res. Lett., 38, L23609, doi:10.1029/2011GL049712.</t>
  </si>
  <si>
    <t>[Asher, Elizabeth C.; Tortell, Philippe D.] Univ British Columbia, Dept Earth &amp; Ocean Sci, Vancouver, BC V6T 1Z3, Canada; [Mills, Matthew M.; Arrigo, Kevin R.] Stanford Univ, Dept Environm Earth Syst Sci, Stanford, CA 94305 USA; [Dacey, John W. H.] Woods Hole Oceanog Inst, Dept Biol, Woods Hole, MA 02543 USA</t>
  </si>
  <si>
    <t>University of British Columbia; Stanford University; Woods Hole Oceanographic Institution</t>
  </si>
  <si>
    <t>Asher, EC (corresponding author), Univ British Columbia, Dept Earth &amp; Ocean Sci, 2146 Hlth Sci Mall, Vancouver, BC V6T 1Z3, Canada.</t>
  </si>
  <si>
    <t>easher@eos.ubc.ca; jdacey@whoi.edu; mmills@stanford.edu; arrigo@stanford.edu; ptortell@eos.ubc.ca</t>
  </si>
  <si>
    <t>Arrigo, Kevin/0000-0002-7364-876X; Tortell, Philippe/0000-0003-0212-2151</t>
  </si>
  <si>
    <t>Woods Hole Oceanographic Institution's Ocean Life Institute; NSF [ANT-0838872]; Directorate For Geosciences; Office of Polar Programs (OPP) [0838872] Funding Source: National Science Foundation</t>
  </si>
  <si>
    <t>Woods Hole Oceanographic Institution's Ocean Life Institute; NSF(National Science Foundation (NSF)); Directorate For Geosciences; Office of Polar Programs (OPP)(National Science Foundation (NSF)NSF - Directorate for Geosciences (GEO))</t>
  </si>
  <si>
    <t>We would like to thank Zachary Brown for field assistance with ice core sampling and processing of chlorophyll measurements. We would also like to thank the Raytheon Polar Services Science support staff and the crew and scientific team of the Oden for logistical and field support. This work was supported in part by Woods Hole Oceanographic Institution's Ocean Life Institute and by NSF grant ANT-0838872 to KRA.</t>
  </si>
  <si>
    <t>DEC 14</t>
  </si>
  <si>
    <t>L23609</t>
  </si>
  <si>
    <t>10.1029/2011GL049712</t>
  </si>
  <si>
    <t>864SW</t>
  </si>
  <si>
    <t>WOS:000298261400004</t>
  </si>
  <si>
    <t>Domine, F; Gallet, JC; Barret, M; Houdier, S; Voisin, D; Douglas, TA; Blum, JD; Beine, HJ; Anastasio, C; Breón, FM</t>
  </si>
  <si>
    <t>Domine, Florent; Gallet, Jean-Charles; Barret, Manuel; Houdier, Stephan; Voisin, Didier; Douglas, Thomas A.; Blum, Joel D.; Beine, Harry J.; Anastasio, Cort; Breon, Francois-Marie</t>
  </si>
  <si>
    <t>The specific surface area and chemical composition of diamond dust near Barrow, Alaska</t>
  </si>
  <si>
    <t>BIOLOGICAL ICE NUCLEATORS; ARCTIC SEA-ICE; ANTARCTIC PLATEAU; AQUEOUS PHOTOOXIDATION; RADIATIVE-TRANSFER; AEROSOL PRODUCTION; OPTICAL-PROPERTIES; CRYSTAL-FORMATION; BOUNDARY-LAYER; PART 1</t>
  </si>
  <si>
    <t>Diamond dust (DD) refers to tiny ice crystals that form frequently in the Polar troposphere under clear sky conditions. They provide surfaces for chemical reactions and scatter light. We have measured the specific surface area (SSA) of DD at Barrow in March-April 2009. We have also measured its chemical composition in mineral and organic ions, dissolved organic carbon (DOC), aldehydes, H2O2, and the absorption spectra of water-soluble chromophores. Mercury concentrations were also measured in spring 2006, when conditions were similar. The SSA of DD ranges from 79.9 to 223 m(2) kg(-1). The calculated ice surface area in the atmosphere reaches 11000 (+/- 70%) mu m(2) cm(-3), much higher than the aerosol surface area. However, the impact of DD on the downwelling and upwelling light fluxes in the UV and visible is negligible. The composition of DD is markedly different from that of snow on the surface. Its concentrations in mineral ions are much lower, and its overall composition is acidic. Its concentrations in aldehydes, DOC, H2O2 and mercury are much higher than in surface snows. Our interpretation is that DOC from the oceanic surface microlayer, coming from open leads in the ice off of Barrow, is taken up by DD. Active chemistry in the atmosphere takes place on DD crystal surfaces, explaining its high concentrations in aldehydes and mercury. After deposition, active photochemistry modifies DD composition, as seen from the modifications in its absorption spectra and aldehyde and H2O2 content. This probably leads to the emissions of reactive species to the atmosphere.</t>
  </si>
  <si>
    <t>[Domine, Florent; Gallet, Jean-Charles; Barret, Manuel; Houdier, Stephan; Voisin, Didier] CNRS INSU, Lab Glaciol &amp; Geophys Environm, F-38402 St Martin Dheres, France; [Domine, Florent; Gallet, Jean-Charles; Barret, Manuel; Houdier, Stephan; Voisin, Didier] Univ Grenoble 1, Observ Sci Univ Grenoble, Grenoble, France; [Domine, Florent] Univ Laval, Takuvik Joint Int Lab, Quebec City, PQ G1V 0A6, Canada; [Domine, Florent] CNRS, F-75700 Paris, France; [Douglas, Thomas A.] USA, Cold Reg Res &amp; Engn Lab, Ft Wainwright, AK 99703 USA; [Blum, Joel D.] Univ Michigan, Dept Earth &amp; Environm Sci, Ann Arbor, MI 48109 USA; [Beine, Harry J.; Anastasio, Cort] Univ Calif Davis, Dept Land Air &amp; Water Resources, Davis, CA 95616 USA; [Breon, Francois-Marie] UMR CEA CNRS UVSQ, Lab Sci Climat &amp; Environm, F-91191 Gif Sur Yvette, France</t>
  </si>
  <si>
    <t>Centre National de la Recherche Scientifique (CNRS); CNRS - National Institute for Earth Sciences &amp; Astronomy (INSU); Communaute Universite Grenoble Alpes; Universite Grenoble Alpes (UGA); Laval University; Centre National de la Recherche Scientifique (CNRS); United States Department of Defense; United States Army; U.S. Army Corps of Engineers; U.S. Army Engineer Research &amp; Development Center (ERDC); Cold Regions Research &amp; Engineering Laboratory (CRREL); University of Michigan System; University of Michigan; University of California System; University of California Davis; Universite Paris Saclay; CEA; Centre National de la Recherche Scientifique (CNRS)</t>
  </si>
  <si>
    <t>Domine, F (corresponding author), CNRS INSU, Lab Glaciol &amp; Geophys Environm, BP 96, F-38402 St Martin Dheres, France.</t>
  </si>
  <si>
    <t>florent.domine@gmail.com</t>
  </si>
  <si>
    <t>voisin, didier/ABE-6110-2020; Breon, Francois-Marie A/M-4639-2016</t>
  </si>
  <si>
    <t>voisin, didier/0000-0003-1317-7561; Gallet, Jean-Charles/0000-0002-6153-1361</t>
  </si>
  <si>
    <t>French Polar Institute (IPEV) [1017]; U.S. National Science Foundation [NSF ATM-0807702]; Directorate For Geosciences [0807702] Funding Source: National Science Foundation; Div Atmospheric &amp; Geospace Sciences [0807702] Funding Source: National Science Foundation</t>
  </si>
  <si>
    <t>French Polar Institute (IPEV); U.S. National Science Foundation(National Science Foundation (NSF)); Directorate For Geosciences(National Science Foundation (NSF)NSF - Directorate for Geosciences (GEO)); Div Atmospheric &amp; Geospace Sciences(National Science Foundation (NSF)NSF - Directorate for Geosciences (GEO))</t>
  </si>
  <si>
    <t>This work is part of the international multi-disciplinary OASIS (Ocean-atmosphere-Sea Ice-Snowpack) program. It was supported by the French Polar Institute (IPEV) through grant 1017 to F. D., and by the U.S. National Science Foundation through grant NSF ATM-0807702. T. A. D. also acknowledges partial support from the U.S. National Science Foundation. The Barrow Arctic Science Consortium is acknowledged for providing logistical support in the Barrow area. We thank Lee Mauldin for calculating the back trajectories. Kelsey Johnson helped with the additional mercury concentration data from the samples collected in 2006. Ghislain Picard kindly calculated the downwelling fluxes with the SBDART model.</t>
  </si>
  <si>
    <t>D00R06</t>
  </si>
  <si>
    <t>10.1029/2011JD016162</t>
  </si>
  <si>
    <t>864QC</t>
  </si>
  <si>
    <t>WOS:000298253800002</t>
  </si>
  <si>
    <t>Zou, CZ; Wang, WH</t>
  </si>
  <si>
    <t>Zou, Cheng-Zhi; Wang, Wenhui</t>
  </si>
  <si>
    <t>Intersatellite calibration of AMSU-A observations for weather and climate applications</t>
  </si>
  <si>
    <t>MICROWAVE SOUNDING UNIT; MSU CHANNEL-2; SATELLITE; TEMPERATURES; CONSTRUCTION; VALIDATION; SOUNDERS; SYSTEM; TOVS</t>
  </si>
  <si>
    <t>Long-term observations from the Advanced Microwave Sounding Unit-A (AMSU-A) onboard polar-orbiting satellites NOAA 15, 16, 17, and 18 and European Meteorological Operational satellite program-A (MetOp-A) were intercalibrated using their overlap observations. Simultaneous nadir overpasses (SNOs) and global ocean mean differences between these satellites were used to characterize calibration errors and to obtain calibration coefficients. Calibration errors were found manifesting themselves as certain scatter or temporal patterns of intersatellite biases, such as well-defined seasonal cycles in the Arctic and Antarctic SNO difference time series or a unique pattern closely correlated to the instrument temperature variability induced by Solar Beta Angle (SBA) variations in global ocean mean difference time series. Analyses of these patterns revealed five different types of biases that need to be removed from existing prelaunch-calibrated AMSU-A observations, which include relatively stable intersatellite biases between most satellite pairs, bias drifts on NOAA 16 and channel 7 of MetOp-A, sun-heating-induced instrument temperature variability in radiances, scene temperature dependency in biases due to inaccurate calibration nonlinearity, and biases due to channel frequency shift from its prelaunch measurement in certain satellite channels. Level-1c time-dependent calibration offsets and nonlinear coefficients were introduced and determined from SNO and global ocean mean temperature regressions to remove or minimize the first four types of biases. Channel frequency shift in NOAA 15 channel 6 was obtained from the radiative transfer model simulation experiments. The new calibration coefficients and channel frequency values have significantly reduced the five different types of biases and resulted in more consistent multisatellite radiance observations for intercalibrated satellite channels. The intercalibrated AMSU-A observations have been merged with its precursor, the intercalibrated microwave sounding unit (MSU), to generate the NOAA/Center for Satellite Applications and Research (STAR) version 2.0 upper-air temperature climate data record (CDR) for climate trend and variability monitoring from 1979 to the present. The intercalibrated AMSU-A radiance data are expected to further improve accuracies of numerical weather prediction and consistencies in climate reanalysis and CDR developments.</t>
  </si>
  <si>
    <t>[Zou, Cheng-Zhi] NOAA, Ctr Satellite Applicat &amp; Res, NESDIS, NOAA Sci Ctr, Camp Springs, MD 20746 USA; [Wang, Wenhui] NOAA, IM Syst Grp, Ctr Satellite Applicat &amp; Res, NESDIS, Camp Springs, MD 20746 USA</t>
  </si>
  <si>
    <t>National Oceanic Atmospheric Admin (NOAA) - USA; National Oceanic Atmospheric Admin (NOAA) - USA; I.M. Systems Group, Inc.</t>
  </si>
  <si>
    <t>Zou, CZ (corresponding author), NOAA, Ctr Satellite Applicat &amp; Res, NESDIS, NOAA Sci Ctr, Room 712,5200 Auth Rd, Camp Springs, MD 20746 USA.</t>
  </si>
  <si>
    <t>cheng-zhi.zou@noaa.gov</t>
  </si>
  <si>
    <t>Zou, Cheng-Zhi/E-3085-2010; Wang, Wenhui/D-3240-2012</t>
  </si>
  <si>
    <t>Zou, Cheng-Zhi/0000-0003-4124-6448;</t>
  </si>
  <si>
    <t>NOAA [NESDIS-NESDISPO-2009-2001589 (SDS-09-15)]</t>
  </si>
  <si>
    <t>NOAA(National Oceanic Atmospheric Admin (NOAA) - USA)</t>
  </si>
  <si>
    <t>The authors thank Tom Kleespies for providing the code for the Solar Beta Angle computation. The authors also thank Yong Han and Yong Chen for providing CRTM training data sets for related computations. Review comments from Jerry Sullivan, Paul Poli, and the three anonymous reviewers are greatly appreciated. The work is supported by NOAA grant NESDIS-NESDISPO-2009-2001589 (SDS-09-15). The views, opinions, and findings contained in this report are those of the authors and should not be construed as an official National Oceanic and Atmospheric Administration or U.S. Government position, policy, or decision.</t>
  </si>
  <si>
    <t>DEC 13</t>
  </si>
  <si>
    <t>D23113</t>
  </si>
  <si>
    <t>10.1029/2011JD016205</t>
  </si>
  <si>
    <t>864QB</t>
  </si>
  <si>
    <t>WOS:000298253700004</t>
  </si>
  <si>
    <t>Bortnik, J; Chen, L; Li, W; Thorne, RM; Meredith, NP; Horne, RB</t>
  </si>
  <si>
    <t>Bortnik, J.; Chen, L.; Li, W.; Thorne, R. M.; Meredith, N. P.; Horne, R. B.</t>
  </si>
  <si>
    <t>Modeling the wave power distribution and characteristics of plasmaspheric hiss</t>
  </si>
  <si>
    <t>MAGNETOSPHERIC CHORUS EMISSIONS; RADIATION BELT ELECTRONS; PITCH-ANGLE DIFFUSION; STORM-TIME CHORUS; WHISTLER-MODE; OUTER MAGNETOSPHERE; 6-COMPONENT MEASUREMENTS; EARTHS MAGNETOSPHERE; PROPAGATION ANALYSIS; POLARIZATION STATES</t>
  </si>
  <si>
    <t>We simulate the spatial and spectral distributions of plasmaspheric hiss using a technique that involves extensive ray tracing. The rays are injected in the equatorial chorus source region outside the plasmasphere, are power weighted as a function of L-shell, frequency, and wave normal angle, so as to represent the chorus source distribution, and are propagated throughout the simulation domain until the power in each ray is effectively extinguished due to Landau damping. By setting up a large number of virtual observatories, the rays passing each observation location are counted, and a distribution is constructed. Our simulated plasmaspheric hiss spectrum reproduces the main observed features, including the lower and upper frequency cutoffs, the behavior of the bandwidth as a function of L-shell, the spatial extent, and even the two-zone structure of hiss, although the intensity is lower than observed. The wave normal distribution shows that at high latitudes, the wave normals are predominantly oblique, but near the equator, the wave normal distribution can be either predominantly field-aligned (lower L shells), or be bimodal, having a maximum in the field-aligned direction, and another maximum at very oblique angles, comprised of those rays that have broken out of their cyclical trajectories. This distribution of wave normals seems to reconcile the apparently contradictory observations that have been reported previously.</t>
  </si>
  <si>
    <t>[Bortnik, J.; Chen, L.; Li, W.; Thorne, R. M.] Univ Calif Los Angeles, Dept Atmospher &amp; Ocean Sci, Los Angeles, CA 90095 USA; [Meredith, N. P.; Horne, R. B.] British Antarctic Survey, Cambridge CB3 0ET, England</t>
  </si>
  <si>
    <t>University of California System; University of California Los Angeles; UK Research &amp; Innovation (UKRI); Natural Environment Research Council (NERC); NERC British Antarctic Survey</t>
  </si>
  <si>
    <t>Bortnik, J (corresponding author), Univ Calif Los Angeles, Dept Atmospher &amp; Ocean Sci, Los Angeles, CA 90095 USA.</t>
  </si>
  <si>
    <t>jbortnik@atmos.ucla.edu; clj@atmos.ucla.edu; moonli@atmos.ucla.edu; rmt@atmos.ucla.edu; nmer@bas.ac.uk; rh@bas.ac.uk</t>
  </si>
  <si>
    <t>Horne, Richard B/U-3764-2019; Meredith, Nigel P/C-5806-2018; Li, Wen/F-3722-2011; Chen, Lunjin/L-1250-2013</t>
  </si>
  <si>
    <t>Horne, Richard B/0000-0002-0412-6407; Meredith, Nigel/0000-0001-5032-3463; Chen, Lunjin/0000-0003-2489-3571</t>
  </si>
  <si>
    <t>NSF [AGS-0840178]; Natural Environment Research Council; European Community [262468]; NERC [bas0100023] Funding Source: UKRI; Natural Environment Research Council [bas0100023] Funding Source: researchfish</t>
  </si>
  <si>
    <t>NSF(National Science Foundation (NSF)); Natural Environment Research Council(UK Research &amp; Innovation (UKRI)Natural Environment Research Council (NERC)); European Community; NERC(UK Research &amp; Innovation (UKRI)Natural Environment Research Council (NERC)); Natural Environment Research Council(UK Research &amp; Innovation (UKRI)Natural Environment Research Council (NERC))</t>
  </si>
  <si>
    <t>J.B., L.C., W.L. and R.M.T. would like to gratefully acknowledge the support of the NSF through grant AGS-0840178. We would like to thank Roger Anderson for provision of the CRRES plasma wave data used in this study. N.P.M. and R.B.H. would like to acknowledge support from the Natural Environment Research Council. The research leading to these results has received funding from the European Community's Seventh Framework Programme (FP7/2007-2013) under grant agreement 262468.</t>
  </si>
  <si>
    <t>DEC 10</t>
  </si>
  <si>
    <t>A12209</t>
  </si>
  <si>
    <t>10.1029/2011JA016862</t>
  </si>
  <si>
    <t>860WQ</t>
  </si>
  <si>
    <t>WOS:000297979400003</t>
  </si>
  <si>
    <t>Pierce, EL; Williams, T; van de Flierdt, T; Hemming, SR; Goldstein, SL; Brachfeld, SA</t>
  </si>
  <si>
    <t>Pierce, Elizabeth L.; Williams, Trevor; van de Flierdt, Tina; Hemming, Sidney R.; Goldstein, Steven L.; Brachfeld, Stefanie A.</t>
  </si>
  <si>
    <t>Characterizing the sediment provenance of East Antarctica's weak underbelly: The Aurora and Wilkes sub-glacial basins</t>
  </si>
  <si>
    <t>PRINCE-CHARLES MOUNTAINS; NORTHERN VICTORIA LAND; ICE-RAFTED HORNBLENDE; GEORGE-V-LAND; 40AR/39AR AGES; PAN-AFRICAN; ISOTOPIC EVIDENCE; LANTERMAN RANGE; SOUTHERN-OCEAN; CLIMATE-CHANGE</t>
  </si>
  <si>
    <t>The Wilkes and Aurora basins are large, low-lying sub-glacial basins that may cause areas of weakness in the overlying East Antarctic ice sheet. Previous work based on ice-rafted debris (IRD) provenance analyses found evidence for massive iceberg discharges from these areas during the late Miocene and Pliocene. Here we characterize the sediments shed from the inferred areas of weakness along this margin (94 E to 165 E) by measuring 40Ar/39Ar ages of 292 individual detrital hornblende grains from eight marine sediment core locations off East Antarctica and Nd isotopic compositions of the bulk fine fraction from the same sediments. We further expand the toolbox for Antarctic IRD provenance analyses by exploring the application of 40Ar/39Ar ages of detrital biotites; biotite as an IRD tracer eliminates lithological biases imposed by only analyzing hornblendes and allows for characterization of samples with low IRD concentrations. Our data quadruples the number of detrital 40Ar/39Ar ages from this margin of East Antarctica and leads to the following conclusions: (1) Four main sectors between the Ross Sea and Prydz Bay, separated by ice drainage divides, are distinguishable based upon the combination of 40Ar/39Ar ages of detrital hornblende and biotite grains and the epsilon(Nd) of the bulk fine fraction; (2) 40Ar/39Ar biotite ages can be used as a robust provenance tracer for this part of East Antarctica; and (3) sediments shed from the coastal areas of the Aurora and Wilkes sub-glacial basins can be clearly distinguished from one another based upon their isotopic fingerprints.</t>
  </si>
  <si>
    <t>[Pierce, Elizabeth L.; Hemming, Sidney R.; Goldstein, Steven L.] Columbia Univ, Dept Earth &amp; Environm Sci, New York, NY 10025 USA; [Brachfeld, Stefanie A.] Montclair State Univ, Dept Earth &amp; Environm Studies, Montclair, NJ 07043 USA; [Williams, Trevor; Hemming, Sidney R.; Goldstein, Steven L.] Lamont Doherty Earth Observ, Palisades, NY 10964 USA; [van de Flierdt, Tina] Univ London Imperial Coll Sci Technol &amp; Med, Dept Earth Sci &amp; Engn, London SW7 2AZ, England</t>
  </si>
  <si>
    <t>Columbia University; Montclair State University; Columbia University; Imperial College London</t>
  </si>
  <si>
    <t>Pierce, EL (corresponding author), Columbia Univ, Dept Earth &amp; Environm Sci, 2960 Broadway, New York, NY 10025 USA.</t>
  </si>
  <si>
    <t>epierce@ldeo.columbia.edu</t>
  </si>
  <si>
    <t>Williams, Trevor/L-7670-2014</t>
  </si>
  <si>
    <t>Brachfeld, Stefanie/0000-0003-4612-2866; Goldstein, Steven L/0000-0001-7252-8064; Hemming, Sidney/0000-0001-8117-2303</t>
  </si>
  <si>
    <t>NSF [ANT 09-44489, ANT 08-38729, ANT 05-38580, ANT 03-48274]; NERC [NE/H014144/1]; Marie Curie IRG [230828]; Directorate For Geosciences; Office of Polar Programs (OPP) [0944489] Funding Source: National Science Foundation; Natural Environment Research Council [NE/I006257/1, NE/F016751/1, NE/H025162/1, NE/H014144/1] Funding Source: researchfish; NERC [NE/F016751/1, NE/H025162/1, NE/H014144/1, NE/I006257/1] Funding Source: UKRI</t>
  </si>
  <si>
    <t>NSF(National Science Foundation (NSF)); NERC(UK Research &amp; Innovation (UKRI)Natural Environment Research Council (NERC)); Marie Curie IRG(European Union (EU));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</si>
  <si>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research was funded by NSF grants ANT 09-44489, ANT 08-38729, and ANT 05-38580. T. v. D. F. acknowledges funding by NERC NE/H014144/1 and Marie Curie IRG 230828. S. Brachfeld acknowledges NSF grant ANT 03-48274. The flux fusion setup used for the Nd isotopes was funded by the Climate Center at Lamont (T. v. D. F. and Franzese). We thank Florida State University's Antarctic Marine Geology Repository for providing the piston and jumbo piston core samples, and especially C. Sjunneskog for help with sample age determinations, and IODP for providing the samples from Leg 188 ODP Site 1165. C. Doherty, G. Mesko, L. Bolge, E. Palmer and S. Cox are gratefully acknowledged for their help with sample processing. We also thank two anonymous reviewers for constructive comments on this manuscript.</t>
  </si>
  <si>
    <t>PA4217</t>
  </si>
  <si>
    <t>10.1029/2011PA002127</t>
  </si>
  <si>
    <t>861AA</t>
  </si>
  <si>
    <t>WOS:000297989200001</t>
  </si>
  <si>
    <t>Levine, JG; Wolff, EW; Jones, AE; Sime, LC; Valdes, PJ; Archibald, AT; Carver, GD; Warwick, NJ; Pyle, JA</t>
  </si>
  <si>
    <t>Levine, J. G.; Wolff, E. W.; Jones, A. E.; Sime, L. C.; Valdes, P. J.; Archibald, A. T.; Carver, G. D.; Warwick, N. J.; Pyle, J. A.</t>
  </si>
  <si>
    <t>Reconciling the changes in atmospheric methane sources and sinks between the Last Glacial Maximum and the pre-industrial era</t>
  </si>
  <si>
    <t>TERRESTRIAL ISOPRENE EMISSIONS; MEAN OH CONCENTRATION; SCALE FEATURES; MODEL; OXIDATION; SIMULATIONS; TEMPERATURES; HOLOCENE; INCREASE; CLIMATE</t>
  </si>
  <si>
    <t>We know from the ice record that the concentration of atmospheric methane, [CH(4)], at the Last Glacial Maximum (LGM) was roughly half that in the pre-industrial era (PI), but how much of the difference was source-driven, and how much was sink-driven, remains uncertain. Recent developments include: a higher estimate of the LGM-PI change in methane emissions from wetlands-the dominant, natural methane source; and the possible recycling of OH consumed in isoprene oxidation-the principal methane sink. Here, in view of these developments, we use an atmospheric chemistry-transport model to re-examine the main factors affecting OH during this period: changes in air temperature and emissions of non-methane volatile organic compounds from vegetation. We find that their net effect was negligible (with and without an OH recycling mechanism), implying the change in [CH(4)] was almost entirely source driven-a conclusion that, though subject to significant uncertainties, can be reconciled with recent methane source estimates. Citation: Levine, J. G., E. W. Wolff, A. E. Jones, L. C. Sime, P. J. Valdes, A. T. Archibald, G. D. Carver, N. J. Warwick, and J. A. Pyle (2011), Reconciling the changes in atmospheric methane sources and sinks between the Last Glacial Maximum and the pre-industrial era, Geophys. Res. Lett., 38, L23804, doi: 10.1029/2011GL049545.</t>
  </si>
  <si>
    <t>[Levine, J. G.; Wolff, E. W.; Jones, A. E.; Sime, L. C.] British Antarctic Survey, Cambridge CB3 0ET, England; [Valdes, P. J.] Univ Bristol, Sch Geog Sci, Bristol BS8 1SS, Avon, England; [Archibald, A. T.; Carver, G. D.; Warwick, N. J.; Pyle, J. A.] Univ Cambridge, Dept Chem, Ctr Atmospher Sci, Cambridge CB2 1EW, England; [Archibald, A. T.; Carver, G. D.; Warwick, N. J.; Pyle, J. A.] Univ Cambridge, Natl Ctr Atmospher Sci, Cambridge, England</t>
  </si>
  <si>
    <t>UK Research &amp; Innovation (UKRI); Natural Environment Research Council (NERC); NERC British Antarctic Survey; University of Bristol; University of Cambridge; University of Cambridge; UK Research &amp; Innovation (UKRI); Natural Environment Research Council (NERC); NERC National Centre for Atmospheric Science</t>
  </si>
  <si>
    <t>Levine, JG (corresponding author), British Antarctic Survey, Madingley Rd, Cambridge CB3 0ET, England.</t>
  </si>
  <si>
    <t>javi@bas.ac.uk</t>
  </si>
  <si>
    <t>Wolff, Eric W/D-7925-2014; Valdes, Paul/T-2004-2019; Valdes, Paul J/C-4129-2013; Sime, Louise/F-8058-2012; Levine, James/KCZ-2135-2024; Archibald, Alexander/GRR-5452-2022; Sime, Louise/AAX-7730-2021</t>
  </si>
  <si>
    <t>Wolff, Eric W/0000-0002-5914-8531; Valdes, Paul/0000-0002-1902-3283; Sime, Louise/0000-0002-9093-7926; Levine, James/0000-0002-0932-9115; Sime, Louise/0000-0002-9093-7926; Warwick, Nicola/0000-0003-1840-0283; Carver, Glenn/0000-0001-7582-6497; Archibald, Alexander/0000-0001-9302-4180</t>
  </si>
  <si>
    <t>Natural Environment Research Council; French Institut National des Sciences de l'Univers; National Centre for Atmospheric Science; Natural Environment Research Council [ncas10009, bas0100024, NE/E007600/1] Funding Source: researchfish; NERC [NE/E007600/1, bas0100024] Funding Source: UKRI</t>
  </si>
  <si>
    <t>Natural Environment Research Council(UK Research &amp; Innovation (UKRI)Natural Environment Research Council (NERC)); French Institut National des Sciences de l'Univers; National Centre for Atmospheric Science;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</si>
  <si>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and a contribution to the Dynamics of the Earth System and the Ice-core Record project, the latter being jointly funded by the Natural Environment Research Council's programme, Quantifying and Understanding the Earth System, and the French Institut National des Sciences de l'Univers; we gratefully acknowledge their support. A.T.A., G.D.C., N.J.W. and J.A.P. acknowledge the support of the National Centre for Atmospheric Science. Finally, we express our thanks to two anonymous reviewers.</t>
  </si>
  <si>
    <t>DEC 8</t>
  </si>
  <si>
    <t>L23804</t>
  </si>
  <si>
    <t>10.1029/2011GL049545</t>
  </si>
  <si>
    <t>861EH</t>
  </si>
  <si>
    <t>WOS:000298001500001</t>
  </si>
  <si>
    <t>Harris, RR</t>
  </si>
  <si>
    <t>Harris, Robert R.</t>
  </si>
  <si>
    <t>THE LOST PHOTOGRAPHS OF CAPTAIN SCOTT: Unseen Photographs From the Legendary Antarctic Expedition</t>
  </si>
  <si>
    <t>NEW YORK TIMES BOOK REVIEW</t>
  </si>
  <si>
    <t>Book Review</t>
  </si>
  <si>
    <t>NEW YORK TIMES</t>
  </si>
  <si>
    <t>620 8TH AVE, NEW YORK, NY 10018 USA</t>
  </si>
  <si>
    <t>0028-7806</t>
  </si>
  <si>
    <t>NY TIMES BK REV</t>
  </si>
  <si>
    <t>N. Y. Times Book Rev.</t>
  </si>
  <si>
    <t>DEC 4</t>
  </si>
  <si>
    <t>Humanities, Multidisciplinary</t>
  </si>
  <si>
    <t>Arts &amp; Humanities Citation Index (A&amp;HCI)</t>
  </si>
  <si>
    <t>Arts &amp; Humanities - Other Topics</t>
  </si>
  <si>
    <t>853BA</t>
  </si>
  <si>
    <t>WOS:000297400000040</t>
  </si>
  <si>
    <t>Weber, ME; Clark, PU; Ricken, W; Mitrovica, JX; Hostetler, SW; Kuhn, G</t>
  </si>
  <si>
    <t>Weber, Michael E.; Clark, Peter U.; Ricken, Werner; Mitrovica, Jerry X.; Hostetler, Steven W.; Kuhn, Gerhard</t>
  </si>
  <si>
    <t>Interhemispheric Ice-Sheet Synchronicity During the Last Glacial Maximum</t>
  </si>
  <si>
    <t>SEA EMBAYMENT CONSTRAINTS; SOUTHEASTERN WEDDELL SEA; OCEAN CIRCULATION; DEGLACIAL HISTORY; RADIOCARBON CONSTRAINTS; CLIMATE VARIABILITY; RETREAT HISTORY; ROSS SEA; SEDIMENTATION; GREENLAND</t>
  </si>
  <si>
    <t>The timing of the last maximum extent of the Antarctic ice sheets relative to those in the Northern Hemisphere remains poorly understood. We develop a chronology for the Weddell Sea sector of the East Antarctic Ice Sheet that, combined with ages from other Antarctic ice-sheet sectors, indicates that the advance to and retreat from their maximum extent was within dating uncertainties synchronous with most sectors of Northern Hemisphere ice sheets. Surface climate forcing of Antarctic mass balance would probably cause an opposite response, whereby a warming climate would increase accumulation but not surface melting. Our new data support teleconnections involving sea-level forcing from Northern Hemisphere ice sheets and changes in North Atlantic deep-water formation and attendant heat flux to Antarctic grounding lines to synchronize the hemispheric ice sheets.</t>
  </si>
  <si>
    <t>[Weber, Michael E.; Ricken, Werner] Univ Cologne, Inst Geol &amp; Mineral, D-50674 Cologne, Germany; [Hostetler, Steven W.] Oregon State Univ, Coll Earth Ocean &amp; Atmospher Sci, US Geol Survey, Corvallis, OR 97331 USA; [Mitrovica, Jerry X.] Harvard Univ, Dept Earth &amp; Planetary Sci, Cambridge, MA 02138 USA; [Kuhn, Gerhard] Helmholtz Assoc, Alfred Wegener Inst Polar &amp; Marine Res, D-27568 Bremerhaven, Germany</t>
  </si>
  <si>
    <t>University of Cologne; United States Department of the Interior; United States Geological Survey; Oregon State University; Harvard University; Helmholtz Association; Alfred Wegener Institute, Helmholtz Centre for Polar &amp; Marine Research</t>
  </si>
  <si>
    <t>Weber, ME (corresponding author), Univ Cologne, Inst Geol &amp; Mineral, Zuelpicher Str 49A, D-50674 Cologne, Germany.</t>
  </si>
  <si>
    <t>michael.weber@uni-koeln.de</t>
  </si>
  <si>
    <t>Weber, Michael E/G-8707-2012</t>
  </si>
  <si>
    <t>Weber, Michael E/0000-0003-2175-8980; Kuhn, Gerhard/0000-0001-6069-7485</t>
  </si>
  <si>
    <t>Deutsche Forschungsgemeinschaft [WE2039/8-1, RI525/17-1, KU683/9-1, KU683/12-1]; U.S. NSF; Office of Polar Programs (OPP); Directorate For Geosciences [1043517] Funding Source: National Science Foundation</t>
  </si>
  <si>
    <t>Deutsche Forschungsgemeinschaft(German Research Foundation (DFG)); U.S. NSF(National Science Foundation (NSF)); Office of Polar Programs (OPP); Directorate For Geosciences(National Science Foundation (NSF)NSF - Directorate for Geosciences (GEO))</t>
  </si>
  <si>
    <t>We thank the Deutsche Forschungsgemeinschaft (grants WE2039/8-1, RI525/17-1, KU683/9-1, and KU683/12-1) and the U.S. NSF Paleoclimate Program for financial support, the Alfred Wegener Institute for Polar and Marine Research for logistic support, J. Rethemeyer for conducting part of the AMS 14C measurements, B. Weninger for discussing the 14C data, D. Sprenk for assisting with the graphics, and A. Holzapfel for editorial work (all from Univ. of Cologne).</t>
  </si>
  <si>
    <t>DEC 2</t>
  </si>
  <si>
    <t>10.1126/science.1209299</t>
  </si>
  <si>
    <t>855HD</t>
  </si>
  <si>
    <t>WOS:000297553600047</t>
  </si>
  <si>
    <t>Helm, KP; Bindoff, NL; Church, JA</t>
  </si>
  <si>
    <t>Helm, Kieran P.; Bindoff, Nathaniel L.; Church, John A.</t>
  </si>
  <si>
    <t>Observed decreases in oxygen content of the global ocean</t>
  </si>
  <si>
    <t>SOUTHERN-OCEAN; CLIMATE-CHANGE; NORTH PACIFIC; ART.; TRENDS</t>
  </si>
  <si>
    <t>Comparing the high-quality oxygen climatology from the World Ocean Circulation Experiment to earlier data we reveal near-global decreases in oxygen levels in the upper ocean between the 1970s and the 1990s. This globally averaged oxygen decrease is -0.93 +/- 0.23 mu mol l(-1), which is equivalent to annual oxygen losses of -0.55 +/- 0.13 x 10(14) mol yr(-1) (100-1000 m). The strongest decreases in oxygen occur in the mid-latitudes of both hemispheres, near regions where there is strong water renewal and exchange between the ocean interior and surface waters. Approximately 15% of global oxygen decrease can be explained by a warmer mixed-layer reducing the capacity of water to store oxygen, while the remainder is consistent with an overall decrease in the exchange between surface waters and the ocean interior. Here we suggest that this reduction in water mass renewal rates on a global scale is a consequence of increased stratification caused by warmer surface waters. These observations support climate model simulations of oxygen change under global warming scenarios. Citation: Helm, K. P., N. L. Bindoff, and J. A. Church (2011), Observed decreases in oxygen content of the global ocean, Geophys. Res. Lett., 38, L23602, doi: 10.1029/2011GL049513.</t>
  </si>
  <si>
    <t>[Helm, Kieran P.; Bindoff, Nathaniel L.] Univ Tasmania, Inst Marine &amp; Antarct Studies, Hobart, Tas 7001, Australia; [Helm, Kieran P.; Bindoff, Nathaniel L.; Church, John A.] Univ Tasmania, Antarct Climate &amp; Ecosyst Cooperat Res Ctr, Hobart, Tas 7001, Australia; [Bindoff, Nathaniel L.; Church, John A.] CAWCR, Hobart, Tas 7001, Australia; [Bindoff, Nathaniel L.] Wealth Oceans Flagship, Hobart, Tas, Australia</t>
  </si>
  <si>
    <t>University of Tasmania; University of Tasmania; Commonwealth Scientific &amp; Industrial Research Organisation (CSIRO)</t>
  </si>
  <si>
    <t>Helm, KP (corresponding author), Univ Tasmania, Inst Marine &amp; Antarct Studies, Hobart, Tas 7001, Australia.</t>
  </si>
  <si>
    <t>n.bindoff@utas.edu.au</t>
  </si>
  <si>
    <t>Church, John A/A-1541-2012; Bindoff, Nathaniel Lee/C-8050-2011; Bindoff, Nathaniel Lee/IVV-0333-2023</t>
  </si>
  <si>
    <t>Church, John A/0000-0002-7037-8194; Bindoff, Nathaniel Lee/0000-0001-5662-9519; Bindoff, Nathaniel Lee/0000-0001-5662-9519</t>
  </si>
  <si>
    <t>Australian Government's Cooperative Research Centres through the Antarctic Climate and Ecosystems Cooperative Research Centre</t>
  </si>
  <si>
    <t>Australian Government's Cooperative Research Centres through the Antarctic Climate and Ecosystems Cooperative Research Centre(Australian GovernmentDepartment of Industry, Innovation and ScienceCooperative Research Centres (CRC) Programme)</t>
  </si>
  <si>
    <t>This paper is a contribution to the CSIRO Climate Change Research Program and was supported by the Australian Government's Cooperative Research Centres Program through the Antarctic Climate and Ecosystems Cooperative Research Centre. The Centre for Australian Weather and Climate Research is a partnership between CSIRO and the Australian Bureau of Meteorology. Comments from two reviewers are gratefully acknowledged.</t>
  </si>
  <si>
    <t>L23602</t>
  </si>
  <si>
    <t>10.1029/2011GL049513</t>
  </si>
  <si>
    <t>856JD</t>
  </si>
  <si>
    <t>WOS:000297635200004</t>
  </si>
  <si>
    <t>Meredith, MP; Woodworth, PL; Chereskin, TK; Marshall, DP; Allison, LC; Bigg, GR; Donohue, K; Heywood, KJ; Hughes, CW; Hibbert, A; Hogg, AM; Johnson, HL; Jullion, L; King, BA; Leach, H; Lenn, YD; Maqueda, MAM; Munday, DR; Garabato, ACN; Provost, C; Sallée, JB; Sprintall, J</t>
  </si>
  <si>
    <t>Meredith, Michael P.; Woodworth, Philip L.; Chereskin, Teresa K.; Marshall, David P.; Allison, Lesley C.; Bigg, Grant R.; Donohue, Kathy; Heywood, Karen J.; Hughes, Chris W.; Hibbert, Angela; Hogg, Andrew McC; Johnson, Helen L.; Jullion, Loic; King, Brian A.; Leach, Harry; Lenn, Yueng-Djern; Maqueda, Miguel A. Morales; Munday, David R.; Garabato, Alberto C. Naveira; Provost, Christine; Sallee, Jean-Baptiste; Sprintall, Janet</t>
  </si>
  <si>
    <t>SUSTAINED MONITORING OF THE SOUTHERN OCEAN AT DRAKE PASSAGE: PAST ACHIEVEMENTS AND FUTURE PRIORITIES</t>
  </si>
  <si>
    <t>REVIEWS OF GEOPHYSICS</t>
  </si>
  <si>
    <t>ANTARCTIC CIRCUMPOLAR CURRENT; BOTTOM PRESSURE MEASUREMENTS; SHORT-TERM VARIATIONS; SEA-LEVEL; VOLUME TRANSPORT; ANNULAR MODE; DEEP WATERS; EXTRATROPICAL CIRCULATION; OVERTURNING CIRCULATION; TEMPERATURE TRENDS</t>
  </si>
  <si>
    <t>Drake Passage is the narrowest constriction of the Antarctic Circumpolar Current (ACC) in the Southern Ocean, with implications for global ocean circulation and climate. We review the long-term sustained monitoring programs that have been conducted at Drake Passage, dating back to the early part of the twentieth century. Attention is drawn to numerous breakthroughs that have been made from these programs, including (1) the first determinations of the complex ACC structure and early quantifications of its transport; (2) realization that the ACC transport is remarkably steady over interannual and longer periods, and a growing understanding of the processes responsible for this; (3) recognition of the role of coupled climate modes in dictating the horizontal transport and the role of anthropogenic processes in this; and (4) understanding of mechanisms driving changes in both the upper and lower limbs of the Southern Ocean overturning circulation and their impacts. It is argued that monitoring of this passage remains a high priority for oceanographic and climate research but that strategic improvements could be made concerning how this is conducted. In particular, long-term programs should concentrate on delivering quantifications of key variables of direct relevance to large-scale environmental issues: In this context, the time-varying overturning circulation is, if anything, even more compelling a target than the ACC flow. Further, there is a need for better international resource sharing and improved spatiotemporal coordination of the measurements. If achieved, the improvements in understanding of important climatic issues deriving from Drake Passage monitoring can be sustained into the future.</t>
  </si>
  <si>
    <t>[Meredith, Michael P.; Sallee, Jean-Baptiste] British Antarctic Survey, Madingley Rd, Cambridge CB3 0ET, England; [Allison, Lesley C.] Univ Reading, Dept Meteorol, Reading RG6 6BB, Berks, England; [Bigg, Grant R.] Univ Sheffield, Dept Geog, Sheffield S10 2TN, S Yorkshire, England; [Chereskin, Teresa K.; Sprintall, Janet] Univ Calif San Diego, Scripps Inst Oceanog, La Jolla, CA 92093 USA; [Donohue, Kathy] Univ Rhode Isl, Grad Sch Oceanog, Narragansett, RI 02882 USA; [Heywood, Karen J.] Univ E Anglia, Sch Environm Sci, Norwich NR4 7TJ, Norfolk, England; [Hibbert, Angela; Leach, Harry] Univ Liverpool, Dept Earth &amp; Ocean Sci, Liverpool L69 3GP, Merseyside, England; [Woodworth, Philip L.; Hughes, Chris W.; Maqueda, Miguel A. Morales] Natl Oceanog Ctr, Liverpool L3 5DA, Merseyside, England; [Johnson, Helen L.] Univ Oxford, Dept Earth Sci, Oxford OX1 3AN, England; [Jullion, Loic; King, Brian A.; Garabato, Alberto C. Naveira] Natl Oceanog Ctr, Southampton SO14 3ZH, Hants, England; [Lenn, Yueng-Djern] Bangor Univ, Sch Ocean Sci, Bangor LL59 5AB, Gwynedd, Wales; [Marshall, David P.; Munday, David R.] Univ Oxford, Oxford OX1 3PU, England; [Hogg, Andrew McC] Australian Natl Univ, Res Sch Earth Sci, Canberra, ACT 0200, Australia; [Provost, Christine] Univ Paris 06, LOCEAN, F-75252 Paris, France</t>
  </si>
  <si>
    <t>UK Research &amp; Innovation (UKRI); Natural Environment Research Council (NERC); NERC British Antarctic Survey; University of Reading; University of Sheffield; University of California System; University of California San Diego; Scripps Institution of Oceanography; University of Rhode Island; University of East Anglia; University of Liverpool; NERC National Oceanography Centre; University of Oxford; NERC National Oceanography Centre; Bangor University; University of Oxford; Australian National University; Museum National d'Histoire Naturelle (MNHN); Sorbonne Universite</t>
  </si>
  <si>
    <t>Munday, David/Y-7052-2019; Hogg, Andy/AAZ-8733-2021; Hogg, Andy McC./A-7553-2011; Maqueda, Miguel Angel Morales/AAJ-8138-2020; Marshall, David Philip/B-6767-2009; KIng, Brian/KDN-7191-2024; Garabato, Alberto Naveira/AAQ-1114-2020; SALLEE, Jean baptiste/HDO-5355-2022; Hughes, Chris/GQP-7479-2022; Hughes, Chris W/A-3791-2010; Allison, Lesley/H-4033-2011; Munday, David R/R-1986-2016; Bigg, Grant/GXW-2219-2022; Jullion, Loic/B-3304-2011; Allison, Lesley/I-4746-2015; SALLEE, Jean baptiste/A-5837-2010; Heywood, Karen/L-1757-2016</t>
  </si>
  <si>
    <t>Hogg, Andy/0000-0001-5898-7635; Hogg, Andy McC./0000-0001-5898-7635; Marshall, David Philip/0000-0002-5199-6579; Garabato, Alberto Naveira/0000-0001-6071-605X; Hughes, Chris W/0000-0002-9355-0233; Munday, David R/0000-0003-1920-708X; Jullion, Loic/0000-0001-6269-6750; Johnson, Helen/0000-0003-1873-2085; Chereskin, Teresa/0000-0003-1214-0978; Allison, Lesley/0000-0002-9271-1197; Meredith, Michael/0000-0002-7342-7756; Leach, Harry/0000-0003-1774-5167; Provost, Christine/0000-0003-4693-3685; SALLEE, Jean baptiste/0000-0002-6109-5176; Woodworth, Philip/0000-0002-6681-239X; Heywood, Karen/0000-0001-9859-0026; Lenn, Yueng-Djern/0000-0001-6031-523X</t>
  </si>
  <si>
    <t>Natural Environment Research Council [NE/E01366X/1, NE/C517633/1, NE/E013341/1, NE/E005667/1, noc010012, NE/E007058/1, bas0100028, NE/H016007/1, NE/H005668/1, noc010002, NE/E013368/1] Funding Source: researchfish; NERC [NE/H005668/1, NE/E005667/1, NE/E01366X/1, NE/E013341/1, NE/E013368/1, NE/H016007/1, bas0100028, noc010002, NE/E007058/1] Funding Source: UKRI</t>
  </si>
  <si>
    <t>8755-1209</t>
  </si>
  <si>
    <t>1944-9208</t>
  </si>
  <si>
    <t>REV GEOPHYS</t>
  </si>
  <si>
    <t>Rev. Geophys.</t>
  </si>
  <si>
    <t>RG4005</t>
  </si>
  <si>
    <t>10.1029/2010RG000348</t>
  </si>
  <si>
    <t>856XE</t>
  </si>
  <si>
    <t>Green Published, Green Accepted, Bronze</t>
  </si>
  <si>
    <t>WOS:000297677100001</t>
  </si>
  <si>
    <t>Pagani, M; Huber, M; Liu, ZH; Bohaty, SM; Henderiks, J; Sijp, W; Krishnan, S; DeConto, RM</t>
  </si>
  <si>
    <t>Pagani, Mark; Huber, Matthew; Liu, Zhonghui; Bohaty, Steven M.; Henderiks, Jorijntje; Sijp, Willem; Krishnan, Srinath; DeConto, Robert M.</t>
  </si>
  <si>
    <t>The Role of Carbon Dioxide During the Onset of Antarctic Glaciation</t>
  </si>
  <si>
    <t>ISOTOPE FRACTIONATION; EOCENE; PACIFIC; CO2; PHYTOPLANKTON; SEDIMENTARY; EVOLUTION; OCEAN</t>
  </si>
  <si>
    <t>Earth's modern climate, characterized by polar ice sheets and large equator-to-pole temperature gradients, is rooted in environmental changes that promoted Antarctic glaciation similar to 33.7 million years ago. Onset of Antarctic glaciation reflects a critical tipping point for Earth's climate and provides a framework for investigating the role of atmospheric carbon dioxide (CO2) during major climatic change. Previously published records of alkenone-based CO2 from high-and low-latitude ocean localities suggested that CO2 increased during glaciation, in contradiction to theory. Here, we further investigate alkenone records and demonstrate that Antarctic and subantarctic data overestimate atmospheric CO2 levels, biasing long-term trends. Our results show that CO2 declined before and during Antarctic glaciation and support a substantial CO2 decrease as the primary agent forcing Antarctic glaciation, consistent with model-derived CO2 thresholds.</t>
  </si>
  <si>
    <t>[Pagani, Mark; Krishnan, Srinath] Yale Univ, Dept Geol &amp; Geophys, New Haven, CT 06520 USA; [Huber, Matthew] Purdue Univ, Dept Earth &amp; Atmospher Sci, W Lafayette, IN 47906 USA; [Huber, Matthew] Purdue Univ, PCCRC, W Lafayette, IN 47906 USA; [Liu, Zhonghui] Univ Hong Kong, Dept Earth Sci, Hong Kong, Hong Kong, Peoples R China; [Bohaty, Steven M.] Univ Southampton, Sch Ocean &amp; Earth Sci, Southampton SO14 3ZH, Hants, England; [Henderiks, Jorijntje] Uppsala Univ, Dept Earth Sci, SE-75236 Uppsala, Sweden; [Sijp, Willem] Univ New S Wales, Fac Sci, Climate Change Res Ctr, Sydney, NSW 2052, Australia; [DeConto, Robert M.] Univ Massachusetts, Dept Geosci, Amherst, MA 01003 USA</t>
  </si>
  <si>
    <t>Yale University; Purdue University System; Purdue University; Purdue University System; Purdue University; University of Hong Kong; NERC National Oceanography Centre; University of Southampton; Uppsala University; University of New South Wales Sydney; University of Massachusetts System; University of Massachusetts Amherst</t>
  </si>
  <si>
    <t>Pagani, M (corresponding author), Yale Univ, Dept Geol &amp; Geophys, POB 6666, New Haven, CT 06520 USA.</t>
  </si>
  <si>
    <t>mark.pagani@yale.edu</t>
  </si>
  <si>
    <t>Sijp, Willem P/E-5988-2012; Henderiks, Jorijntje/ABB-1080-2020; Pagani, Mark/B-3233-2008; Henderiks, Jorijntje/JGL-6527-2023; Huber, Matthew/A-7677-2008; Liu, Zhonghui/D-3163-2009</t>
  </si>
  <si>
    <t>Huber, Matthew/0000-0002-2771-9977; Liu, Zhonghui/0000-0002-2168-8305; Henderiks, Jorijntje/0000-0001-9486-6275; Sijp, Willem/0000-0002-5971-3860</t>
  </si>
  <si>
    <t>Yale University Department of Geology and Geophysics; NSF [OCE-0902882, OCE-0902993, EAR-0628358, ATM-0513402, ATM-0927946, ANT-034248]; Natural Environment Research Council [NE/G003270/1]; Royal Swedish Academy of Sciences [KAW 2009.0287]; Natural Environment Research Council [NE/G003270/1] Funding Source: researchfish; NERC [NE/G003270/1] Funding Source: UKRI</t>
  </si>
  <si>
    <t>Yale University Department of Geology and Geophysics; NSF(National Science Foundation (NSF)); Natural Environment Research Council(UK Research &amp; Innovation (UKRI)Natural Environment Research Council (NERC)); Royal Swedish Academy of Sciences; Natural Environment Research Council(UK Research &amp; Innovation (UKRI)Natural Environment Research Council (NERC)); NERC(UK Research &amp; Innovation (UKRI)Natural Environment Research Council (NERC))</t>
  </si>
  <si>
    <t>This work was supported by a postdoctoral fellowship provided by Yale University Department of Geology and Geophysics, with funding provided by the NSF under awards OCE-0902882, OCE-0902993, EAR-0628358, ATM-0513402, ATM-0927946, and ANT-034248. This is PCCRC publication number 1115. Natural Environment Research Council grant NE/G003270/1 provided funds for the stable isotope analysis of carbonates. J.H. was funded by the Royal Swedish Academy of Sciences (KAW 2009.0287).</t>
  </si>
  <si>
    <t>10.1126/science.1203909</t>
  </si>
  <si>
    <t>WOS:000297553600046</t>
  </si>
  <si>
    <t>Mühlenhardt-Siegel, U</t>
  </si>
  <si>
    <t>Muehlenhardt-Siegel, Ute</t>
  </si>
  <si>
    <t>New and known species of the family Leuconidae (Cumacea, Peracarida) from Antarctic deep-sea basins</t>
  </si>
  <si>
    <t>ZOOTAXA</t>
  </si>
  <si>
    <t>Cumacea; Leuconidae; new species; deep-sea; Antarctica</t>
  </si>
  <si>
    <t>CRUSTACEA; TAXONOMY; ISLANDS; WATERS</t>
  </si>
  <si>
    <t>The leuconid cumaceans of the Antarctic deep- sea basins are listed. Ten new leuconid species are described: eight species in the genus Leucon: L. (Crymoleucon) parantarcticus, L. (C.) weddellensis, L. (C.) longirhinus, L. (C.) grandidentatus, L. (Leucon) quattuormulierum, L. (L.) andeep, L. (Macrauloleucon) weigmanni and L. (M.) complexus. One new species is described for the genus Eudorella: E. flokkeri. The genus Bytholeucon was discovered for the first time in Antarctic waters with a new species, B. hartmannorum.</t>
  </si>
  <si>
    <t>[Muehlenhardt-Siegel, Ute] Deutsch Zentrum Marine Biodiversitatsforsch, Biozentrum Grindel, D-20146 Hamburg, Germany; [Muehlenhardt-Siegel, Ute] Zool Museum, D-20146 Hamburg, Germany</t>
  </si>
  <si>
    <t>University of Hamburg</t>
  </si>
  <si>
    <t>Mühlenhardt-Siegel, U (corresponding author), Deutsch Zentrum Marine Biodiversitatsforsch, Biozentrum Grindel, Martin Luther King Pl 3, D-20146 Hamburg, Germany.</t>
  </si>
  <si>
    <t>muehsie@zoologie.uni-hamburg.de</t>
  </si>
  <si>
    <t>German Research Foundation [MU 933/5, MU 933/6]; CeDAMar programme</t>
  </si>
  <si>
    <t>German Research Foundation(German Research Foundation (DFG)); CeDAMar programme</t>
  </si>
  <si>
    <t>Many thanks to the German Research Foundation for funding (MU 933/5 and 6) and CeDAMar programme for travel funding to join the expedition ANDEEP II; to Renate Walter for taking the SEM photos and the help during the digital photography of the extremities; to Natalie Rotermund for assistance doing the morphometric measurements, to Simon Weigmann, who gave critical comments about the manuscript; to Dr. Brigitte Ebbe for revising the English text; to the Zoological Museum Hamburg for providing a working space. The digital photos of the habitus were carried out with kind help from Mr. M. Vobach, von Thunen Institute, Hamburg. This is ANDEEP publication no. 156.</t>
  </si>
  <si>
    <t>MAGNOLIA PRESS</t>
  </si>
  <si>
    <t>AUCKLAND</t>
  </si>
  <si>
    <t>PO BOX 41383, AUCKLAND, ST LUKES 1030, NEW ZEALAND</t>
  </si>
  <si>
    <t>1175-5326</t>
  </si>
  <si>
    <t>1175-5334</t>
  </si>
  <si>
    <t>Zootaxa</t>
  </si>
  <si>
    <t>861TZ</t>
  </si>
  <si>
    <t>WOS:000298043400001</t>
  </si>
  <si>
    <t>Ajani, P; Ingleton, T; Pritchard, T; Armand, L</t>
  </si>
  <si>
    <t>Ajani, Penelope; Ingleton, Tim; Pritchard, Tim; Armand, Leanne</t>
  </si>
  <si>
    <t>Microalgal Blooms in the Coastal Waters of New South Wales, Australia</t>
  </si>
  <si>
    <t>PROCEEDINGS OF THE LINNEAN SOCIETY OF NEW SOUTH WALES</t>
  </si>
  <si>
    <t>biotoxins; harmful algal blooms; human health; microalgal blooms; phytoplankton</t>
  </si>
  <si>
    <t>HARMFUL ALGAL BLOOMS; CLIMATE-CHANGE; RED TIDES; PHYTOPLANKTON; OCEAN; MARINE; STATION</t>
  </si>
  <si>
    <t>We investigated the frequency and causative taxa of observed microalgal blooms in New South Wales (NSW) coastal waters from 2000 to 2009 and compared these to an earlier bloom inventory from 1990 to 1999. The majority of recurrent blooms are harmless water discolourations caused by Noctiluca scintillans and Trichodesmium erythraeum. The recent reporting period witnessed the first blooms of Astrionellopsis glacialis, Guinardia sp., Skeletonema sp., cf. Heterocapsa sp., Dinophysis caudata, Prorocentrum dentatum, Prorocentrum rhathymum, Fibrocapsa japonica, Gymnodinium catenatum, Oscillaroria sp., and Anabaena circinalis. The frequency of blooms appears to have increased over time with a shift in maximum bloom activity from January (1990 to 1999) to October (2000 to 2009). Peak bloom years correspond with El Nino episodes, the most significant being 1997 to 1998 and 2002 to 2003. No significant difference was found between the causative species or spatial distribution of dominant taxa over two decades. Differences were observed in bloom type in estuaries with more 'potentially harmful to marine organisms' blooms during 1990 to 1999 and more 'harmless' blooms during 2000 to 2009. More 'unidentified' blooms were reported during 2000 to 2009 compared to 1990 to 1999, for both marine and estuarine waters. We emphasize that although algal bloom reports are ad hoc in their nature, they can contribute valuable baseline information, which may suggest causative relationships for evaluating trends in phytoplankton ecology.</t>
  </si>
  <si>
    <t>[Ajani, Penelope; Armand, Leanne] Macquarie Univ, Dept Biol Sci, N Ryde, NSW 2109, Australia; [Ingleton, Tim; Pritchard, Tim] Dept Environm Climate Change &amp; Water, Waters &amp; Coastal Sci Sect, Sydney S, NSW 1232, Australia; [Ingleton, Tim] Univ Tasmania, Inst Marine &amp; Antarctic Studies, Sandy Bay Hobart 7000, Australia</t>
  </si>
  <si>
    <t>Macquarie University; University of Tasmania</t>
  </si>
  <si>
    <t>Ajani, P (corresponding author), Macquarie Univ, Dept Biol Sci, N Ryde, NSW 2109, Australia.</t>
  </si>
  <si>
    <t>Penelope.Ajani@mq.edu.au</t>
  </si>
  <si>
    <t>Ajani, Penelope/K-9987-2019; Armand, Leanne K/C-9004-2009</t>
  </si>
  <si>
    <t>Ajani, Penelope/0000-0001-5364-9936; Armand, Leanne/0000-0003-3995-308X</t>
  </si>
  <si>
    <t>LINNEAN SOC NEW SOUTH WALES</t>
  </si>
  <si>
    <t>NEW SOUTH WALES</t>
  </si>
  <si>
    <t>PO BOX 137, MATRAVILLE, NEW SOUTH WALES, 2036, AUSTRALIA</t>
  </si>
  <si>
    <t>0370-047X</t>
  </si>
  <si>
    <t>P LINN SOC N S W</t>
  </si>
  <si>
    <t>Proc. Linn. Soc. N. S. W.</t>
  </si>
  <si>
    <t>DEC</t>
  </si>
  <si>
    <t>981UR</t>
  </si>
  <si>
    <t>WOS:000306997000003</t>
  </si>
  <si>
    <t>Callaghan, TV; Johansson, M; Key, J; Prowse, T; Ananicheva, M; Klepikov, A</t>
  </si>
  <si>
    <t>Callaghan, Terry V.; Johansson, Margareta; Key, Jeff; Prowse, Terry; Ananicheva, Maria; Klepikov, Alexander</t>
  </si>
  <si>
    <t>Feedbacks and Interactions: From the Arctic Cryosphere to the Climate System</t>
  </si>
  <si>
    <t>AMBIO</t>
  </si>
  <si>
    <t>Feedbacks; Ocean circulation; Atmospheric circulation; Cryosphere; Teleconnections</t>
  </si>
  <si>
    <t>SEA-ICE; NORTHERN ALASKA; CARBON; VEGETATION; RADIATION; SURFACE; SHIFTS; CYCLE; LAKES; SOIL</t>
  </si>
  <si>
    <t>Changes in the Arctic's climate are a result of complex interactions between the cryosphere, atmosphere, ocean, and biosphere. More feedbacks from the cryosphere to climate warming are positive and result in further warming than are negative, resulting in a reduced rate of warming or cooling. Feedbacks operate at different spatial scales; many, such as those operating through albedo and evapotranspiration, will have significant local effects that together could result in global impacts. Some processes, such as changes in carbon dioxide (CO2) emissions, are likely to have very small global effects but uncertainty is high whereas others, such as subsea methane (CH4) emissions, could have large global effects. Some cryospheric processes in the Arctic have teleconnections with other regions and major changes in the cryosphere have been largely a result of large-scale processes, particularly atmospheric and oceanic circulation. With continued climate warming it is highly likely that the cryospheric components will play an increasingly important climatic role. However, the net effect of all the feedbacks is difficult to assess because of the variability in spatial and temporal scales over which they operate. Furthermore, general circulation models (GCMs) do not include all major feedbacks while those included may not be accurately parameterized. The lack of full coupling between surface dynamics and the atmosphere is a major gap in current GCMs.</t>
  </si>
  <si>
    <t>[Callaghan, Terry V.] Royal Swedish Acad Sci, S-10405 Stockholm, Sweden; [Johansson, Margareta] Lund Univ, Div Phys Geog &amp; Ecosyst Anal, Dept Earth &amp; Ecosyst Sci, S-22362 Lund, Sweden; [Key, Jeff] NOAA, NESDIS, Madison, WI 53706 USA; [Prowse, Terry] Univ Victoria, Dept Geog, Environm Canada, Victoria, BC V8P 5C2, Canada; [Ananicheva, Maria] Russian Acad Sci, Inst Geog, Moscow 119017, Russia; [Klepikov, Alexander] Arctic &amp; Antarctic Res Inst, St Petersburg 199397, Russia</t>
  </si>
  <si>
    <t>Royal Swedish Academy of Sciences; Lund University; National Oceanic Atmospheric Admin (NOAA) - USA; Environment &amp; Climate Change Canada; University of Victoria; Russian Academy of Sciences; Institute of Geography, Russian Academy of Sciences; Arctic &amp; Antarctic Research Institute</t>
  </si>
  <si>
    <t>Callaghan, TV (corresponding author), Royal Swedish Acad Sci, S-10405 Stockholm, Sweden.</t>
  </si>
  <si>
    <t>terry_callaghan@btinternet.com; margareta.johansson@nateko.lu.se; Jeff.Key@noaa.gov; terry.prowse@ec.gc.ca; maria_anan@rambler.ru; klep@aari.ru</t>
  </si>
  <si>
    <t>Ananicheva, Maria/AAG-4711-2021; Key, Jeffrey R./AAB-7248-2020; Callaghan, Terens V./N-7640-2014</t>
  </si>
  <si>
    <t>Swedish Environmental Protection Agency [08/210]; Swedish Research Council FORMAS [204-2009-45]</t>
  </si>
  <si>
    <t>Swedish Environmental Protection Agency; Swedish Research Council FORMAS(Swedish Research Council Formas)</t>
  </si>
  <si>
    <t>We thank Sebastian Gerland, Mats Granskog, and two reviewers for comments on the manuscript. We also wish to thank the various national funding agencies that made this review possible, specifically the Swedish Environmental Protection Agency (grant number 08/210) and the Swedish Research Council FORMAS (grant number 204-2009-45) who helped directly support this publication together with Environment Canada. Prof. F. Wrona kindly facilitated and encouraged this publication. We also gratefully acknowledge the Arctic Monitoring and Assessment Program Secretariat and the SWIPA Integration Team in helping to produce the original SWIPA report and the various contributing SWIPA chapter authors.</t>
  </si>
  <si>
    <t>0044-7447</t>
  </si>
  <si>
    <t>1654-7209</t>
  </si>
  <si>
    <t>Ambio</t>
  </si>
  <si>
    <t>10.1007/s13280-011-0215-8</t>
  </si>
  <si>
    <t>959BM</t>
  </si>
  <si>
    <t>WOS:000305284800009</t>
  </si>
  <si>
    <t>Klekociuk, AR; Tully, MB; Alexander, SP; Dargaville, RJ; Deschamps, LL; Fraser, PJ; Gies, HP; Henderson, SI; Javorniczky, J; Krummel, PB; Petelina, SV; Shanklin, JD; Siddaway, JM; Stone, KA</t>
  </si>
  <si>
    <t>Klekociuk, A. R.; Tully, M. B.; Alexander, S. P.; Dargaville, R. J.; Deschamps, L. L.; Fraser, P. J.; Gies, H. P.; Henderson, S. I.; Javorniczky, J.; Krummel, P. B.; Petelina, S. V.; Shanklin, J. D.; Siddaway, J. M.; Stone, K. A.</t>
  </si>
  <si>
    <t>The Antarctic ozone hole during 2010</t>
  </si>
  <si>
    <t>AUSTRALIAN METEOROLOGICAL AND OCEANOGRAPHIC JOURNAL</t>
  </si>
  <si>
    <t>PROFILES</t>
  </si>
  <si>
    <t>The Antarctic ozone hole of 2010 is reviewed from a variety of perspectives, making use of various data and analyses. Based on total column ozone metrics, the 2010 ozone hole was one of the smallest in the past fifteen-twenty years. The main influence on the size of the ozone hole was relatively warm temperatures in the Antarctic lower stratosphere which impeded ozone depletion in the austral spring. The warm winter temperatures were associated with a significant dynamical disturbance in the mid- and high latitude upper stratosphere during July which included a substantial warming of the mid- and upper extratropical stratosphere, a deceleration of zonal winds and a cooling in the polar mesosphere. The disturbance was likely influenced by the phase of the Quasi-Biennial Oscillation (QBO) which favoured a weak and disturbed polar vortex in the winter months. The winter warming also resulted in significant off-pole displacement and weakening of the polar vortex in the mid- to upper stratosphere, producing a long-lasting increase in the overburden of ozone and weakening ozone hole metrics based on total column ozone measurements. Ozone loss in the lower stratosphere was less markedly affected by this dynamical activity, and was similar to other recent years. A notable feature was the reduction in dynamical disturbances of the polar vortex after September, when the QBO moved into a strongly eastward phase. During the late spring and early summer, stratospheric temperatures warmed more slowly than in recent years, and this produced one of the longest-lasting ozone holes yet observed which eventually disappeared in the last week of December. The relatively low ozone levels in December resulted in unusually high surface ultraviolet fluxes as measured on the coast of East Antarctica.</t>
  </si>
  <si>
    <t>[Klekociuk, A. R.; Alexander, S. P.] Australian Antarctic Div, Kingston, Tas 7050, Australia; [Dargaville, R. J.] Univ Melbourne, Sch Earth Sci, Melbourne, Vic 3010, Australia; [Petelina, S. V.; Siddaway, J. M.; Stone, K. A.] La Trobe Univ, Dept Phys, Bundoora, Vic 3086, Australia</t>
  </si>
  <si>
    <t>Australian Antarctic Division; University of Melbourne; Melbourne Bioinformatics; La Trobe University</t>
  </si>
  <si>
    <t>Klekociuk, AR (corresponding author), Australian Antarctic Div, 203 Channel Highway, Kingston, Tas 7050, Australia.</t>
  </si>
  <si>
    <t>andrew.klekociuk@aad.gov.au</t>
  </si>
  <si>
    <t>Fraser, Paul J. B./D-1755-2012; Krummel, Paul B/A-4293-2013; Tully, Matthew/AAG-1730-2020; Klekociuk, Andrew/A-4498-2015</t>
  </si>
  <si>
    <t>Krummel, Paul B/0000-0002-4884-3678; Tully, Matthew/0000-0002-6153-5610; Henderson, Stuart/0000-0002-9147-5727; Alexander, Simon/0000-0001-6823-8857; Klekociuk, Andrew/0000-0003-3335-0034; Dargaville, Roger/0000-0002-0103-5198</t>
  </si>
  <si>
    <t>Department of Sustainability, Environment, Water, Population and Communities; Canadian Space Agency</t>
  </si>
  <si>
    <t>Department of Sustainability, Environment, Water, Population and Communities; Canadian Space Agency(Canadian Space Agency)</t>
  </si>
  <si>
    <t>We acknowledge the Department of Sustainability, Environment, Water, Population and Communities for support of this work. We also acknowledge the assistance of the following people: Jeff Ayton and the Australian Antarctic Division's Antarctic Medical Practitioners in collecting the solar UV data; Jeff Cumpston for obtaining lidar measurements; BoM observers for collecting upper air measurements; and for expeditioners of the British Antarctic Survey for collecting the Halley measurements. The OSIRIS operation and data retrievals are primarily supported by the Canadian Space Agency. Odin is currently a third-party mission for the European Space Agency. The OMI ozone data are courtesy of the Ozone Processing Team at NASA Goddard Space Flight Center. Aura/MLS data used in this study were acquired as part of the NASA's Earth-Sun System Division and archived and distributed by the Goddard Earth Sciences (GES) Data and Information Services Center (DISC) Distributed Active Archive Center (DAAC). UKMO data were obtained from the British Atmospheric Data Centre (http://badc.nerc.ac.uk). NCEP Reanalysis-2 data were obtained from the National Oceanic and Atmospheric Administration Earth System Research laboratory, Physical Sciences Division. Halley ozone data were made available by the British Antarctic Survey at http://www.antarctica.ac.uk/met/jds/ozone/</t>
  </si>
  <si>
    <t>AUSTRALIAN BUREAU METEOROLOGY</t>
  </si>
  <si>
    <t>GPO BOX 1289, MELBOURNE, VIC 3001, AUSTRALIA</t>
  </si>
  <si>
    <t>1836-716X</t>
  </si>
  <si>
    <t>AUST METEOROL OCEAN</t>
  </si>
  <si>
    <t>Aust. Meteorol. Oceanogr. J.</t>
  </si>
  <si>
    <t>10.22499/2.6104.006</t>
  </si>
  <si>
    <t>935YJ</t>
  </si>
  <si>
    <t>WOS:000303557800006</t>
  </si>
  <si>
    <t>Ojeda, J; Suazo, CG; Rau, JR</t>
  </si>
  <si>
    <t>Ojeda, Jaime; Suazo, Cristian G.; Rau, Jaime R.</t>
  </si>
  <si>
    <t>Seasonal seabird assemblages in the artisanal long-line fishery of austral hake Merluccius australis, in Chile's sub-Antarctic channels</t>
  </si>
  <si>
    <t>REVISTA DE BIOLOGIA MARINA Y OCEANOGRAFIA</t>
  </si>
  <si>
    <t>Black-browed albatross; Southeast Pacific; artisanal fishery; demersal fishery; species richness</t>
  </si>
  <si>
    <t>BLACK-BROWED ALBATROSSES; SOUTHERN; ISLAND; BIRDS; PATAGONIA; PATTERNS; PETRELS; WATERS; COAST; DIET</t>
  </si>
  <si>
    <t>The fjords and channels of southern Chile represent breeding and feeding areas for sub-Antarctic seabird species. In addition, in these environments, an important artisanal austral hake Merluccius australis longline fishery operates. Studies on the relationship between seabirds and this activity are fundamental for the ecology and conservation biology of these birds. This study examined the composition and structure of the seasonal seabird assemblages attending the artisanal longline fishing activities in channels of the Southeast Pacific, Chile. Fieldwork was carried-out during summer (Cook Bay), winter (Felix Lighthouse), and spring (Gulf Xaultegua) of 2008. Ten species were associated with fishing activities. The most common seabird species observed during the year were the Black-browed albatross Thalassarche melanophrys and the Southern giant-petrel Macronectes giganteus. The seasonal structure of the assemblages presented differences between summer and winter. In terms of abundance, Black-browed albatrosses presented the highest contribution to the assemblage in summer (87.5%). During winter the Kelp gull Larus dominicanus showed the highest contribution (47.7%) while the Black-browed albatross abundance decreased to 9.1%. Black-browed albatross was the species with the highest index of relative importance within the assemblies, but is also a species with the conservation status 'endangered'. Therefore, it is necessary to maintain constant monitoring of the interaction between seabirds and artisanal longline fishing activities of sub-Antarctic environments.</t>
  </si>
  <si>
    <t>[Ojeda, Jaime] Univ Magallanes, Fac Ciencias, Dept Ciencias &amp; Recursos Nat, Punta Arenas, Chile; [Ojeda, Jaime] Univ Magallanes, Puerto Williams, Chile; [Ojeda, Jaime] Inst Ecol &amp; Biodiversidad, Santiago, Chile; [Suazo, Cristian G.] Univ Austral Chile, Fac Ciencias, Inst Econ &amp; Evoluc, Valdivia, Chile; [Rau, Jaime R.] Univ Los Lagos, Dept Ciencias Basicas, Ecol Lab, Osorno, Chile; [Rau, Jaime R.] Univ Los Lagos, Programa IBAM, Osorno, Chile</t>
  </si>
  <si>
    <t>Universidad de Magallanes; Universidad de Magallanes; Universidad Austral de Chile; Universidad de Los Lagos; Universidad de Los Lagos</t>
  </si>
  <si>
    <t>Ojeda, J (corresponding author), Univ Magallanes, Fac Ciencias, Dept Ciencias &amp; Recursos Nat, Casilla 113-D, Punta Arenas, Chile.</t>
  </si>
  <si>
    <t>jaimeojedavillarroel@yahoo.es</t>
  </si>
  <si>
    <t>Rau, Jaime/A-4922-2012; Ojeda, Jaime/HHN-1455-2022</t>
  </si>
  <si>
    <t>ojeda, jaime/0000-0003-3863-9750; Suazo, Cristian/0000-0003-3336-3660</t>
  </si>
  <si>
    <t>UNIV VALPARAISO</t>
  </si>
  <si>
    <t>VINA DEL MAR</t>
  </si>
  <si>
    <t>FACULTAD CIENCIAS MAR RECURSOS NATURALES, CASILLA 5080 - RENACA, VINA DEL MAR, 00000, CHILE</t>
  </si>
  <si>
    <t>0717-3326</t>
  </si>
  <si>
    <t>0718-1957</t>
  </si>
  <si>
    <t>REV BIOL MAR OCEANOG</t>
  </si>
  <si>
    <t>Rev. Biol. Mar. Oceanogr.</t>
  </si>
  <si>
    <t>10.4067/S0718-19572011000300013</t>
  </si>
  <si>
    <t>902RA</t>
  </si>
  <si>
    <t>WOS:000301054900013</t>
  </si>
  <si>
    <t>García, M; Ercilla, G; Alonso, B; Casas, D; Dowdeswell, JA</t>
  </si>
  <si>
    <t>Garcia, Marga; Ercilla, Gemma; Alonso, Belen; Casas, David; Dowdeswell, Julian A.</t>
  </si>
  <si>
    <t>Sediment lithofacies, processes and sedimentary models in the Central Bransfield Basin, Antarctic Peninsula, since the Last Glacial Maximum</t>
  </si>
  <si>
    <t>MARINE GEOLOGY</t>
  </si>
  <si>
    <t>Antarctic Peninsula; Antarctic Peninsula Ice Sheet; glacial sedimentation; glacimarine sedimentation; Last Glacial Maximum</t>
  </si>
  <si>
    <t>SOUTH SHETLAND ISLANDS; ICE STREAM B; CONTINENTAL-SHELF; GLACIOMARINE SEDIMENTATION; SEISMIC STRATIGRAPHY; BARENTS SEA; DEEP-SEA; BASAL MECHANICS; SUBGLACIAL TILL; HIGH-LATITUDE</t>
  </si>
  <si>
    <t>This work provides a regional perspective on the links between glacial, glacimarine and marine sedimentary processes occurring since the Last Glacial Maximum along the Central Bransfield Basin (Antarctic Peninsula), from shallow to deep areas, by combining information provided by gravity cores from shelf to deep basin settings, swath bathymetry and high-resolution reflection seismic and sub-bottom (TOPAS) profiles. Seven lithofacies have been identified. Their textural, compositional and X-radiographic characteristics, as well as their spatial distribution allow the differentiation of two stages of deposition, involving distinct sedimentary processes. The Last Glacial Maximum was characterised by subglacial deformation by the Antarctic Peninsula Ice Sheet as it reached its most extended position on the distal mid-slope platforms of the Central Bransfield Basin. Proglacial debris flows occurred on the external edges of the mid-slope platforms and lower slope. Since the last deglaciation, glacimarine (proglacial debris flows, glacimarine proglacial processes and turbid glacial meltwater) and open-marine sedimentary processes (turbidity currents, sliding and contour current activity) have predominated in the Central Bransfield Basin. Glacial cyclicity is the main factor controlling the sedimentary processes in the basin, but several secondary factors, including physiography, sediment entry points and oceanography, have been identified as local controls on the sediment distribution. The unusual physiography of the Central Bransfield Basin, where slope platforms form wide flat surfaces seaward from glacial troughs, is a key factor in the widespread occurrence of glacial and glacimarine processes on the entire continental margin. (c) 2011 Elsevier B.V. All rights reserved.</t>
  </si>
  <si>
    <t>[Garcia, Marga; Dowdeswell, Julian A.] Univ Cambridge, Scott Polar Res Inst, Cambridge CB2 1ER, England; [Ercilla, Gemma; Alonso, Belen] CSIC, Inst Ciencias Mar, Grp Margenes Continentales, E-08003 Barcelona, Spain; [Casas, David] IGME, Madrid 28003, Spain</t>
  </si>
  <si>
    <t>University of Cambridge; Consejo Superior de Investigaciones Cientificas (CSIC)</t>
  </si>
  <si>
    <t>García, M (corresponding author), Univ Cambridge, Scott Polar Res Inst, Lensfield Rd, Cambridge CB2 1ER, England.</t>
  </si>
  <si>
    <t>marguita.garcia@gmail.com</t>
  </si>
  <si>
    <t>Garcia, Marga/L-7410-2014; Casas, David/B-9576-2009; Alonso, Belen/A-5531-2015; Ercilla, Gemma/G-8180-2015</t>
  </si>
  <si>
    <t>Garcia, Marga/0000-0003-2632-6132; Casas, David/0000-0001-5258-7067; Dowdeswell, Julian/0000-0003-1369-9482; Alonso, Belen/0000-0002-3138-5260; Ercilla, Gemma/0000-0002-9709-2938</t>
  </si>
  <si>
    <t>MONTERA [CTM2009-14157-C02]; CONTOURIBER [CTM2008-06399-MAR]; Spanish Ministry of Education and Science; Spanish Research Council (CSIC); European Commission; Veterinary Clinic Hospital of the Universitat Autonoma de Barcelona; [CGL2007-28815-E]</t>
  </si>
  <si>
    <t>MONTERA; CONTOURIBER; Spanish Ministry of Education and Science(Spanish Government); Spanish Research Council (CSIC); European Commission(European Union (EU)European Commission Joint Research Centre); Veterinary Clinic Hospital of the Universitat Autonoma de Barcelona;</t>
  </si>
  <si>
    <t>The data analysed here were obtained from the MAGIA (ANT-584/97) and GEBRA'93 (ANT93-1008-C03-01) projects. This research was also supported by the CGL2007-28815-E, MONTERA (CTM2009-14157-C02) and CONTOURIBER (CTM2008-06399-MAR) projects, funded by the Spanish Ministry of Education and Science, and a predoctoral fellowship from the Spanish Research Council (CSIC). A Marie Curie Intra-European fellowship (7th Framework Programme, European Commission) has supported the research of Marga Garcia in the Scott Polar Research Institute, University of Cambridge. We thank the Veterinary Clinic Hospital of the Universitat Autonoma de Barcelona that provided support for the X-ray images of cores, and Seismic Micro-Technologies for providing the Kingdom Suite software used for seismic stratigraphy analysis. We are grateful to the editor and reviewers for their suggestions that have contributed to improve the quality and clarity of this work. This paper is dedicated to the memory of Jesus Baraza, whose efforts made this research possible.</t>
  </si>
  <si>
    <t>0025-3227</t>
  </si>
  <si>
    <t>1872-6151</t>
  </si>
  <si>
    <t>MAR GEOL</t>
  </si>
  <si>
    <t>Mar. Geol.</t>
  </si>
  <si>
    <t>DEC 1</t>
  </si>
  <si>
    <t>10.1016/j.margeo.2011.10.006</t>
  </si>
  <si>
    <t>Geosciences, Multidisciplinary; Oceanography</t>
  </si>
  <si>
    <t>Geology; Oceanography</t>
  </si>
  <si>
    <t>901KH</t>
  </si>
  <si>
    <t>WOS:000300965300001</t>
  </si>
  <si>
    <t>Uenzelmann-Neben, G; Watkeys, MK; Kretzinger, W; Frank, M; Heuer, L</t>
  </si>
  <si>
    <t>Uenzelmann-Neben, G.; Watkeys, M. K.; Kretzinger, W.; Frank, M.; Heuer, L.</t>
  </si>
  <si>
    <t>PALAEOCEANOGRAPHIC INTERPRETATION OF A SEISMIC PROFILE FROM THE SOUTHERN MOZAMBIQUE RIDGE, SOUTHWESTERN INDIAN OCEAN</t>
  </si>
  <si>
    <t>SOUTH AFRICAN JOURNAL OF GEOLOGY</t>
  </si>
  <si>
    <t>AGULHAS PLATEAU; WATER MASSES; CIRCULATION; CLIMATE; SEDIMENTATION; ISOTOPES; GATEWAY; SEAWAY; BASIN; MA</t>
  </si>
  <si>
    <t>Seismic reflection data from the southern Mozambique Ridge, Southwestern Indian Ocean, show indications for a modification in the oceanic circulation system during the Neogene. Major reorganisations in the Indian Ocean circulation system accompanying the closure of the Indonesian Gateway led to the onset of current controlled sedimentation in the vicinity of the Mozambique Ridge at similar to 14 Ma. The modifications in water mass properties and path are documented in changes in reflection characteristics in the Mozambique Ridge area. Correlating these with identified changes of the Nd isotope evolution in deep water masses the general present clay large scale circulation in the southern Indian Ocean is suggested to have prevailed for the last 9 Ma. References should not be included in abstracts.</t>
  </si>
  <si>
    <t>[Uenzelmann-Neben, G.] Alfred Wegener Inst Polar &amp; Marine Res, D-27568 Bremerhaven, Germany; [Watkeys, M. K.; Kretzinger, W.] Univ KwaZulu Natal, Sch Geol Sci, ZA-4000 Durban, South Africa; [Frank, M.; Heuer, L.] Univ Kiel, Leibniz Inst Marine Sci, IFM GEOMAR, D-24148 Kiel, Germany</t>
  </si>
  <si>
    <t>Helmholtz Association; Alfred Wegener Institute, Helmholtz Centre for Polar &amp; Marine Research; University of Kwazulu Natal; University of Kiel; Helmholtz Association; GEOMAR Helmholtz Center for Ocean Research Kiel</t>
  </si>
  <si>
    <t>Uenzelmann-Neben, G (corresponding author), Alfred Wegener Inst Polar &amp; Marine Res, Alten Hafen 26, D-27568 Bremerhaven, Germany.</t>
  </si>
  <si>
    <t>Gabriele.Uenzelmann-Neben@awi.de; watkeys@uknz.ac.za; 202521809@ukzn.ac.za; mfrank@ifm-geomar.de; lheuer@ifm-geomar.de</t>
  </si>
  <si>
    <t>Uenzelmann-Neben, Gabriele/AAI-8618-2020</t>
  </si>
  <si>
    <t>Uenzelmann-Neben, Gabriele/0000-0002-0115-5923; Frank, Martin/0000-0002-8606-4421</t>
  </si>
  <si>
    <t>German International Bureau [SUA 07/007]; Inkaba yeAfrika project; South African National Antarctic Programme; [03G0182A]; [03G0183A]</t>
  </si>
  <si>
    <t>German International Bureau; Inkaba yeAfrika project; South African National Antarctic Programme; ;</t>
  </si>
  <si>
    <t>This work is based on data and samples gathered during FS Sonne cruises SO-182 and SO-183 under contracts 03G0182A and 03G0183A. We further acknowledge grant No SUA 07/007 from the German International Bureau. Warren Kretzinger gratefully acknowledges support of bursaries initially through the Inkaba yeAfrika project and from the South African National Antarctic Programme. We thank Prof. Dr. John Compton for his helpful comments during the review process. This is AWI publication No awi-n19375 and Inkaba yeAfrica publication number 51.</t>
  </si>
  <si>
    <t>GEOLOGICAL SOC SOUTH AFRICA</t>
  </si>
  <si>
    <t>MARSHALLTOWN</t>
  </si>
  <si>
    <t>PO BOX 61809, MARSHALLTOWN 2107, SOUTH AFRICA</t>
  </si>
  <si>
    <t>1012-0750</t>
  </si>
  <si>
    <t>1996-8590</t>
  </si>
  <si>
    <t>S AFR J GEOL</t>
  </si>
  <si>
    <t>S. Afr. J. Geol.</t>
  </si>
  <si>
    <t>10.2113/gssajg.114.3-4.449</t>
  </si>
  <si>
    <t>890IQ</t>
  </si>
  <si>
    <t>WOS:000300138700015</t>
  </si>
  <si>
    <t>Madhu, NV; Reny, PD; Paul, M; Ullas, N; Resmi, P</t>
  </si>
  <si>
    <t>Madhu, N. V.; Reny, P. D.; Paul, Meenu; Ullas, N.; Resmi, P.</t>
  </si>
  <si>
    <t>Occurrence of red tide caused by Karenia mikimotoi (toxic dinoflagellate) in the Southwest coast of India</t>
  </si>
  <si>
    <t>INDIAN JOURNAL OF GEO-MARINE SCIENCES</t>
  </si>
  <si>
    <t>Dinoflagellate bloom; Karenia mikimotoi; Cochin estuary</t>
  </si>
  <si>
    <t>BLOOM; STENCH; WATERS; SEA</t>
  </si>
  <si>
    <t>Intense brownish discoloration was observed in the surface waters of Cochin bigmouth on 21st October 2009, which found to extend a few kilometers in the coastal waters. Continuous monitoring was carried out in the region for a period of 5 days (21st to 25th October 2009) and generated data on changes in water quality and phytoplankton community associated with the bloom. Relatively high level of inorganic nutrients (ammonia 0.5-9.7 mu M, nitrate 1.3-2.9 mu M, phosphate 1-2.3 mu M, silicate 23.5-39.9 mu M) and chlorophyll a (av. 56.8 +/- 23.7 mg m(-3)) concentration were observed during the bloom period. Microscopic analysis revealed that the discoloration was caused by an unarmored toxic dinoflagellate. Karenia mikimotoi Miyake &amp; Kominami ex Oda (Karenia. Gymnodiniaceae) belongs to Gymnodiniales, which cause massive fish mortality by releasing hemolytic compounds.</t>
  </si>
  <si>
    <t>[Madhu, N. V.; Reny, P. D.; Paul, Meenu; Ullas, N.; Resmi, P.] CSIR Natl Inst Oceanog, Reg Ctr, Kochi 682018, India</t>
  </si>
  <si>
    <t>Council of Scientific &amp; Industrial Research (CSIR) - India; CSIR - National Institute of Oceanography (NIO)</t>
  </si>
  <si>
    <t>Madhu, NV (corresponding author), CSIR Natl Inst Oceanog, Reg Ctr, Kochi 682018, India.</t>
  </si>
  <si>
    <t>nmadhu@nio.org</t>
  </si>
  <si>
    <t>P, Resmi/JXW-9419-2024</t>
  </si>
  <si>
    <t>Department of Science and Technology (DST), New Delhi; NIO [4919]</t>
  </si>
  <si>
    <t>Department of Science and Technology (DST), New Delhi(Department of Science &amp; Technology (India)); NIO</t>
  </si>
  <si>
    <t>Authors are grateful to Professor Gustaaf M. Hallegraeff, and Dr. Miguel de Salas, Institute of Marine Antarctic Studies, Tasmania for identifying the bloom species. First author acknowledge Department of Science and Technology (DST), New Delhi for providing financial support. This is NIO contribution no. 4919.</t>
  </si>
  <si>
    <t>NATL INST SCIENCE COMMUNICATION-NISCAIR</t>
  </si>
  <si>
    <t>NEW DELHI</t>
  </si>
  <si>
    <t>DR K S KRISHNAN MARG, PUSA CAMPUS, NEW DELHI 110 012, INDIA</t>
  </si>
  <si>
    <t>0379-5136</t>
  </si>
  <si>
    <t>INDIAN J GEO-MAR SCI</t>
  </si>
  <si>
    <t>Indian J. Geo-Mar. Sci.</t>
  </si>
  <si>
    <t>893DW</t>
  </si>
  <si>
    <t>WOS:000300336800009</t>
  </si>
  <si>
    <t>Friesen, E</t>
  </si>
  <si>
    <t>Friesen, Eric</t>
  </si>
  <si>
    <t>Vivaldi in Winter</t>
  </si>
  <si>
    <t>QUEENS QUARTERLY</t>
  </si>
  <si>
    <t>... winter is always somewhat antarctic, even here [in Venice]. Only alcohol can absorb the polar lightning shooting through your body as you set your foot on the marble floor, slippers or no slippers, shoes or no shoes. If you work in the evening you burn parthenons of candles - not for ambience or better light but for their illusory warmth .... Everything emanates cold, the walls especially.</t>
  </si>
  <si>
    <t>KINGSTON</t>
  </si>
  <si>
    <t>QUEENS UNIV, KINGSTON, ON K7L 3N6, CANADA</t>
  </si>
  <si>
    <t>0033-6041</t>
  </si>
  <si>
    <t>QUEENS QUART</t>
  </si>
  <si>
    <t>Queens Q.</t>
  </si>
  <si>
    <t>WIN</t>
  </si>
  <si>
    <t>Literary Reviews</t>
  </si>
  <si>
    <t>Literature</t>
  </si>
  <si>
    <t>884MN</t>
  </si>
  <si>
    <t>WOS:000299712300003</t>
  </si>
  <si>
    <t>Thaysen-Andersen, M; Wilkinson, BL; Payne, RJ; Packer, NH</t>
  </si>
  <si>
    <t>Thaysen-Andersen, Morten; Wilkinson, Brendan L.; Payne, Richard J.; Packer, Nicolle H.</t>
  </si>
  <si>
    <t>Site-specific characterisation of densely O-glycosylated mucin-type peptides using electron transfer dissociation ESI-MS/MS</t>
  </si>
  <si>
    <t>ELECTROPHORESIS</t>
  </si>
  <si>
    <t>Electron transfer dissociation; Glycopeptide; Glycoproteomics; MUC-1; Mucin</t>
  </si>
  <si>
    <t>MASS-SPECTROMETRY; CAPTURE DISSOCIATION; HIGH-DENSITY; GLYCOPEPTIDES; IDENTIFICATION; GLYCOPROTEINS; CHROMATOGRAPHY; LOCALIZATION; ASPARAGINE</t>
  </si>
  <si>
    <t>Site-specific characterisation of mucin-type O-linked glycosylation is an analytical challenge due to glycan heterogeneity, lack of glycosylation site consensus sequence and high density of occupied glycosylation sites. Here, we report the use of electron transfer dissociation (ETD) for the site-specific characterisation of densely glycosylated mucin-type O-linked glycopeptides using ESI-IT-MS/MS. Synthetic glycopeptides from the human mucin-1 (MUC-1) tandem repeat region containing a range of O-linked, tumour-associated carbohydrate antigens, namely Tn, T and sialyl T, with different glycosylation site occupancies and an increasing number of tandem repeats were studied. In addition, a glycopeptide from the anti-freeze glycoprotein of Antarctic and Arctic notothenoids, bearing four O-linked, per-acetylated T antigens was characterised. ETD MS/MS of infused or capillary LC-separated glycopeptides provided broad peptide sequence coverage (c/z-type fragment ions) with intact glycans still attached to the Ser/Thr residues. Thus, the glycosylation sites were unambiguously determined, while simultaneously obtaining information about the attached glycan mass and peptide identity. Highly sialylated O-glycopeptides showed less efficient peptide fragmentation, but some sequence and glycosylation site information was still obtained. This study demonstrates the capabilities of ETD MS/MS for site-specific characterisation of mucin-type glycopeptides containing high-density O-linked glycan clusters, using accessible and relative low-resolution/low-mass accuracy IT MS instrumentation.</t>
  </si>
  <si>
    <t>[Thaysen-Andersen, Morten; Packer, Nicolle H.] Macquarie Univ, Dept Chem &amp; Biomol Sci, Sydney, NSW 2109, Australia; [Wilkinson, Brendan L.; Payne, Richard J.] Univ Sydney, Dept Chem, Sydney, NSW 2006, Australia</t>
  </si>
  <si>
    <t>Macquarie University; University of Sydney</t>
  </si>
  <si>
    <t>Thaysen-Andersen, M (corresponding author), Macquarie Univ, Dept Chem &amp; Biomol Sci, Sydney, NSW 2109, Australia.</t>
  </si>
  <si>
    <t>morten.andersen@mq.edu.au</t>
  </si>
  <si>
    <t>Packer, Nicolle/Q-8929-2019; Payne, Richard/AAH-3666-2021</t>
  </si>
  <si>
    <t>Payne, Richard/0000-0002-3618-9226; Packer, Nicolle/0000-0002-7532-4021; Wilkinson, Brendan/0000-0003-1866-6540; Thaysen-Andersen, Morten/0000-0001-8327-6843</t>
  </si>
  <si>
    <t>Danish Council for Independent Research/Natural Sciences and Macquarie University; Australian Research Council (ARC) [0986632]</t>
  </si>
  <si>
    <t>Danish Council for Independent Research/Natural Sciences and Macquarie University; Australian Research Council (ARC)(Australian Research Council)</t>
  </si>
  <si>
    <t>Dr. Frank Kjeldsen is thanked for stimulating discussions on the fundamentals of ETD fragmentation. Morten Thaysen-Andersen was supported by The Danish Council for Independent Research/Natural Sciences and Macquarie University. The synthetic work in this project was supported by the Australian Research Council (ARC Discovery Project: 0986632)</t>
  </si>
  <si>
    <t>0173-0835</t>
  </si>
  <si>
    <t>1522-2683</t>
  </si>
  <si>
    <t>Electrophoresis</t>
  </si>
  <si>
    <t>10.1002/elps.201100294</t>
  </si>
  <si>
    <t>Biochemical Research Methods; Chemistry, Analytical</t>
  </si>
  <si>
    <t>Biochemistry &amp; Molecular Biology; Chemistry</t>
  </si>
  <si>
    <t>869HD</t>
  </si>
  <si>
    <t>WOS:000298587900010</t>
  </si>
  <si>
    <t>Rhodes, L; Smith, K; Selwood, A; McNabb, P; Molenaar, S; Munday, R; Wilkinson, C; Hallegraeff, G</t>
  </si>
  <si>
    <t>Rhodes, L.; Smith, K.; Selwood, A.; McNabb, P.; Molenaar, S.; Munday, R.; Wilkinson, C.; Hallegraeff, G.</t>
  </si>
  <si>
    <t>Production of pinnatoxins E, F and G by scrippsielloid dinoflagellates isolated from Franklin Harbour, South Australia</t>
  </si>
  <si>
    <t>NEW ZEALAND JOURNAL OF MARINE AND FRESHWATER RESEARCH</t>
  </si>
  <si>
    <t>Peridiniales; scrippsielloid; pinnatoxin; toxicity; LC-MS; South Australia</t>
  </si>
  <si>
    <t>A pinnatoxin producing dinoflagellate was isolated in cyst form from sediments from Franklin Harbour, South Australia, December 2009. One isolate (CAWD180) produced pinnatoxin G, E, F and A (87, 10, 41 and 1.3 pg/cell respectively; liquid chromatograph-mass spectrometer, LC-MS, analysis) and another (CAWD183) produced pinnatoxin G only (13 pg/cell). Australian strains were identical to pinnatoxin E and F producers isolated from Northland, New Zealand (2008), based on large subunit (LSU) rDNA and ITS spacer region sequence data. Cysts were capable of division and produced more toxin per cell than the excysted motile form. Crude extracts of mass cultures were tested for toxicity in mice by intraperitoneal (i.p.) injection, gavage and voluntary consumption, and toxicity ratios were 1.0: 1.8: 4.5 (CAWD180) and 1.0: 2.9: 7.8 (CAWD183). This is similar to the ratios for New Zealand isolates, but differs from other cyclic imines for which oral toxicity can be 10-1000-fold less than i.p. administration.</t>
  </si>
  <si>
    <t>[Rhodes, L.; Smith, K.; Selwood, A.; McNabb, P.; Molenaar, S.] Cawthron Inst, Nelson, New Zealand; [Munday, R.] AgResearch, Hamilton, New Zealand; [Wilkinson, C.] Lincoln Marine Sci Ctr, Port Lincoln, SA, Australia; [Hallegraeff, G.] Univ Tasmania, Inst Marine &amp; Antarctic Studies, Hobart, Tas, Australia</t>
  </si>
  <si>
    <t>Cawthron Institute; AgResearch - New Zealand; University of Tasmania</t>
  </si>
  <si>
    <t>Rhodes, L (corresponding author), Cawthron Inst, Nelson, New Zealand.</t>
  </si>
  <si>
    <t>Lesley.Rhodes@cawthron.org.nz</t>
  </si>
  <si>
    <t>Selwood, Andrew/ABG-8021-2022; Selwood, Andrew/AAP-7550-2020; Hallegraeff, Gustaaf/C-8351-2013</t>
  </si>
  <si>
    <t>Selwood, Andrew/0000-0003-1399-8028; Selwood, Andrew/0000-0003-1399-8028; Hallegraeff, Gustaaf/0000-0001-8464-7343</t>
  </si>
  <si>
    <t>NZ Foundation for RST [CAW0703]</t>
  </si>
  <si>
    <t>NZ Foundation for RST</t>
  </si>
  <si>
    <t>Thanks for technical help to Janet Adamson (mass cultures) and Roel van Ginkel (LC-MS analyses). The study was funded by NZ Foundation for RST, Contract CAW0703.</t>
  </si>
  <si>
    <t>0028-8330</t>
  </si>
  <si>
    <t>1175-8805</t>
  </si>
  <si>
    <t>NEW ZEAL J MAR FRESH</t>
  </si>
  <si>
    <t>N. Z. J. Mar. Freshw. Res.</t>
  </si>
  <si>
    <t>10.1080/00288330.2011.586041</t>
  </si>
  <si>
    <t>880RM</t>
  </si>
  <si>
    <t>WOS:000299424600011</t>
  </si>
  <si>
    <t>Begovic, N; Markovic, Z; Anic, S</t>
  </si>
  <si>
    <t>Begovic, N.; Markovic, Z.; Anic, S.</t>
  </si>
  <si>
    <t>Kinetics of thermal reaction HOCl a⇆ H(2S)+OCl(X2Ii) in gas phase</t>
  </si>
  <si>
    <t>RUSSIAN JOURNAL OF PHYSICAL CHEMISTRY A</t>
  </si>
  <si>
    <t>kinetics; thermal reactions; HOCl; equilibrium constant; rate constant; activation energy</t>
  </si>
  <si>
    <t>MOLECULAR-ORBITAL METHODS; ANTARCTIC OZONE</t>
  </si>
  <si>
    <t>The kinetics of gas reaction HOCI (kf)reversible arrow H-kr(S-2)+OC1(X-2 Pi I) was analyzed by the MP4 method. In the temperature range of 100-373 K the rate constants k (f) and k (r) and equilibrium constant K were changed from 1.10 x 10(-220) to 1.17 x 10(-52) s(-1), from 2.89 x 10(-16) to 1.68 x 10(-5)s(-1) and from 3.80 x 10(-205) to 6.96 x 10(-48) respectively. In the above temperature range, the activation energy of the forward reaction (E (f)) is 105.05 kcal/mol. In the same temperature interval there are two kinetic domains for the reverse reaction with activation energies (E (r1) = 5.53 kcal/mol when T is 100-273 K and E (r2) = 14.50 kcal/mol when T is 273-373 K, respectively.</t>
  </si>
  <si>
    <t>[Begovic, N.] Inst Gen &amp; Phys Chem, Belgrade, Serbia; [Markovic, Z.] State Univ Novi Pazar, Novi Pazar, Serbia; [Anic, S.] Inst Chem Technol &amp; Met, Belgrade 11000, Serbia</t>
  </si>
  <si>
    <t>University of Belgrade; University of Belgrade</t>
  </si>
  <si>
    <t>Begovic, N (corresponding author), Inst Gen &amp; Phys Chem, Belgrade, Serbia.</t>
  </si>
  <si>
    <t>nbegovic@iofh.bg.ac.rs</t>
  </si>
  <si>
    <t>Markovic, Zoran/0000-0001-5964-049X</t>
  </si>
  <si>
    <t>Ministry for Science of the Republic of Serbia [172015, 45001]</t>
  </si>
  <si>
    <t>Ministry for Science of the Republic of Serbia(Ministry of Education, Science &amp; Technological Development, Serbia)</t>
  </si>
  <si>
    <t>This work was partially supported by the Ministry for Science of the Republic of Serbia (grant nos. 172015 and 45001).</t>
  </si>
  <si>
    <t>MAIK NAUKA/INTERPERIODICA/SPRINGER</t>
  </si>
  <si>
    <t>233 SPRING ST, NEW YORK, NY 10013-1578 USA</t>
  </si>
  <si>
    <t>0036-0244</t>
  </si>
  <si>
    <t>1531-863X</t>
  </si>
  <si>
    <t>RUSS J PHYS CHEM A+</t>
  </si>
  <si>
    <t>Russ. J. Phys. Chem. A</t>
  </si>
  <si>
    <t>10.1134/S0036024411130048</t>
  </si>
  <si>
    <t>Chemistry, Physical</t>
  </si>
  <si>
    <t>860BY</t>
  </si>
  <si>
    <t>WOS:000297922700008</t>
  </si>
  <si>
    <t>Grilli, MG; Libertelli, M; Montalti, D</t>
  </si>
  <si>
    <t>Grana Grilli, Maricel; Libertelli, Marcela; Montalti, Diego</t>
  </si>
  <si>
    <t>Diet of South Polar Skua Chicks in Two Areas of Sympatry with Brown Skua</t>
  </si>
  <si>
    <t>WATERBIRDS</t>
  </si>
  <si>
    <t>Antarctica; chick diet; Stercorarius antarcticus; Stercorarius maccormicki; stomach contents</t>
  </si>
  <si>
    <t>C-ANTARCTICA-LONNBERGI; CATHARACTA-MACCORMICKI; FOOD; PENINSULA; ISLAND; POINT; FISH</t>
  </si>
  <si>
    <t>The food provided to South Polar Skuas (Stercorarius maccormicki) chicks was determined at two Antarctic sites where South Polar Skuas breed sympatrically with Brown Skuas (S. antarcticus). At Harmony Point on Nelson Island, 16 samples of regurgitated stomach contents were analyzed, all contained remains of penguin chicks (mostly soft tissues), which constituted the bulk of the contents, while only two samples had fish or krill remains. These South Polar Skuas had access to penguin colonies, where they hunted chicks or fed on fresh carcasses. However, at Half Moon Island, only two out of nine samples contained minor amounts of penguin remains while fish were the major dietary resource. The high fish content in their diet may indicate a preference for marine rather than terrestrial resources or be the result of competition with Brown Skuas. The variability in food items evidenced by the differences in regurgitated stomach contents indicates that South Polar Skuas may have a trophic plasticity that allows them to change their feeding habits from one resource to another one according to availability. Such may make them less vulnerable to a reduction in the availability of a particular food item. Received 11 March 2011, accepted 27 August 2011.</t>
  </si>
  <si>
    <t>[Grana Grilli, Maricel; Libertelli, Marcela; Montalti, Diego] CONICET Inst Antartico Argentino, Buenos Aires, DF, Argentina; [Montalti, Diego] Univ Nacl La Plata, Secc Ornitol, Fac Ciencias Nat &amp; Museo, La Plata, Buenos Aires, Argentina</t>
  </si>
  <si>
    <t>Instituto Antartico Argentino; National University of La Plata; Museo La Plata</t>
  </si>
  <si>
    <t>Grilli, MG (corresponding author), CONICET Inst Antartico Argentino, Cerrito 1248,C1010AAZ, Buenos Aires, DF, Argentina.</t>
  </si>
  <si>
    <t>ggmaricel@gmail.com</t>
  </si>
  <si>
    <t>Grana Grilli, Maricel/0000-0002-6209-5872</t>
  </si>
  <si>
    <t>Instituto Antartico Argentino</t>
  </si>
  <si>
    <t>We thank C. Garcia Esponda for participation in the fieldwork. Instituto Antartico Argentino provided logistic and financial support and its Program of Environmental Management and Tourism gave D. Montalti the approval and the protocol of ethical conditions under which this work was carried out. We are grateful to D. Brooks and the Editorial Assistance Program of the Association of Field Ornithologists and P. Whitford who, through that program, improved the English and commented on the manuscript and B. Wienecke for further improvements to the manuscript.</t>
  </si>
  <si>
    <t>WATERBIRD SOC</t>
  </si>
  <si>
    <t>NATL MUSEUM NATURAL HISTORY SMITHSONIAN INST, WASHINGTON, DC 20560 USA</t>
  </si>
  <si>
    <t>1524-4695</t>
  </si>
  <si>
    <t>Waterbirds</t>
  </si>
  <si>
    <t>10.1675/063.034.0412</t>
  </si>
  <si>
    <t>881CQ</t>
  </si>
  <si>
    <t>WOS:000299458500012</t>
  </si>
  <si>
    <t>Jung, SJA; Kroon, D</t>
  </si>
  <si>
    <t>Jung, S. J. A.; Kroon, D.</t>
  </si>
  <si>
    <t>Quantifying rates of change in ocean conditions with implications for timing of sea level change</t>
  </si>
  <si>
    <t>millennial-scale; bi-polar seesaw; AAIW; rate of change; sea level change</t>
  </si>
  <si>
    <t>LAST GLACIAL CYCLE; MILLENNIAL-SCALE; CLIMATE-CHANGE; HEINRICH EVENTS; WATER MASSES; TIME SCALES; ICE; GREENLAND; CIRCULATION; OSCILLATIONS</t>
  </si>
  <si>
    <t>The importance of southern hemisphere driven climate change is increasingly recognized in paleoclimate research. This is in particular relevant with regard to the rate of climate change initiated in the southern hemisphere and the phasing thereof compared to climate variability elsewhere. Here, we use previously published benthic oxygen isotope data from two deep sea sediment cores from the deep N-Atlantic and the intermediate depth Indian Ocean to quantify rates of oceanic change at the millennial-scale. The oxygen isotope data represent an integrated signal of temperature and global sea level changes. At both locations the sea surface ocean records strongly resemble Greenland climate change. When used to synchronize these surface ocean records with the GISP2 ice core chronology we show that the highest rates of change in the benthic oxygen isotope records, occur during late marine isotope stage 5 (MIS 5), MIS 3 and the last deglaciation, whilst generally modest rates of change prevail during the full glacial conditions of MIS 2. The synchronous variation of oceanic rates of change and Antarctic climate history suggests that the benthic oxygen isotope records from the glacial deep N-Atlantic and the intermediate Indian Ocean reflect variations in southern sourced Antarctic Bottom Water (AABW) and Glacial Antarctic Intermediate Water (GAAIW) respectively. Millennial-scale temperature variations in GAAIW are larger than in AABW. The repeated rapid heat storage in GAAIW during northern hemisphere cold phases points to an important role of GAAIW, potentially acting as an energy buffer, maintaining the pole-to-pole climate imbalance as part of the bi-polar seesaw. Combining the benthic oxygen isotope records with independent sea level records shows a pulsed sea level rise history during the deglaciation with conservative estimates of peak rates change of about similar to 2 m/100 yr. Similar rates of sea level change occurred during most Heinrich Events. (C) 2010 Elsevier B.V. All rights reserved.</t>
  </si>
  <si>
    <t>[Jung, S. J. A.; Kroon, D.] Univ Edinburgh, Sch GeoSci, Grant Inst, Edinburgh EH9 3JW, Midlothian, Scotland</t>
  </si>
  <si>
    <t>University of Edinburgh</t>
  </si>
  <si>
    <t>Jung, SJA (corresponding author), Univ Edinburgh, Sch GeoSci, Grant Inst, Kings Bldg,W Mains Rd, Edinburgh EH9 3JW, Midlothian, Scotland.</t>
  </si>
  <si>
    <t>Simon-Jung@ed.ac.uk</t>
  </si>
  <si>
    <t>Vrije Universiteit Amsterdam; Netherlands Science Foundation (NWO); European Science Foundation (ESF); National Enviromental Research Council [924.0501]; NERC Radiocarbon Laboratory; NERC [NRCF010001, NE/G01602X/1, NE/G000980/1, NE/I01599X/1] Funding Source: UKRI; Natural Environment Research Council [NRCF010001, NE/I01599X/1, NE/G01602X/1, NE/G000980/1] Funding Source: researchfish</t>
  </si>
  <si>
    <t>Vrije Universiteit Amsterdam; Netherlands Science Foundation (NWO)(Netherlands Organization for Scientific Research (NWO)); European Science Foundation (ESF)(European Science Foundation (ESF)); National Enviromental Research Council; NERC Radiocarbon Laboratory; NERC(UK Research &amp; Innovation (UKRI)Natural Environment Research Council (NERC)); Natural Environment Research Council(UK Research &amp; Innovation (UKRI)Natural Environment Research Council (NERC))</t>
  </si>
  <si>
    <t>We thank three anonymous reviewers and Eric Wolff for their very constructive comments on initial versions of the paper. The present study was generously supported by the Vrije Universiteit Amsterdam, the Netherlands Science Foundation (NWO) and the European Science Foundation (ESF-project VAMOC). AMS14C dates for core NIOP 905 were funded by the Vrije Universiteit Amsterdam. Additional dates were funded by the National Enviromental Research Council (allocation number 924.0501) and provided by the NERC Radiocarbon Laboratory.</t>
  </si>
  <si>
    <t>10.1016/j.gloplacha.2010.11.004</t>
  </si>
  <si>
    <t>859OU</t>
  </si>
  <si>
    <t>WOS:000297886500005</t>
  </si>
  <si>
    <t>Koplovitz, G; McClintock, JB; Amsler, CD; Baker, BJ</t>
  </si>
  <si>
    <t>Koplovitz, Gil; McClintock, James B.; Amsler, Charles D.; Baker, Bill J.</t>
  </si>
  <si>
    <t>A comprehensive evaluation of the potential chemical defenses of antarctic ascidians against sympatric fouling microorganisms</t>
  </si>
  <si>
    <t>MARINE BIOLOGY</t>
  </si>
  <si>
    <t>BACTERIAL EPIBIOSIS; MARINE EPIBIOSIS; POTTER COVE; PROCHLORON; ECOLOGY; DIVERSITY; HEMOCYTES; DIATOMS; CELLS; ANTIBACTERIAL</t>
  </si>
  <si>
    <t>The present study analyzed the bioactivity of whole body extracts from six solitary and eight colonial ascidian taxa against 20 sympatric bacterial isolates and one sympatric diatom species from the Western Antarctic Peninsula. Ascidians had crude lipophilic and hydrophilic extracts assayed against 20 bacterial strains. The lipophilic extract of one ascidian caused growth inhibition in all bacterial isolates at 39 tissue-level concentrations. The lipophilic and hydrophilic extracts were fractionated into seawater-soluble and insoluble fractions and assayed at three concentrations against a sympatric diatom species. Significant diatom mortality was detected at 39 and 19 concentrations in all but one ascidian taxon. Lipophilic fractions caused higher diatom mortality than hydrophilic extracts. The specificity of secondary metabolites against diatom fouling and the lack of activity against bacteria suggest high selective pressure for chemical defenses against diatom fouling or the potential that bacterial pathogens are controlled by the ascidian immune system.</t>
  </si>
  <si>
    <t>[Koplovitz, Gil; McClintock, James B.; Amsler, Charles D.] Univ Alabama Birmingham, Dept Biol, Birmingham, AL 35294 USA; [Baker, Bill J.] Univ S Florida, Dept Chem, Tampa, FL 33620 USA</t>
  </si>
  <si>
    <t>University of Alabama System; University of Alabama Birmingham; State University System of Florida; University of South Florida</t>
  </si>
  <si>
    <t>McClintock, JB (corresponding author), Univ Alabama Birmingham, Dept Biol, 1300 Univ Blvd,Campbell Hall 368, Birmingham, AL 35294 USA.</t>
  </si>
  <si>
    <t>gilkop@gmail.com; mcclinto@uab.edu</t>
  </si>
  <si>
    <t>Baker, Bill/N-4312-2019</t>
  </si>
  <si>
    <t>Amsler, Charles/0000-0002-4843-3759</t>
  </si>
  <si>
    <t>NSF [OPP-0442769, OPP-0442857]; University of Alabama at Birmingham</t>
  </si>
  <si>
    <t>NSF(National Science Foundation (NSF)); University of Alabama at Birmingham</t>
  </si>
  <si>
    <t>We thank Margaret Amsler, Craig Aumack, Jill Zamzow, and Philip Bucolo for their assistance with field collections. We are very grateful to Linda Cole at the Smithsonian Institution in Washington, DC, for her assistance with ascidian taxonomy. We wish to acknowledge the generous logistical support provided by those individuals employed by Raytheon Polar Services Company. This research was facilitated by NSF awards to CDA and JBM (OPP-0442769) and to BJB (OPP-0442857). JBM acknowledges the support of an Endowed Research Professorship in Polar and Marine Biology through the University of Alabama at Birmingham.</t>
  </si>
  <si>
    <t>SPRINGER HEIDELBERG</t>
  </si>
  <si>
    <t>HEIDELBERG</t>
  </si>
  <si>
    <t>TIERGARTENSTRASSE 17, D-69121 HEIDELBERG, GERMANY</t>
  </si>
  <si>
    <t>0025-3162</t>
  </si>
  <si>
    <t>1432-1793</t>
  </si>
  <si>
    <t>MAR BIOL</t>
  </si>
  <si>
    <t>Mar. Biol.</t>
  </si>
  <si>
    <t>10.1007/s00227-011-1764-x</t>
  </si>
  <si>
    <t>877LL</t>
  </si>
  <si>
    <t>WOS:000299182500005</t>
  </si>
  <si>
    <t>Leaper, R; Miller, C</t>
  </si>
  <si>
    <t>Leaper, Rebecca; Miller, Cara</t>
  </si>
  <si>
    <t>Management of Antarctic baleen whales amid past exploitation, current threats and complex marine ecosystems</t>
  </si>
  <si>
    <t>ANTARCTIC SCIENCE</t>
  </si>
  <si>
    <t>cetaceans; marine ecosystem management; recovery; Southern Ocean</t>
  </si>
  <si>
    <t>SEA-ICE EXTENT; MEGAPTERA-NOVAEANGLIAE; TEMPORAL VARIATION; SOUTHERN-OCEAN; MINKE WHALES; HUMPBACK; DECLINE; KRILL; CONTAMINANTS; MOVEMENTS</t>
  </si>
  <si>
    <t>As baleen whales recover from severe exploitation, they are probably subject to a wide variety of threats within the Antarctic marine ecosystem, including directed take. Here we review both the management and current status of Antarctic baleen whales and consider those threats likely to impact on them. Threats range from global problems - marine pollution and climate change - to localized issues including shipping, habitat disturbance, unregulated wildlife tourism and fishery activities. We identify the most pressing anthropogenic threats to baleen whales including scientific whaling and climate change. It is unclear whether current management approaches will be able to effectively encompass all these threats while also accounting both for the differing levels of scientific understanding and for the differing recovery rates of the whale species. For management we recommend the following: 1) incorporation of both ecosystem considerations and the suite of identified threats not limited to direct take, 2) identification of measurable indicators of changes in whales that allow more certainty in monitoring of populations and the environment, and 3) recognition of significant relationships between baleen whales and habitat features to provide information on distribution and use.</t>
  </si>
  <si>
    <t>[Leaper, Rebecca] Univ Tasmania, Inst Marine &amp; Antarctic Studies, Hobart, Tas 7001, Australia; [Miller, Cara] Flinders Univ S Australia, Sch Biol Sci, Adelaide, SA 5001, Australia; [Miller, Cara] Whale &amp; Dolphin Conservat Soc Int, Suva, Fiji; [Miller, Cara] Univ S Pacific, Inst Marine Resources, Suva, Fiji</t>
  </si>
  <si>
    <t>University of Tasmania; Flinders University South Australia; University of the South Pacific</t>
  </si>
  <si>
    <t>Leaper, R (corresponding author), Univ Tasmania, Inst Marine &amp; Antarctic Studies, Locked Bag 49, Hobart, Tas 7001, Australia.</t>
  </si>
  <si>
    <t>rebecca.leaper@utas.edu.au</t>
  </si>
  <si>
    <t>Miller, Cara/0000-0002-6642-918X</t>
  </si>
  <si>
    <t>32 AVENUE OF THE AMERICAS, NEW YORK, NY 10013-2473 USA</t>
  </si>
  <si>
    <t>0954-1020</t>
  </si>
  <si>
    <t>1365-2079</t>
  </si>
  <si>
    <t>ANTARCT SCI</t>
  </si>
  <si>
    <t>Antarct. Sci.</t>
  </si>
  <si>
    <t>10.1017/S0954102011000708</t>
  </si>
  <si>
    <t>Environmental Sciences; Geography, Physical; Geosciences, Multidisciplinary</t>
  </si>
  <si>
    <t>865BQ</t>
  </si>
  <si>
    <t>WOS:000298286200002</t>
  </si>
  <si>
    <t>Cowie, ROM; Maas, EW; Ryan, KG</t>
  </si>
  <si>
    <t>Cowie, Rebecca O. M.; Maas, Elizabeth W.; Ryan, Ken G.</t>
  </si>
  <si>
    <t>Archaeal diversity revealed in Antarctic sea ice</t>
  </si>
  <si>
    <t>16S rRNA; prokaryotes; microbial communities; SIMCO</t>
  </si>
  <si>
    <t>BACTERIAL COMMUNITIES; PLANKTONIC ARCHAEA; COASTAL WATERS; SOUTHERN-OCEAN; ARCTIC-OCEAN; ASSEMBLAGES; ENVIRONMENT; PHYLOTYPES; ABUNDANCE; PROPOSAL</t>
  </si>
  <si>
    <t>Archaea, once thought to be only extremophiles, are now known to be abundant in most environments. They can predominate in microbial communities and be significantly involved in many global biogeochemical cycles. However, Archaea have not been reported in Antarctic sea ice. Our understanding of the ecology of Antarctic sea ice prokaryotes is still in its infancy but this information is important if we are to understand their diversity, adaptations and biogeochemical roles in Antarctic systems. We detected Archaea in sea ice at two sampling sites taken from three subsequent years using conserved 16S rRNA gene archaeal primers and PCR. Archaeal abundance was measured using quantitative PCR and community diversity was investigated by sequencing cloned 16S rRNA gene PCR products. Archaea in Antarctic sea ice were found to be in low abundance consisting of &lt;= 6.6% of the prokaryotic community. The majority, 90.8% of the sequences, clustered with the recently described phylum Thaumarchaeota, one group closely clustered with the ammonia-oxidizing Candidatus Nitrosopumilus maritimus. The remainder of the clones grouped with the Euryarchaeota.</t>
  </si>
  <si>
    <t>[Cowie, Rebecca O. M.; Ryan, Ken G.] Victoria Univ Wellington, Sch Biol Sci, Wellington 6010, New Zealand; [Cowie, Rebecca O. M.; Maas, Elizabeth W.] Natl Inst Water &amp; Atmospher Res NIWA, Wellington, New Zealand</t>
  </si>
  <si>
    <t>Victoria University Wellington; National Institute of Water &amp; Atmospheric Research (NIWA) - New Zealand</t>
  </si>
  <si>
    <t>Ryan, KG (corresponding author), Victoria Univ Wellington, Sch Biol Sci, Wellington 6010, New Zealand.</t>
  </si>
  <si>
    <t>ken.ryan@vuw.ac.nz</t>
  </si>
  <si>
    <t>Ryan, Ken/F-5652-2013</t>
  </si>
  <si>
    <t>Ryan, Ken/0000-0001-7075-0112</t>
  </si>
  <si>
    <t>Foundation of Research Science and Technology (FRST) [VICX0706]</t>
  </si>
  <si>
    <t>Foundation of Research Science and Technology (FRST)(New Zealand Foundation for Research, Science and Technology)</t>
  </si>
  <si>
    <t>The authors would like to thank the anonymous reviewers for their invaluable comments that improved the quality of the paper. The authors also thank Antarctica New Zealand for logistical support, especially Shulamit Gordon and Brian Staite. We would also like to thank Andrew Martin, Eileen Koh, Stuart Donachie, Libby Liggins, Daniel McNaughtan and Simon Davy for assistance with sample collection. KGR acknowledges the support of the Foundation of Research Science and Technology (FRST): contract number VICX0706. This research was also funded in part by a FRST scholarship awarded to ROMC.</t>
  </si>
  <si>
    <t>10.1017/S0954102011000368</t>
  </si>
  <si>
    <t>WOS:000298286200003</t>
  </si>
  <si>
    <t>Muñoz, PA; Flores, PA; Boehmwald, FA; Blamey, JM</t>
  </si>
  <si>
    <t>Munoz, Patricio A.; Flores, Patricio A.; Boehmwald, Freddy A.; Blamey, Jenny M.</t>
  </si>
  <si>
    <t>Thermophilic bacteria present in a sample from Fumarole Bay, Deception Island</t>
  </si>
  <si>
    <t>Antarctica; DGGE; South Shetland Islands; thermophiles</t>
  </si>
  <si>
    <t>GRADIENT GEL-ELECTROPHORESIS; NORTHERN VICTORIA LAND; SP-NOV.; GEOTHERMAL ENVIRONMENTS; 16S RDNA; BACILLUS; SOILS; POPULATIONS; ANTARCTICA; DIVERSITY</t>
  </si>
  <si>
    <t>Deception Island, an active stratovolcano located in the South Shetland Islands, Antarctica, provides excellent conditions for the thermophilic bacteria growth because of high ground temperatures in specific areas, such as Fumarole Bay where the temperatures are above the mesophilic range. Denaturing Gradient Gel Electrophoresis (DGGE) was used with the 16S ribosomal gene to analyse cultures of thermophilic bacteria from a soil sample taken from Fumarole Bay. Nine bands were sequenced and analysed from DGGE and they indicated the presence of bacteria from the genera Geobacillus, Bacillus, Brevibacillus, Thermus and uncultured sulphate reducing bacteria. Some of which have been reported in other Antarctic geothermal sites. Geobacillus, Bacillus and Brevibacillus genera were successfully cultivated in an enriched medium. A pure culture of one thermophilic Geobacillus bacterium was obtained closely related to Geobacillus jurassicus.</t>
  </si>
  <si>
    <t>[Munoz, Patricio A.; Flores, Patricio A.; Boehmwald, Freddy A.; Blamey, Jenny M.] Fdn Cient &amp; Cultural Biociencia, Santiago, Chile; [Munoz, Patricio A.; Flores, Patricio A.] Univ Santiago Chile, Santiago, Chile</t>
  </si>
  <si>
    <t>Universidad de Santiago de Chile</t>
  </si>
  <si>
    <t>Muñoz, PA (corresponding author), Fdn Cient &amp; Cultural Biociencia, Jose Domingo Canas 2280, Santiago, Chile.</t>
  </si>
  <si>
    <t>pmunoz@bioscience.cl</t>
  </si>
  <si>
    <t>Blamey, Jenny M/M-2637-2014</t>
  </si>
  <si>
    <t>Blamey, Jenny M/0000-0002-7640-316X; Flores, Patricio/0009-0004-2489-187X</t>
  </si>
  <si>
    <t>Instituto Antartico Chileno [G01-07]</t>
  </si>
  <si>
    <t>Instituto Antartico Chileno</t>
  </si>
  <si>
    <t>We would like to thank Instituto Antartico Chileno for its support. This work was founded by project Gabinete G01-07 from Instituto Antartico Chileno. We thank British Antarctic Survey for providing us with the map of Deception Island. We thank the reviewers and the editor for their helpful and constructive comments.</t>
  </si>
  <si>
    <t>10.1017/S0954102011000393</t>
  </si>
  <si>
    <t>WOS:000298286200005</t>
  </si>
  <si>
    <t>Préndez, M; Barra, C; Toledo, C; Richter, P</t>
  </si>
  <si>
    <t>Prendez, Margarita; Barra, Carolina; Toledo, Carla; Richter, Pablo</t>
  </si>
  <si>
    <t>Alkanes and polycyclic aromatic hydrocarbons in marine surficial sediment near Antarctic stations at Fildes Peninsula, King George Island</t>
  </si>
  <si>
    <t>PAHs; pollution; South Shetland Islands</t>
  </si>
  <si>
    <t>DIAGNOSTIC RATIOS; SURFACE SEDIMENTS; ADMIRALTY BAY; SEA; CONTAMINATION; ENVIRONMENT; IDENTIFICATION; IMPACTS; SPILL</t>
  </si>
  <si>
    <t>Alkanes and polycyclic aromatic hydrocarbons were quantified in samples of coastal sediments along Fildes Peninsula, King George Island, South Shetland Islands, Antarctica, during the summers of 2005 and 2007. Quantification was done by using GC-MS and applying the EPA 3550B method. Individual polycyclic aromatic hydrocarbon (PAHs) concentrations were below 14.4 ng g(-1) dry wt in 2005 and below 88.7 ng g(-1) dry wt in 2007. Alkanes concentrations were higher than those of PAHs and ranged from 8 to 2236 ng g(-1) dry wt in 2005 and from 53 to 745 ng g(-1) dry wt in 2007. Results of total PAHs and alkanes were integrated along with base administrative and geographic maps in a GIS environment to determine the geographic extent of hydrocarbons detected. The largest concentrations were found in areas near research stations where total n-alkanes suggest petrogenic sources and where some diagnostic ratios suggest the presence of some PAHs produced by pyrogenic processes. Even if concentrations of hydrocarbons are low, they seem to be a result of increases in scientific activities, in the activities of the stable population, in the number of tourists, or a combination of theses factors.</t>
  </si>
  <si>
    <t>[Prendez, Margarita; Barra, Carolina] Univ Chile, Dept Quim Organ &amp; Fis Quim, Lab Quim Atmosfera, Fac Ciencias Quim &amp; Farmaceut, Santiago, Chile; [Toledo, Carla; Richter, Pablo] Univ Chile, Dept Quim Inorgan &amp; Analit, Fac Ciencias Quim &amp; Farmaceut, Santiago, Chile</t>
  </si>
  <si>
    <t>Universidad de Chile; Universidad de Chile</t>
  </si>
  <si>
    <t>Préndez, M (corresponding author), Univ Chile, Dept Quim Organ &amp; Fis Quim, Lab Quim Atmosfera, Fac Ciencias Quim &amp; Farmaceut, Sergio Livingston 1007, Santiago, Chile.</t>
  </si>
  <si>
    <t>mprendez@ciq.uchile.cl</t>
  </si>
  <si>
    <t>Toledo Neira, Carla Beatriz/0000-0003-2872-3043; Richter, Pablo/0000-0002-7978-0657</t>
  </si>
  <si>
    <t>Chilean Antarctic Institute [04/03, T 02_07]</t>
  </si>
  <si>
    <t>Chilean Antarctic Institute</t>
  </si>
  <si>
    <t>This research was supported by the Chilean Antarctic Institute, Projects 04/03 and T 02_07. The authors thank the anonymous reviewers for their valuable comments and suggestions as well as Dr B. Didyk's useful intellectual discussion, all which certainly improve this work.</t>
  </si>
  <si>
    <t>10.1017/S0954102011000563</t>
  </si>
  <si>
    <t>WOS:000298286200008</t>
  </si>
  <si>
    <t>Jouandet, MP; Blain, S; Metzl, N; Mongin, M</t>
  </si>
  <si>
    <t>Jouandet, Marie Paule; Blain, Stephane; Metzl, Nicolas; Mongin, Mathieu</t>
  </si>
  <si>
    <t>Interannual variability of net community production and air-sea CO2 flux in a naturally iron fertilized region of the Southern Ocean (Kerguelen Plateau)</t>
  </si>
  <si>
    <t>Antarctic waters; biogeochemical model; carbon flux</t>
  </si>
  <si>
    <t>GAS-EXCHANGE; ROSS SEA; CARBON; SECTOR; NUTRIENT; DIATOMS; CYCLES; RATIOS; IMPACT; BLOOM</t>
  </si>
  <si>
    <t>The interannual variability of net community production (NCP) and air-sea CO2 flux in a naturally iron fertilized and productive area of the Southern Ocean (Kerguelen plateau) was investigated using a 1D biogeochemical model driven by satellite chlorophyll, sea surface temperature and wind speed data for the 1997-2007 period. The model simulates the low fCO(2) and dissolved inorganic carbon (DIC) measured during summers 2004-05, 2005-06, 2006-07 and the high NCP derived from a seasonal carbon budget in the surface waters of these blooms. Although satellite data show high interannual variability in the dynamics and magnitude of the bloom during the 1997-2007 decade, the simulated interannual variability of the NCP was only +/- 14%. This unexpected result could be due to the combined effect of both the duration and the start date of the bloom, the latter determining the depth of the mixed layer used to compute the NCP. In the productive area, the interannual variability of air-sea CO2 flux (+/- 13%) was not only driven by the biological effect but also by the solubility effect. Our results contrast with previous studies in the high nutrient, low chlorophyll regions of the Southern Ocean.</t>
  </si>
  <si>
    <t>[Jouandet, Marie Paule] Lab Oceanog Phys &amp; Biogeochim, F-13288 Marseille 09, France; [Blain, Stephane] CNRS, UMR7621, LOMIC, Observ Oceanol, F-66650 Banyuls Sur Mer, France; [Blain, Stephane] Univ Paris 06, UPMC, UMR 7621, Observ Oceanol,LOMIC, F-66650 Banyuls Sur Mer, France; [Metzl, Nicolas] Univ Paris 06, CNRS, UMR 7159, LOCEAN IPSL, F-75252 Paris 5, France; [Mongin, Mathieu] CSIRO Marine &amp; Atmospher Res, Hobart, Tas 7001, Australia</t>
  </si>
  <si>
    <t>Centre National de la Recherche Scientifique (CNRS); CNRS - National Institute for Earth Sciences &amp; Astronomy (INSU); Sorbonne Universite; Sorbonne Universite; Centre National de la Recherche Scientifique (CNRS); CNRS - National Institute for Earth Sciences &amp; Astronomy (INSU); Centre National de la Recherche Scientifique (CNRS); CNRS - National Institute for Earth Sciences &amp; Astronomy (INSU); Sorbonne Universite; Museum National d'Histoire Naturelle (MNHN); Commonwealth Scientific &amp; Industrial Research Organisation (CSIRO)</t>
  </si>
  <si>
    <t>Jouandet, MP (corresponding author), Lab Oceanog Phys &amp; Biogeochim, Campus Luminy,Case 901, F-13288 Marseille 09, France.</t>
  </si>
  <si>
    <t>MariePaule.Jouandet@utas.edu.au</t>
  </si>
  <si>
    <t>mongin, mathieu/G-4169-2015; blain, stephane/F-6917-2010</t>
  </si>
  <si>
    <t>mongin, mathieu/0000-0001-9647-0530; metzl, nicolas/0000-0002-1165-1074; blain, stephane/0000-0002-5234-2446</t>
  </si>
  <si>
    <t>INSU; IPEV; Institut Pierre Simon Laplace (IPSL)</t>
  </si>
  <si>
    <t>INSU(Centre National de la Recherche Scientifique (CNRS)); IPEV; Institut Pierre Simon Laplace (IPSL)</t>
  </si>
  <si>
    <t>Thanks to the Kerguelen Ocean and Plateau Compared Study (KEOPS) and the Ocean Indian Service Observation (OISO) shipboard science team and the officers and crew of RV Marion Dufresne for their efforts. The OISO program is supported by INSU, IPEV and Institut Pierre Simon Laplace (IPSL). We also thank two anonymous referees for their valuable comments.</t>
  </si>
  <si>
    <t>10.1017/S0954102011000411</t>
  </si>
  <si>
    <t>WOS:000298286200009</t>
  </si>
  <si>
    <t>Streng, M; Esper, O; Wollenburg, J</t>
  </si>
  <si>
    <t>Streng, Michael; Esper, Oliver; Wollenburg, Jutta</t>
  </si>
  <si>
    <t>Calcareous dinoflagellate cysts from the Pleistocene (Marine Isotope Stage 31) of the Ross Sea, Antarctica</t>
  </si>
  <si>
    <t>Cape Roberts project; Caracomia; cyst ultrastructure; foraminifera; palaeoenvironment; Thoracosphaera</t>
  </si>
  <si>
    <t>OCEAN</t>
  </si>
  <si>
    <t>Following a report of supposed fragments of calcareous dinoflagellate cysts from a Pleistocene drill core (CRP-1) recovered in the Ross Sea, Antarctica, sediments of the same core were re-investigated for their microfossil content. Besides common foraminifera and other microfossils, rare complete cysts of calcareous dinoflagellates were found. All cysts belong to the species Caracomia arctica (Gilbert &amp; Clark, 1983) Streng, Hildebrand-Habel &amp; Willems, 2002, a taxon characteristic of late Neogene high latitude, coldwater environments. Two morphotypes can be distinguished, C. arctica f. arctica and C. arctica f. rossensis, of which the latter is described as a new form. The presence of C. arctica strengthens diatom-based palaeoenvironmental reconstructions of periodical sea ice-free conditions at the time of deposition. Accordingly, cysts of C. arctica are interpreted as resting cysts that allow survival during harsh intervals of the high latitude environment. Previously reported calcareous dinoflagellates cyst fragments from these sediments are re-interpreted as test fragments of bilamellar foraminifera, which represent the most common group of foraminifers in the sediments.</t>
  </si>
  <si>
    <t>[Streng, Michael] Uppsala Univ, Dept Earth Sci, Palaeobiol Programme, S-75236 Uppsala, Sweden; [Esper, Oliver; Wollenburg, Jutta] Alfred Wegener Inst Polar &amp; Marine Res, D-27568 Bremerhaven, Germany</t>
  </si>
  <si>
    <t>Uppsala University; Helmholtz Association; Alfred Wegener Institute, Helmholtz Centre for Polar &amp; Marine Research</t>
  </si>
  <si>
    <t>Streng, M (corresponding author), Uppsala Univ, Dept Earth Sci, Palaeobiol Programme, Villavagen 16, S-75236 Uppsala, Sweden.</t>
  </si>
  <si>
    <t>michael.streng@geo.uu.se</t>
  </si>
  <si>
    <t>Esper, Oliver/0000-0002-4342-3471; Streng, Michael/0000-0001-7790-0478; Wollenburg, Jutta/0000-0002-8169-8310</t>
  </si>
  <si>
    <t>Swedish Research Council (Vetenskapsradet)</t>
  </si>
  <si>
    <t>Swedish Research Council (Vetenskapsradet)(Swedish Research Council)</t>
  </si>
  <si>
    <t>Funding by the Swedish Research Council (Vetenskapsradet) to MS is acknowledged. Gary Wife (Uppsala) helped with SEM photography of the uncoated specimen. We thank S. Meier (Kiel), an anonymous reviewer, and the editor for their critical comments and efforts on an earlier version of the manuscript.</t>
  </si>
  <si>
    <t>10.1017/S0954102011000605</t>
  </si>
  <si>
    <t>WOS:000298286200010</t>
  </si>
  <si>
    <t>Jadwiszczak, P</t>
  </si>
  <si>
    <t>Jadwiszczak, Piotr</t>
  </si>
  <si>
    <t>New data on morphology of late Eocene penguins and implications for their geographic distribution</t>
  </si>
  <si>
    <t>CLIMATE</t>
  </si>
  <si>
    <t>Uniwersytet Bialymstoku, Inst Biol, PL-15950 Bialystok, Poland</t>
  </si>
  <si>
    <t>University of Bialystok</t>
  </si>
  <si>
    <t>Jadwiszczak, P (corresponding author), Uniwersytet Bialymstoku, Inst Biol, Ul Swierkowa 20B, PL-15950 Bialystok, Poland.</t>
  </si>
  <si>
    <t>piotrj@uwb.edu.pl</t>
  </si>
  <si>
    <t>Jadwiszczak, Piotr/P-4336-2019; Jadwiszczak, Piotr/K-5136-2014</t>
  </si>
  <si>
    <t>Jadwiszczak, Piotr/0000-0002-5263-1125;</t>
  </si>
  <si>
    <t>10.1017/S0954102011000526</t>
  </si>
  <si>
    <t>WOS:000298286200011</t>
  </si>
  <si>
    <t>Matson, PG; Martz, TR; Hofmann, GE</t>
  </si>
  <si>
    <t>Matson, Paul G.; Martz, Todd R.; Hofmann, Gretchen E.</t>
  </si>
  <si>
    <t>High-frequency observations of pH under Antarctic sea ice in the southern Ross Sea</t>
  </si>
  <si>
    <t>Antarctica; McMurdo Sound; ocean acidification; SeaFET sensor</t>
  </si>
  <si>
    <t>OCEAN ACIDIFICATION; CLIMATE-CHANGE; MCMURDO SOUND; CARBONIC-ACID; SEAWATER; PATTERNS; DISSOCIATION; ADAPTATION; CONSTANTS; IMPACT</t>
  </si>
  <si>
    <t>Although predictions suggest that ocean acidification will significantly impact polar oceans within 20-30 years, there is limited information regarding present-day pH dynamics of the Southern Ocean. Here, we present novel high-frequency observations of pH collected during spring of 2010 using SeaFET pH sensors at three locations under fast sea ice in the southern Ross Sea. During these deployments in McMurdo Sound, baseline pH ranged between 8.019-8.045, with low to moderate overall variation (0.043-0.114 units) on the scale of hours to days. The variation was predominantly in the direction of increased pH relative to baseline observations. Estimates of aragonite saturation state (Omega(Ar)) were &gt; 1 with no observations of subsaturation. Time series records such as these are significant to the Antarctic science community; this information can be leveraged towards framing more environmentally relevant laboratory experiments aimed at assessing the vulnerability of Antarctic species to ocean acidification. In addition, increased spatial and temporal coverage of pH datasets may reveal ecologically significant patterns. Specifically, whether such variation in natural ocean pH dynamics may drive local adaptation to pH variation or provide refugia for populations of marine calcifiers in a future, acidifying ocean.</t>
  </si>
  <si>
    <t>[Matson, Paul G.; Hofmann, Gretchen E.] Univ Calif Santa Barbara, Dept Ecol Evolut &amp; Marine Biol, Santa Barbara, CA 93106 USA; [Martz, Todd R.] Univ Calif San Diego, Scripps Inst Oceanog, San Diego, CA 92093 USA</t>
  </si>
  <si>
    <t>University of California System; University of California Santa Barbara; University of California System; University of California San Diego; Scripps Institution of Oceanography</t>
  </si>
  <si>
    <t>Matson, PG (corresponding author), Univ Calif Santa Barbara, Dept Ecol Evolut &amp; Marine Biol, Santa Barbara, CA 93106 USA.</t>
  </si>
  <si>
    <t>pmatson@gmail.com</t>
  </si>
  <si>
    <t>Martz, Todd R/A-7704-2012; Matson, Paul/AAB-9767-2019</t>
  </si>
  <si>
    <t>Matson, Paul/0000-0003-2105-7308; Martz, Todd/0000-0002-1996-7145</t>
  </si>
  <si>
    <t>US National Science Foundation (NSF) [ANT-0944201]; NSF [OCE (OTIC) 0844394]; University of California; UCSB; Directorate For Geosciences [0944201] Funding Source: National Science Foundation; Directorate For Geosciences; Division Of Ocean Sciences [0844394] Funding Source: National Science Foundation; Office of Polar Programs (OPP) [0944201] Funding Source: National Science Foundation</t>
  </si>
  <si>
    <t>US National Science Foundation (NSF)(National Science Foundation (NSF)); NSF(National Science Foundation (NSF)); University of California(University of California System); UCSB; Directorate For Geosciences(National Science Foundation (NSF)NSF - Directorate for Geosciences (GEO)); Directorate For Geosciences; Division Of Ocean Sciences(National Science Foundation (NSF)NSF - Directorate for Geosciences (GEO)); Office of Polar Programs (OPP)(National Science Foundation (NSF)NSF - Directorate for Geosciences (GEO))</t>
  </si>
  <si>
    <t>The authors thank members of the U. S. Antarctic Program, particularly P. McNerney, J. Watson, R. Robbins, and S. Rupp, for technical support and diving operations at McMurdo Station, Antarctica. We thank Hofmann lab members, E. Hunter and E. Rivest, for assistance with seawater chemistry both in Antarctica and at UC Santa Barbara; and Brittany Peterson from the Martz lab for assistance with SeaFET construction. We thank members of the Bravo 134 field team for their field support during SeaFET deployment (Prof M. Sewell, Dr P. C. Yu, E. Hunter, L. Kapsenberg, P. Lubchenco, and E. Rivest). The authors are grateful to Dr J. Margo Dutton for many thoughtful comments that greatly improved this manuscript. This research was supported by: 1) US National Science Foundation (NSF) award ANT-0944201 to GEH from the Antarctic and Organisms and Ecosystems Program, 2) NSF grant OCE (OTIC) 0844394 to TRM (in support of the SeaFET development), and 3) by funds from the University of California in support of a multi-campus research program, Ocean Acidification: A Training and Research Consortium, (http://oceanacidification.msi.ucsb.edu/) to GEH and TRM. During the writing of this manuscript, PGM was partially supported by a Graduate Fellowship from the Interdepartmental Graduate Program in Marine Science at UCSB. The constructive comments of the reviewers are also gratefully acknowledged.</t>
  </si>
  <si>
    <t>10.1017/S0954102011000551</t>
  </si>
  <si>
    <t>WOS:000298286200012</t>
  </si>
  <si>
    <t>Kravchenko, VO; Evtushevsky, OM; Grytsai, AV; Milinevsky, GP</t>
  </si>
  <si>
    <t>Kravchenko, V. O.; Evtushevsky, O. M.; Grytsai, A. V.; Milinevsky, G. P.</t>
  </si>
  <si>
    <t>Decadal variability of winter temperatures in the Antarctic Peninsula region</t>
  </si>
  <si>
    <t>climate modes; Fourier analysis; READER database; wavelet analysis</t>
  </si>
  <si>
    <t>CLIMATE-CHANGE; CIRCUMPOLAR WAVE</t>
  </si>
  <si>
    <t>Rapid climate warming has been observed in the region of the Antarctic Peninsula since the middle of the last century with the largest warming rate in the winter. Decadal variability of winter temperature on the regional scale was analysed using eight station datasets of the Antarctic Peninsula region. The Scientific Committee on Antarctic Research Reference Antarctic Data for Environmental Research from the period 1950-2009 were used. Fourier and wavelet transforms of the averaged temperature anomaly time series reveal a clear separation between the oscillations with three to eight year periods and a decadal oscillation with a period of around 16 years. On the Antarctic Peninsula region scale, 16 year periodicity in the winter temperature variability has not been described before. Both spectral components show similar spectral power and statistical significance (5-10%). This is evidence of their comparable importance for winter temperature changes in the Antarctic Peninsula region. The three to eight year periods are most probably related to the El Nino-Southern Oscillation and Antarctic Circumpolar Wave signals, but the 16 year oscillation has not been identified within the scope of this analysis. The possible effect of the decadal oscillation in the winter temperature trend estimate is discussed.</t>
  </si>
  <si>
    <t>[Kravchenko, V. O.; Evtushevsky, O. M.; Grytsai, A. V.; Milinevsky, G. P.] Taras Shevchenko Natl Univ Kyiv, Dept Space Phys &amp; Astron, UA-01601 Kiev, Ukraine</t>
  </si>
  <si>
    <t>Kravchenko, VO (corresponding author), Taras Shevchenko Natl Univ Kyiv, Dept Space Phys &amp; Astron, 64 Volodymyrska Str, UA-01601 Kiev, Ukraine.</t>
  </si>
  <si>
    <t>genmilinevsky@gmail.com</t>
  </si>
  <si>
    <t>Evtushevsky, Oleksandr O.M./F-2065-2017; Milinevsky, Gennadi/AAD-8801-2019; Grytsai, Asen/AAS-7114-2020</t>
  </si>
  <si>
    <t>Evtushevsky, Oleksandr O.M./0000-0003-0582-559X; Milinevsky, Gennadi/0000-0002-2342-2615; Grytsai, Asen/0000-0002-2545-9833</t>
  </si>
  <si>
    <t>Taras Shevchenko National University of Kyiv [11BF051-01]</t>
  </si>
  <si>
    <t>Taras Shevchenko National University of Kyiv</t>
  </si>
  <si>
    <t>We acknowledge the SCAR READER database for free access to the monthly data of the Antarctic station temperatures. We thank the Department of Atmospheric and Oceanic Sciences of the University of Colorado at Boulder, USA, for the accessibility of the wavelet analysis tool at http://paos.colorado.edu/research/wavelets. We thank National Snow and Ice Data Center (NSIDC), USA, for the sea ice concentrations from Nimbus-7 SMMR and DMSP SSM/I Passive Microwave Data available at http://nsidc.org/data/nsidc-0051.html. NCEP_Reanalysis 2 data provided by the NOAA/OAR/ESRL PSD, Boulder, Colorado, USA, from their web site at http://www.esrl.noaa.gov/psd. The research was supported by the project of Taras Shevchenko National University of Kyiv, No. 11BF051-01. The authors thank two anonymous referees for useful comments and remarks that assisted in improving the manuscript.</t>
  </si>
  <si>
    <t>10.1017/S0954102011000423</t>
  </si>
  <si>
    <t>WOS:000298286200013</t>
  </si>
  <si>
    <t>Nomura, D; Ooki, A; Simizu, D; Fukuchi, M</t>
  </si>
  <si>
    <t>Nomura, Daiki; Ooki, Atsushi; Simizu, Daisuke; Fukuchi, Mitsuo</t>
  </si>
  <si>
    <t>Bromoform concentrations in slush-layer water in Antarctic fast ice</t>
  </si>
  <si>
    <t>chemical component; land-fast ice; Lutzow-Holm Bay; sea ice; Southern Ocean; under-ice water</t>
  </si>
  <si>
    <t>SEA-ICE; GAP LAYERS; HALOCARBONS; PROFILES; SEAWATER; OCEAN; SNOW</t>
  </si>
  <si>
    <t>Bromoform concentrations in water of the slush layer that developed at the interface between snow and sea ice were measured during the seasonal warming in Lutzow-Holm Bay, East Antarctica. Mean bromoform concentration was 5.5 +/- 2.4 pmol l(-1), which was lower than that of the under-ice water (10.9 +/- 3.5 pmol l(-1)). Temporal decrease in bromoform concentrations and salinity with increasing temperature of the slush water suggest that the bromoform concentrations were reduced through dilution with meltwater input from the upper surface of sea ice. In contrast, bromoform concentrations in the under-ice water increased during this period while the salinity of the under-ice water decreased. It is speculated that the sea ice meltwater input contained high bromoform concentrations from the brine channels within the sea ice and from the bottom of the ice that were contributed to the increased bromoform concentrations in the under-ice water.</t>
  </si>
  <si>
    <t>[Nomura, Daiki; Fukuchi, Mitsuo] Natl Inst Polar Res, Tachikawa, Tokyo 1908501, Japan; [Nomura, Daiki] Japan Soc Promot Sci, Chiyoda Ku, Tokyo 1028471, Japan; [Ooki, Atsushi] Natl Inst Environm Studies, Tsukuba, Ibaraki 3050053, Japan; [Simizu, Daisuke] Hokkaido Univ, Inst Low Temp Sci, Kita Ku, Sapporo, Hokkaido 0600819, Japan</t>
  </si>
  <si>
    <t>Research Organization of Information &amp; Systems (ROIS); National Institute of Polar Research (NIPR) - Japan; Japan Society for the Promotion of Science; National Institute for Environmental Studies - Japan; Hokkaido University</t>
  </si>
  <si>
    <t>Nomura, D (corresponding author), Norwegian Polar Res Inst, Polar Environm Ctr, N-9296 Tromso, Norway.</t>
  </si>
  <si>
    <t>daiki.nomura@npolar.no</t>
  </si>
  <si>
    <t>SIMIZU, Daisuke/0000-0003-4214-6756</t>
  </si>
  <si>
    <t>Grants-in-Aid for Scientific Research [22710018] Funding Source: KAKEN</t>
  </si>
  <si>
    <t>10.1017/S0954102011000459</t>
  </si>
  <si>
    <t>WOS:000298286200014</t>
  </si>
  <si>
    <t>Augé, AA; Chilvers, BL; Davis, LS; Moore, AB</t>
  </si>
  <si>
    <t>Auge, Amelie A.; Chilvers, B. Louise; Davis, Lloyd S.; Moore, Antoni B.</t>
  </si>
  <si>
    <t>In the shallow end: diving behaviour of recolonising female New Zealand sea lions (Phocarctos hookeri) around the Otago Peninsula</t>
  </si>
  <si>
    <t>CANADIAN JOURNAL OF ZOOLOGY-REVUE CANADIENNE DE ZOOLOGIE</t>
  </si>
  <si>
    <t>ANTARCTIC FUR SEALS; ARCTOCEPHALUS-PUSILLUS-DORIFERUS; CENTRAL-PLACE FORAGER; PATCHY ENVIRONMENT; OTARIA-FLAVESCENS; AUCKLAND ISLANDS; DIVE DURATION; OXYGEN STORES; STRATEGIES; ONTOGENY</t>
  </si>
  <si>
    <t>Female New Zealand sea lions (Phocarctos hookeri (Gray, 1844)) at the Auckland Islands (remnant populations) are the deepest and longest diving otariids. These remnant populations are found at the margin of the historical range of the species. We hypothesized that diving behaviours of animals in the core of their historical range is less extreme owing to a better marine habitat. All female New Zealand sea lions (n = 13, aged 2-14 years) born on the Otago Peninsula (initial recolonising population) were equipped with time depth recorders during April and May 2008, 2009, and 2010. The mean dive depth was 20.2 +/- 24.5 m and mean dive duration was 1.8 +/- 1.1 min, some of the lowest values reported for otariids. Otago female New Zealand sea lions did not exhibit two distinct diving specialisations as reported at the Auckland Islands. Otago adult females exceeded calculated aerobic dive limits in 7.1% of dives compared with 68.7% at the Auckland Islands. The contrasting differences in diving behaviour between Otago and the Auckland Islands suggest that Otago represents a better marine habitat for New Zealand sea lions, with food easily accessible to animals of all ages.</t>
  </si>
  <si>
    <t>[Auge, Amelie A.; Davis, Lloyd S.] Univ Otago, Dept Zool, Dunedin, New Zealand; [Chilvers, B. Louise] Dept Conservat, Aquat &amp; Threat Unit, Wellington, New Zealand; [Moore, Antoni B.] Univ Otago, Sch Surveying, Dunedin, New Zealand</t>
  </si>
  <si>
    <t>Augé, AA (corresponding author), Univ Otago, Dept Zool, POB 56, Dunedin, New Zealand.</t>
  </si>
  <si>
    <t>amelie.auge@gmail.com</t>
  </si>
  <si>
    <t>Chilvers, B. Louise/AAV-1965-2021; Davis, Lloyd/HJI-3533-2023</t>
  </si>
  <si>
    <t>Chilvers, B. Louise/0000-0002-7657-4217;</t>
  </si>
  <si>
    <t>CANADIAN SCIENCE PUBLISHING, NRC RESEARCH PRESS</t>
  </si>
  <si>
    <t>OTTAWA</t>
  </si>
  <si>
    <t>1200 MONTREAL ROAD, BUILDING M-55, OTTAWA, ON K1A 0R6, CANADA</t>
  </si>
  <si>
    <t>0008-4301</t>
  </si>
  <si>
    <t>CAN J ZOOL</t>
  </si>
  <si>
    <t>Can. J. Zool.-Rev. Can. Zool.</t>
  </si>
  <si>
    <t>10.1139/Z11-098</t>
  </si>
  <si>
    <t>867FX</t>
  </si>
  <si>
    <t>WOS:000298441400006</t>
  </si>
  <si>
    <t>Larson, EJ</t>
  </si>
  <si>
    <t>Larson, Edward J.</t>
  </si>
  <si>
    <t>Poles apart: Scott, Amundsen and science</t>
  </si>
  <si>
    <t>ENDEAVOUR</t>
  </si>
  <si>
    <t>One hundred years ago, teams led by Roald Amundsen and Robert Scott may have been heading in the same direction but they were poles apart in the way they sought their goals. Amundsen led a five-person team of expert Nordic skiers and dog-sledders with a single goal: getting to the South Pole first. He planned and executed the effort brilliantly. Scott, in contrast, led a complex and multi-faceted Antarctic expedition with 33 explorers and scientists, many of whom were focused on ambitious and often taxing scientific research projects that had nothing whatsoever to do with reaching the Pole. Although Scott failed to reach the South Pole first and died with four men on the return trip, his expedition made significant contributions to Antarctic science. Indeed, at least some of Scott's failure to reach the Pole first and the subsequent death of his polar party on the return trip can be attributed to burden of trying to do too much and not focusing on reaching the pole.</t>
  </si>
  <si>
    <t>Pepperdine Univ, Seaver Coll, Humanities Div, Malibu, CA 90263 USA</t>
  </si>
  <si>
    <t>Pepperdine University</t>
  </si>
  <si>
    <t>Larson, EJ (corresponding author), Pepperdine Univ, Seaver Coll, Humanities Div, 24255 Pacific Coast Highway, Malibu, CA 90263 USA.</t>
  </si>
  <si>
    <t>ed.larson@pepperdine.edu</t>
  </si>
  <si>
    <t>0160-9327</t>
  </si>
  <si>
    <t>Endeavour</t>
  </si>
  <si>
    <t>10.1016/j.endeavour.2011.08.001</t>
  </si>
  <si>
    <t>History &amp; Philosophy Of Science; Multidisciplinary Sciences</t>
  </si>
  <si>
    <t>Science Citation Index Expanded (SCI-EXPANDED); Arts &amp; Humanities Citation Index (A&amp;HCI)</t>
  </si>
  <si>
    <t>History &amp; Philosophy of Science; Science &amp; Technology - Other Topics</t>
  </si>
  <si>
    <t>869AV</t>
  </si>
  <si>
    <t>WOS:000298568900002</t>
  </si>
  <si>
    <t>Roberts, P</t>
  </si>
  <si>
    <t>Roberts, Peder</t>
  </si>
  <si>
    <t>Heroes for the past and present: a century of remembering Amundsen and Scott</t>
  </si>
  <si>
    <t>In 1911-1912 Roald Amundsen and Robert Falcon Scott led rival parties in a race to the geographic South Pole. While both parties reached the Pole - Amundsen first Scott's men died on the return journey. Amundsen became a Norwegian icon through his record-setting travels; Scott became a symbol of courage and devotion to science. The memory of each was invoked at various points during the twentieth century in the context of contemporary Antarctic events. Scott's status as a scientific figure was central to the Scott Polar Research Institute, while Amundsen's lack of scientific legacy became a way for British polar explorers to differentiate themselves from Norwegian contemporaries during the interwar years. After 1945 Scott and Amundsen were again invoked as exemplars of national polar achievement, even as the rise of large-scale science on the continent overshadowed past British and Norwegian achievements. In the present Amundsen and Scott remain wedded to particular values, focused respectively on national achievement and sacrifice in the name of science, while their race has become secondary.</t>
  </si>
  <si>
    <t>MISHA, F-67000 Strasbourg, France</t>
  </si>
  <si>
    <t>Roberts, P (corresponding author), MISHA, 5 Allee Gen Rouvillois, F-67000 Strasbourg, France.</t>
  </si>
  <si>
    <t>proberts@unistra.fr</t>
  </si>
  <si>
    <t>10.1016/j.endeavour.2011.08.002</t>
  </si>
  <si>
    <t>WOS:000298568900004</t>
  </si>
  <si>
    <t>Anthony, JC</t>
  </si>
  <si>
    <t>Anthony, Jason C.</t>
  </si>
  <si>
    <t>The importance of eating local: slaughter and scurvy in Antarctic cuisine</t>
  </si>
  <si>
    <t>Anthony, JC (corresponding author), POB 165, Damariscotta, ME 04543 USA.</t>
  </si>
  <si>
    <t>jasoncanthony@yahoo.com</t>
  </si>
  <si>
    <t>10.1016/j.endeavour.2011.07.002</t>
  </si>
  <si>
    <t>WOS:000298568900007</t>
  </si>
  <si>
    <t>Masso-Silva, J; Diamond, G; Macias-Rodriguez, M; Ascencio, F</t>
  </si>
  <si>
    <t>Masso-Silva, Jorge; Diamond, Gill; Macias-Rodriguez, Maria; Ascencio, Felipe</t>
  </si>
  <si>
    <t>Genomic organization and tissue-specific expression of hepcidin in the pacific mutton hamlet, Alphestes immaculatus (Breder, 1936)</t>
  </si>
  <si>
    <t>FISH &amp; SHELLFISH IMMUNOLOGY</t>
  </si>
  <si>
    <t>Alphestes immaculatus; Hepcidin; Antimicrobial peptides; Transcription factors; Gene expression</t>
  </si>
  <si>
    <t>FLOUNDER PARALICHTHYS-OLIVACEUS; ANTIMICROBIAL PEPTIDE; BASS HEPCIDIN; GENE; CLONING; IDENTIFICATION; FISH; VERTEBRATES; SCHLEGELII; ZEBRAFISH</t>
  </si>
  <si>
    <t>Hepcidin is a cysteine-rich peptide involved in iron metabolism, inflammatory response and as antimicrobial peptide. Despite the fact that hepcidins have been identified in several fish species, only few have been completely characterized. This study, described the identification and complete molecular characterization of the hepcidin antimicrobial peptide 1 (HAMP1) gene of Alphestes immaculatus. Moreover, its specific expression level at both basal and lipopolysaccharide (LPS)-induced conditions in different tissues was also determined by real-time PCR. Results showed that the HAMP1gene consists of three exons and two introns encoding a preprohepcidin composed of 90 aa (24 aa for signal peptide, 40 aa for prodomain and 26 aa for mature peptide). The promoter region analysis revealed a TATA box sequence and several putative transcription factor binding sites. A comparative analysis showed CEBP alpha, CEBP beta, NF-kB, HNF3, GATA-1 and c-Rel as the most common found in fishes. The mature peptide possesses a pl of 8.34, which is the average among fish hepcidin. In addition, the structural modeling showed a hairpin structure with four putative disulfide bonds. A phylogenetic analysis revealed that this hepcidin gene is a HAMP1 class, and is clustered into the same group with the Serranid fish Epinephelus moara and the Antarctic fish Lycodichthys dearborni. Finally, the relative expression levels showed high basal values in liver and muscle, whereas in LPS-induced fish the relative expression tendency changed, with the highest values in spleen and head kidney tissues. This study describes the completely characterized HAMP1 gene of A. immaculatus and their patterns of expression level at different conditions and in different tissues, showing by first time muscle hepcidin expression could be relevant in the immune response in fish. (C) 2011 Elsevier Ltd. All rights reserved.</t>
  </si>
  <si>
    <t>[Masso-Silva, Jorge; Macias-Rodriguez, Maria; Ascencio, Felipe] Ctr Invest Biol Noroeste CIBNOR, Unidad Patol Marina, La Paz 23090, Bcs, Mexico</t>
  </si>
  <si>
    <t>CIBNOR - Centro de Investigaciones Biologicas del Noroeste</t>
  </si>
  <si>
    <t>Ascencio, F (corresponding author), Ctr Invest Biol Noroeste CIBNOR, Unidad Patol Marina, Mar Bermejo 195, La Paz 23090, Bcs, Mexico.</t>
  </si>
  <si>
    <t>ascencio@cibnor.mx</t>
  </si>
  <si>
    <t>Macias-Rodriguez, Maria Esther/0000-0003-2156-0851</t>
  </si>
  <si>
    <t>National Council of Science and Technology of Mexico (CONACyT) [24334-CB-2005-01-48444]</t>
  </si>
  <si>
    <t>National Council of Science and Technology of Mexico (CONACyT)(Consejo Nacional de Ciencia y Tecnologia (CONACyT))</t>
  </si>
  <si>
    <t>This work was supported by a grant (24334-CB-2005-01-48444) from the National Council of Science and Technology of Mexico (CONACyT) to FA.</t>
  </si>
  <si>
    <t>1050-4648</t>
  </si>
  <si>
    <t>FISH SHELLFISH IMMUN</t>
  </si>
  <si>
    <t>Fish Shellfish Immunol.</t>
  </si>
  <si>
    <t>10.1016/j.fsi.2011.10.007</t>
  </si>
  <si>
    <t>Fisheries; Immunology; Marine &amp; Freshwater Biology; Veterinary Sciences</t>
  </si>
  <si>
    <t>869BC</t>
  </si>
  <si>
    <t>WOS:000298569700075</t>
  </si>
  <si>
    <t>Schröder, H; Paulsen, T; Wonik, T</t>
  </si>
  <si>
    <t>Schroeder, H.; Paulsen, T.; Wonik, T.</t>
  </si>
  <si>
    <t>Thermal properties of the AND-2A borehole in the southern Victoria Land Basin, McMurdo Sound, Antarctica</t>
  </si>
  <si>
    <t>GEOSPHERE</t>
  </si>
  <si>
    <t>TRANSANTARCTIC MOUNTAINS; HEAT-FLOW; ROSS SEA; RIFT</t>
  </si>
  <si>
    <t>The ANDRILL (Antarctic Geological Drilling Program) Southern McMurdo Sound Project (SMS) drilled a 1138-m-deep bore-hole (AND-2A) within Neogene strata in the southern Victoria Land Basin of the West Antarctic Rift in the Ross Sea, Antarctica, during the 2007-2008 austral spring. An extensive downhole logging program was carried out in the SMS borehole that included temperature and spectral gamma ray logs. These logging data were combined with lab measurements of the thermal conductivity of core samples to deduce several thermal parameters of the borehole country rock. The results indicate a bottom-hole temperature of 57.8 degrees C and an average temperature gradient of 51.9 K/km. Thermal conductivities on core samples range from 1.22 to 2.95 W/mK and average 1.57 W/mK. Thermal conductivities coupled with the average temperature gradient yield an average heat flow of 81.5 mW/m(2), a minor amount (1.1 mW/m(2)) of which is generated by radiogenic heat production. Temperature, gradient, and heat flow are considered as possible minimum values. The average heat flow determined for the SMS borehole therefore provides important confirmation that heat flows are locally above average values for continental crust in the southern Victoria Land Basin of the West Antarctic Rift system. This new heat flow constraint is consistent with extension and volcanism within the Terror Rift, which was active in Neogene time.</t>
  </si>
  <si>
    <t>[Schroeder, H.; Wonik, T.] Leibniz Inst Appl Geophys, D-30655 Hannover, Germany; [Paulsen, T.] Univ Wisconsin, Dept Geol, Oshkosh, WI 54901 USA</t>
  </si>
  <si>
    <t>Leibniz Institut fur Angewandte Geophysik (LIAG); University of Wisconsin System</t>
  </si>
  <si>
    <t>Schröder, H (corresponding author), Leibniz Inst Appl Geophys, Stilleweg 2, D-30655 Hannover, Germany.</t>
  </si>
  <si>
    <t>heschroed@web.de; paulsen@uwosh.edu; Thomas.Wonik@liag-hannover.de</t>
  </si>
  <si>
    <t>German Research Foundation DFG [WO 672]; U.S. National Science Foundation; New Zealand Foundation for Research, Science and Technology; Italian Antarctic Research Program; Alfred Wegener Institute for Polar and Marine Research</t>
  </si>
  <si>
    <t>German Research Foundation DFG(German Research Foundation (DFG)); U.S. National Science Foundation(National Science Foundation (NSF)); New Zealand Foundation for Research, Science and Technology(New Zealand Foundation for Research, Science and Technology); Italian Antarctic Research Program; Alfred Wegener Institute for Polar and Marine Research</t>
  </si>
  <si>
    <t>This work was supported by the German Research Foundation DFG (WO 672). ANDRILL (Antarctic Geological Drilling Program) is a multinational collaboration between the Antarctic programs of Germany, Italy, New Zealand, and the United States. Scientific studies are jointly supported by the U.S. National Science Foundation; New Zealand Foundation for Research, Science and Technology; the Italian Antarctic Research Program; the DFG; and the Alfred Wegener Institute for Polar and Marine Research. We thank Alex Pyne (drilling science manager), the drilling team, the science laboratory personnel, and Marshall Pardey. We thank two anonymous reviewers for constructive comments that improved this manuscript. We also thank Rudiger Schellschmidt and Matthias Halisch (Leibniz Institute for Applied Geophysics) for fruitful discussions and support of the thermal conductivity measurements, and Rich Jarrard for pointing out the significance of the GyroSmart (TM) tool data to Paulsen.</t>
  </si>
  <si>
    <t>GEOLOGICAL SOC AMER, INC</t>
  </si>
  <si>
    <t>BOULDER</t>
  </si>
  <si>
    <t>PO BOX 9140, BOULDER, CO 80301-9140 USA</t>
  </si>
  <si>
    <t>1553-040X</t>
  </si>
  <si>
    <t>Geosphere</t>
  </si>
  <si>
    <t>10.1130/GES00690.1</t>
  </si>
  <si>
    <t>863QH</t>
  </si>
  <si>
    <t>WOS:000298180700006</t>
  </si>
  <si>
    <t>Cattadori, M; Florindo, F; Rack, F</t>
  </si>
  <si>
    <t>Cattadori, Matteo; Florindo, Fabio; Rack, Frank</t>
  </si>
  <si>
    <t>Short- and long-term effects in the school system of a research immersion experience for science educators: An example from ANDRILL (Antarctic Geological Drilling)</t>
  </si>
  <si>
    <t>MIOCENE</t>
  </si>
  <si>
    <t>Since its first field season (2006-2007), the ANDRILL (Antarctic Geological Drilling) program has implemented an innovative educational and public outreach (EPO) program known as ARISE (ANDRILL Research Immersion for Science Educators), which has actively involved a group of selected educators in every phase of the research, from participation in field activities to discussion of the scientific results. This method of research immersion has led to an impressive list of achievements, including the development of quality outreach initiatives and diverse educational materials, the involvement of a large number of schools using these resources, the creation of an international network of strongly motivated polar geo-science educators, and the realization of new and unexpected professional opportunities for educators. In Italy this program initiated a specific project (progettosmilla.it), in accordance with the objectives of the ARISE Program. Thanks to the use of both a wide range of instruments (online and material) and the network of personal relationships provided by teachers involved in the program, ARISE has resulted in many short-term accomplishments. The development of new partnerships with local and national institutions has led to a number of middle-and long-term processes, rarely seen in similar EPO projects, resulting in the attainment of other goals. Research immersion experiences promote close interactions between teachers and scientists, and provide the potential for accomplishing other long-term educational outcomes. The shared development of educational resources by scientists and educators through ARISE has created an opportunity to advance scientific education within schools and, through outreach, in the general populace.</t>
  </si>
  <si>
    <t>[Cattadori, Matteo] Tridentine Museum Nat Sci, Trento, Italy; [Florindo, Fabio] Ist Nazl Geofis &amp; Vulcanol, Rome, Italy; [Rack, Frank] Univ Nebraska, ANDRILL Sci Management Off, Lincoln, NE 68588 USA</t>
  </si>
  <si>
    <t>Istituto Nazionale Geofisica e Vulcanologia (INGV); University of Nebraska System; University of Nebraska Lincoln</t>
  </si>
  <si>
    <t>Cattadori, M (corresponding author), Tridentine Museum Nat Sci, Via Calepina 14, Trento, Italy.</t>
  </si>
  <si>
    <t>Florindo, Fabio/F-4119-2010; Florindo, Fabio/AAU-2548-2021; Florindo, Fabio/M-1459-2019</t>
  </si>
  <si>
    <t>Florindo, Fabio/0000-0002-6058-9748; Florindo, Fabio/0000-0002-6058-9748</t>
  </si>
  <si>
    <t>U.S. Antarctic Program; Raytheon Polar Services Corporation; U.S. National Science Foundation; New Zealand Foundation for Research Science and Technology; Italian Antarctic Research Program; German Science Foundation; Alfred Wegener Institute</t>
  </si>
  <si>
    <t>U.S. Antarctic Program; Raytheon Polar Services Corporation; U.S. National Science Foundation(National Science Foundation (NSF)); New Zealand Foundation for Research Science and Technology(New Zealand Foundation for Research, Science and Technology); Italian Antarctic Research Program; German Science Foundation(German Research Foundation (DFG)); Alfred Wegener Institute</t>
  </si>
  <si>
    <t>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and Raytheon Polar Services Corporation supported the science team at McMurdo Station, while Antarctica New Zealand supported the drilling team at Scott Base. Scientific studies are jointly supported by the U.S. National Science Foundation, New Zealand Foundation for Research Science and Technology, the Italian Antarctic Research Program, the German Science Foundation, and the Alfred Wegener Institute. The manuscript benefitted from constructive reviews by anonymous reviewers.</t>
  </si>
  <si>
    <t>10.1130/GES00678.1</t>
  </si>
  <si>
    <t>WOS:000298180700007</t>
  </si>
  <si>
    <t>Moshonkin, SN; Alekseev, GV; Dianskii, NA; Gusev, AV; Zalesny, VB</t>
  </si>
  <si>
    <t>Moshonkin, S. N.; Alekseev, G. V.; Dianskii, N. A.; Gusev, A. V.; Zalesny, V. B.</t>
  </si>
  <si>
    <t>Reproduction of the Large-Scale State of Water and Sea Ice in the Arctic Ocean in 1948-2002: Part I. Numerical Model (vol 47, pg 628, 2011)</t>
  </si>
  <si>
    <t>IZVESTIYA ATMOSPHERIC AND OCEANIC PHYSICS</t>
  </si>
  <si>
    <t>Correction</t>
  </si>
  <si>
    <t>[Moshonkin, S. N.; Dianskii, N. A.; Gusev, A. V.; Zalesny, V. B.] Russian Acad Sci, Inst Numer Math, Moscow 119991, Russia; [Alekseev, G. V.] Arctic &amp; Antarctic Res Inst, St Petersburg 199397, Russia</t>
  </si>
  <si>
    <t>Russian Academy of Sciences; Arctic &amp; Antarctic Research Institute</t>
  </si>
  <si>
    <t>Moshonkin, SN (corresponding author), Russian Acad Sci, Inst Numer Math, Ul Gubkina 8, Moscow 119991, Russia.</t>
  </si>
  <si>
    <t>msn@inm.ras.ru; alexgv@aari.nw.ru</t>
  </si>
  <si>
    <t>Diansky, Nikolay A/R-8307-2018; Gusev, Anatoly/M-4012-2019</t>
  </si>
  <si>
    <t>Gusev, Anatoly/0000-0002-6463-3179</t>
  </si>
  <si>
    <t>0001-4338</t>
  </si>
  <si>
    <t>1555-628X</t>
  </si>
  <si>
    <t>IZV ATMOS OCEAN PHY+</t>
  </si>
  <si>
    <t>Izv. Atmos. Ocean. Phys.</t>
  </si>
  <si>
    <t>10.1134/S0001433811690016</t>
  </si>
  <si>
    <t>866QV</t>
  </si>
  <si>
    <t>WOS:000298397200015</t>
  </si>
  <si>
    <t>Genthon, C; Six, D; Favier, V; Lazzara, M; Keller, L</t>
  </si>
  <si>
    <t>Genthon, Christophe; Six, Delphine; Favier, Vincent; Lazzara, Matthew; Keller, Linda</t>
  </si>
  <si>
    <t>Atmospheric Temperature Measurement Biases on the Antarctic Plateau</t>
  </si>
  <si>
    <t>RADIATION; SURFACE</t>
  </si>
  <si>
    <t>Observations of atmospheric temperature made on the Antarctic Plateau with thermistors housed in naturally (wind) ventilated radiation shields are shown to be significantly warm biased by solar radiation. High incoming solar flux and high surface albedo result in radiation biases in Gill (multiplate)-styled shields that can occasionally exceed 10 degrees C in summer in cases with low wind speed. Although stronger and more frequent when incoming solar radiation is high, biases exceeding 8 degrees C are found even when solar radiation is less than 200 W m(-2). Compared with sonic thermometers, which are not affected by radiation but are too complex to be routinely used for mean temperature monitoring, commercially available aspirated shields are shown to efficiently protect thermistor measurements from solar radiation biases. Most of the available in situ reports of atmospheric temperature on the Antarctic Plateau are from automatic weather stations that use passive shields and are thus likely warm biased in the summer. In spite of low power consumption, deploying aspirated shields at remote locations in such a difficult environment may be a challenge. Bias correction formulas are not easily derived and are obviously shield dependent. On the other hand, because of a strong dependence of bias to wind speed, filtering out temperature reports for wind speed less than a given threshold (about 4-6 m s(-1) for the shields tested here) may be an efficient way to quality control the data, albeit at the cost of significant data loss and records that are biased toward high wind speed cases.</t>
  </si>
  <si>
    <t>[Genthon, Christophe; Six, Delphine; Favier, Vincent] UJF, CNRS, Lab Glaciol &amp; Geophys Environm, St Martin Dheres, Dheres, France; [Lazzara, Matthew; Keller, Linda] Univ Wisconsin, Antarctic Meteorol Res Ctr, Madison, WI USA</t>
  </si>
  <si>
    <t>Centre National de la Recherche Scientifique (CNRS); Communaute Universite Grenoble Alpes; Universite Grenoble Alpes (UGA); University of Wisconsin System; University of Wisconsin Madison</t>
  </si>
  <si>
    <t>Genthon, C (corresponding author), Univ Grenoble 1, CNRS, LGGE UMR 5183, Lab Glaciol &amp; Geophys Envrironnement, F-38041 Grenoble, France.</t>
  </si>
  <si>
    <t>genthon@lgge.obs.ujf-grenoble.fr</t>
  </si>
  <si>
    <t>; Favier, Vincent/T-1936-2017</t>
  </si>
  <si>
    <t>Lazzara, Matthew/0000-0002-4343-498X; Favier, Vincent/0000-0001-6024-9498</t>
  </si>
  <si>
    <t>Italian (PNRA) polar institutes; U.S. NSF-OPP [ANT-0944018]; [CALVA-1013]; Directorate For Geosciences; Office of Polar Programs (OPP) [0944018] Funding Source: National Science Foundation</t>
  </si>
  <si>
    <t>Italian (PNRA) polar institutes; U.S. NSF-OPP; ; Directorate For Geosciences; Office of Polar Programs (OPP)(National Science Foundation (NSF)NSF - Directorate for Geosciences (GEO))</t>
  </si>
  <si>
    <t>Support in the field by the French (IPEV, Program CALVA-1013) and Italian (PNRA) polar institutes is acknowledged. This is a contribution to the CNES/INSU CONCORDIASI IPY Project. Meteorological data are obtained as part of the OSUG-CENECLAM observatory. We thank ISAC for access to the solar radiation data distributed by BSRN (http://www.bsm.awi.de/). Some of this material is based upon work partially supported by the U.S. NSF-OPP under Grant ANT-0944018.</t>
  </si>
  <si>
    <t>10.1175/JTECH-D-11-00095.1</t>
  </si>
  <si>
    <t>872PX</t>
  </si>
  <si>
    <t>WOS:000298822900002</t>
  </si>
  <si>
    <t>Mente, E; Carter, CG; Barnes, RS; Karapanagiotidis, IT</t>
  </si>
  <si>
    <t>Mente, E.; Carter, C. G.; Barnes, R. S. (Katersky); Karapanagiotidis, I. T.</t>
  </si>
  <si>
    <t>Protein synthesis in wild-caught Norway lobster (Nephrops norvegicus L.)</t>
  </si>
  <si>
    <t>JOURNAL OF EXPERIMENTAL MARINE BIOLOGY AND ECOLOGY</t>
  </si>
  <si>
    <t>Crustacean; Lobster; Nephrops; Protein; Synthesis; Tissue</t>
  </si>
  <si>
    <t>GROWTH EFFICIENCY; JUVENILE BARRAMUNDI; POPULATION BIOLOGY; BODY-COMPOSITION; STARVATION; CRAYFISH; TURNOVER; LARVAE; TEMPERATURE; DECAPODA</t>
  </si>
  <si>
    <t>Although protein metabolism has been studied in fish and other crustaceans, this is the first study to measure protein synthesis rates for Norway lobster Nephrops norvegicus. This research aimed to assess the nutritional status of wild caught Nephrops by measuring tissue rates of protein synthesis and comparing these with rates from fed and starved Nephrops maintained in aquaria. Rates of protein synthesis were measured in the hepatopancreas, gill and tail muscle tissue. A time-course validated the use of a flooding-dose of H-3 phenylalanine to measure protein synthesis in Nephrops and showed that the flooding-dose method is suitable for the study of protein turnover in Nephrops. The relationship between the measured rate of protein synthesis and capacity for protein synthesis (Cs) showed differences between tissues and between nutritional history. Measures of protein metabolism were generally higher in hepatopancreas, then gill and then tail muscle and generally lower in starved animals. Although individual variation meant there were few significant differences in tail muscle values between treatments. RNA concentration was higher in wild-caught than starved and suggested they were not starving. This was supported by hepatopancreas protein synthesis in wild-caught being intermediate between fed and starved, indicating relatively recent feeding had increased hepatopancreas protein synthesis due to increased RNA activity at constant RNA capacity. This study will add to our current but limited understanding of the effects of environmental variations on nutritional status and on protein metabolism and deposition in Nephrops species. Knowledge of the mechanisms enabling their survival is required to understand their ability to adapt to environmental variables. (C) 2011 Elsevier B.V. All rights reserved.</t>
  </si>
  <si>
    <t>[Mente, E.; Karapanagiotidis, I. T.] Sch Agr Sci, Dept Ichthyol &amp; Aquat Environm, GR-38446 N Ionia Magnesias, Greece; [Mente, E.] Univ Aberdeen, Sch Biol Sci, Inst Biol &amp; Environm Sci, Aberdeen AB24 2TZ, Scotland; [Carter, C. G.] Univ Tasmania, Inst Marine &amp; Antarctic Studies, Hobart, Tas 7001, Australia; [Barnes, R. S. (Katersky)] Univ Tasmania, Natl Ctr Marine Conservat &amp; Resource Sustainabil, Launceston, Tas 7250, Australia</t>
  </si>
  <si>
    <t>University of Aberdeen; University of Tasmania; University of Tasmania</t>
  </si>
  <si>
    <t>Mente, E (corresponding author), Sch Agr Sci, Dept Ichthyol &amp; Aquat Environm, Fytoko St, GR-38446 N Ionia Magnesias, Greece.</t>
  </si>
  <si>
    <t>emente@uth.gr</t>
  </si>
  <si>
    <t>Karapanagiotidis, Ioannis T./ADV-6410-2022; Carter, Chris Guy/A-3438-2008; Mente, Eleni-Elena/HOC-1476-2023; Katersky Barnes, Robin/F-5432-2015</t>
  </si>
  <si>
    <t>Karapanagiotidis, Ioannis T./0000-0002-5036-8706; Carter, Chris Guy/0000-0001-5210-1282; Katersky Barnes, Robin/0000-0001-9391-6277</t>
  </si>
  <si>
    <t>European Social Fund; National Greek Resources - EPEAEK II-PYTHAGORAS</t>
  </si>
  <si>
    <t>European Social Fund(European Social Fund (ESF)); National Greek Resources - EPEAEK II-PYTHAGORAS</t>
  </si>
  <si>
    <t>The authors thank Dr. C. Smith, N. Papadopoulou, Dr. I. McCarthy and Professor D. F. Houlihan for helpful comments. This research was co-funded by the European Social Fund and the National Greek Resources - EPEAEK II-PYTHAGORAS. [SS]</t>
  </si>
  <si>
    <t>0022-0981</t>
  </si>
  <si>
    <t>1879-1697</t>
  </si>
  <si>
    <t>J EXP MAR BIOL ECOL</t>
  </si>
  <si>
    <t>J. Exp. Mar. Biol. Ecol.</t>
  </si>
  <si>
    <t>10.1016/j.jembe.2011.08.025</t>
  </si>
  <si>
    <t>866EK</t>
  </si>
  <si>
    <t>WOS:000298363100026</t>
  </si>
  <si>
    <t>Parsons, MA; Godoy, O; LeDrew, E; de Bruin, TF; Danis, B; Tomlinson, S; Carlson, D</t>
  </si>
  <si>
    <t>Parsons, Mark A.; Godoy, Oystein; LeDrew, Ellsworth; de Bruin, Taco F.; Danis, Bruno; Tomlinson, Scott; Carlson, David</t>
  </si>
  <si>
    <t>A conceptual framework for managing very diverse data for complex, interdisciplinary science</t>
  </si>
  <si>
    <t>JOURNAL OF INFORMATION SCIENCE</t>
  </si>
  <si>
    <t>Antarctic; Arctic; data archives; data casting; data discovery; data documentation; data management; data preservation; data sharing; interdisciplinary science; international collaboration; International Polar Year; linked data; long tail of science; metadata; ontology; open data; polar regions; research data; socio-technical systems; standards; World Data System</t>
  </si>
  <si>
    <t>INFORMATION; ACCESS; PUBLICATION; MANAGEMENT; ECOLOGY</t>
  </si>
  <si>
    <t>Much attention has been given to the challenges of handling massive data volumes in modern data-intensive science. This paper examines an equally daunting challenge - the diversity of interdisciplinary data, notably research data, and the need to interrelate these data to understand complex systemic problems such as environmental change and its impact. We use the experience of the International Polar Year 2007-8 (IPY) as a case study to examine data management approaches seeking to address issues around complex interdisciplinary science. We find that, while technology is a critical factor in addressing the interdisciplinary dimension of the data intensive science, the technologies developing for exa-scale data volumes differ from those that are needed for extremely distributed and heterogeneous data. Research data will continue to be highly heterogeneous and distributed and will require technologies to be much simpler and more flexible. More importantly, there is a need for both technical and cultural adaptation. We describe a vision of discoverable, open, linked, useful, and safe collections of data, organized and curated using the best principles and practices of information and library science. This vision provides a framework for our discussion and leads us to suggest several short-and long-term strategies to facilitate a socio-technical evolution in the overall science data ecosystem.</t>
  </si>
  <si>
    <t>[Parsons, Mark A.] Univ Colorado, Natl Snow &amp; Ice Data Ctr, Boulder, CO 80309 USA; [LeDrew, Ellsworth] Univ Waterloo, Waterloo, ON N2L 3G1, Canada</t>
  </si>
  <si>
    <t>University of Colorado System; University of Colorado Boulder; University of Waterloo</t>
  </si>
  <si>
    <t>Parsons, MA (corresponding author), Univ Colorado, Natl Snow &amp; Ice Data Ctr, UCB449, Boulder, CO 80309 USA.</t>
  </si>
  <si>
    <t>parsonsm@nsidc.org</t>
  </si>
  <si>
    <t>Parsons, Mark Alan/V-9161-2019; Danis, Bruno/AAS-8444-2021; Parsons, Mark/C-3037-2013</t>
  </si>
  <si>
    <t>Parsons, Mark Alan/0000-0002-7723-0950; Danis, Bruno/0000-0002-9037-7623; Parsons, Mark/0000-0002-7723-0950</t>
  </si>
  <si>
    <t>National Science Foundation [0632354]; Research Council of Norway [18 4887/53]; European Union; Directorate For Geosciences; Office of Polar Programs (OPP) [0856634] Funding Source: National Science Foundation</t>
  </si>
  <si>
    <t>National Science Foundation(National Science Foundation (NSF)); Research Council of Norway(Research Council of Norway); European Union(European Union (EU)); Directorate For Geosciences; Office of Polar Programs (OPP)(National Science Foundation (NSF)NSF - Directorate for Geosciences (GEO))</t>
  </si>
  <si>
    <t>The authors gratefully acknowledge the intelligent insights of the reviewers who made this a more cogent paper. This material is partially based upon work supported by the National Science Foundation under grant no. 0632354, the Research Council of Norway under grant no. 18 4887/53, and by the European Union under the 6th Framework Programme.</t>
  </si>
  <si>
    <t>0165-5515</t>
  </si>
  <si>
    <t>1741-6485</t>
  </si>
  <si>
    <t>J INF SCI</t>
  </si>
  <si>
    <t>J. Inf. Sci.</t>
  </si>
  <si>
    <t>10.1177/0165551511412705</t>
  </si>
  <si>
    <t>Computer Science, Information Systems; Information Science &amp; Library Science</t>
  </si>
  <si>
    <t>Science Citation Index Expanded (SCI-EXPANDED); Social Science Citation Index (SSCI)</t>
  </si>
  <si>
    <t>Computer Science; Information Science &amp; Library Science</t>
  </si>
  <si>
    <t>864SB</t>
  </si>
  <si>
    <t>WOS:000298259200001</t>
  </si>
  <si>
    <t>Abernathey, R; Marshall, J; Ferreira, D</t>
  </si>
  <si>
    <t>Abernathey, Ryan; Marshall, John; Ferreira, David</t>
  </si>
  <si>
    <t>The Dependence of Southern Ocean Meridional Overturning on Wind Stress</t>
  </si>
  <si>
    <t>JOURNAL OF PHYSICAL OCEANOGRAPHY</t>
  </si>
  <si>
    <t>EULERIAN-MEAN THEORY; EDDY TRANSFER; OBSCURANTIST PHYSICS; CIRCUMPOLAR CURRENT; MESOSCALE EDDIES; HEAT-TRANSPORT; ANNULAR MODE; FORM DRAG; PART II; CIRCULATION</t>
  </si>
  <si>
    <t>An eddy-resolving numerical model of a zonal flow, meant to resemble the Antarctic Circumpolar Current, is described and analyzed using the framework of J. Marshall and T. Radko. In addition to wind and buoyancy forcing at the surface, the model contains a sponge layer at the northern boundary that permits a residual meridional overturning circulation (MOC) to exist at depth. The strength of the residual MOC is diagnosed for different strengths of surface wind stress. It is found that the eddy circulation largely compensates for the changes in Ekman circulation. The extent of the compensation and thus the sensitivity of the MOC to the winds depend on the surface boundary condition. A fixed-heat-flux surface boundary severely limits the ability of the MOC to change. An interactive heat flux leads to greater sensitivity. To explain the MOC sensitivity to the wind strength under the interactive heat flux. transformed Eulerian-mean theory is applied. in which the eddy diffusivity plays a central role in determining the eddy response. A scaling theory for the eddy diffusivity, based on the mechanical energy balance, is developed and tested; the average magnitude of the diffusivity is found to be proportional to the square root of the wind stress. The MOC sensitivity to the winds based on this scaling is compared with the true sensitivity diagnosed from the experiments.</t>
  </si>
  <si>
    <t>[Abernathey, Ryan; Marshall, John; Ferreira, David] MIT, Dept Earth Atmospher &amp; Planetary Sci, Cambridge, MA 02139 USA</t>
  </si>
  <si>
    <t>Massachusetts Institute of Technology (MIT)</t>
  </si>
  <si>
    <t>Abernathey, R (corresponding author), MIT, Dept Earth Atmospher &amp; Planetary Sci, 54-1615,77 Massachusetts Ave, Cambridge, MA 02139 USA.</t>
  </si>
  <si>
    <t>rpa@mit.edu</t>
  </si>
  <si>
    <t>Ferreira, David/JJD-6133-2023; Ferreira, David/JNR-2354-2023</t>
  </si>
  <si>
    <t>Ferreira, David/0000-0003-3243-9774; Abernathey, Ryan/0000-0001-5999-4917</t>
  </si>
  <si>
    <t>National Science Foundation (NSF); Direct For Computer &amp; Info Scie &amp; Enginr; Office of Advanced Cyberinfrastructure (OAC) [0904338] Funding Source: National Science Foundation; Division Of Ocean Sciences; Directorate For Geosciences [0825376] Funding Source: National Science Foundation</t>
  </si>
  <si>
    <t>National Science Foundation (NSF)(National Science Foundation (NSF)); Direct For Computer &amp; Info Scie &amp; Enginr; Office of Advanced Cyberinfrastructure (OAC)(National Science Foundation (NSF)NSF - Directorate for Computer &amp; Information Science &amp; Engineering (CISE)); Division Of Ocean Sciences; Directorate For Geosciences(National Science Foundation (NSF)NSF - Directorate for Geosciences (GEO))</t>
  </si>
  <si>
    <t>Raf Ferrari and Malte Jansen made several helpful suggestions. Comments from Paola Cessi, two anonymous reviewers, and the editor greatly improved the manuscript. The observational wind and buoyancy flux data are from the Research Data Archive (RDA), which is maintained by the Computational and Information Systems Laboratory (CISL) at the National Center for Atmospheric Research (NCAR). NCAR is sponsored by the National Science Foundation (NSF). The original data are available from the RDA (http://dss.ucar.edu) in dataset ds260.2.</t>
  </si>
  <si>
    <t>45 BEACON ST, BOSTON, MA 02108-3693, UNITED STATES</t>
  </si>
  <si>
    <t>0022-3670</t>
  </si>
  <si>
    <t>1520-0485</t>
  </si>
  <si>
    <t>J PHYS OCEANOGR</t>
  </si>
  <si>
    <t>J. Phys. Oceanogr.</t>
  </si>
  <si>
    <t>10.1175/JPO-D-11-023.1</t>
  </si>
  <si>
    <t>872SV</t>
  </si>
  <si>
    <t>Green Submitted, Green Published, Bronze</t>
  </si>
  <si>
    <t>WOS:000298830700001</t>
  </si>
  <si>
    <t>Clilverd, HM; White, DM; Tidwell, AC; Rawlins, MA</t>
  </si>
  <si>
    <t>Clilverd, Hannah M.; White, Daniel M.; Tidwell, Amy C.; Rawlins, Michael A.</t>
  </si>
  <si>
    <t>The Sensitivity of Northern Groundwater Recharge to Climate Change: A Case Study in Northwest Alaska</t>
  </si>
  <si>
    <t>JOURNAL OF THE AMERICAN WATER RESOURCES ASSOCIATION</t>
  </si>
  <si>
    <t>climate variability; change; arctic; antarctic; groundwater hydrology; recharge; snowmelt; Pan-Arctic Water Balance Model</t>
  </si>
  <si>
    <t>WATER-BALANCE; SOIL-MOISTURE; RIVER; DISCHARGE; RUNOFF; MODEL; EXCHANGE; TRENDS; REGIME; SNOW</t>
  </si>
  <si>
    <t>The potential impacts of climate change on northern groundwater supplies were examined at a fractured-marble mountain aquifer near Nome, Alaska. Well water surface elevations (WSE) were monitored from 2004-2009 and analyzed with local meteorological data. Future aquifer response was simulated with the Pan-Arctic Water Balance Model (PWBM) using forcings (air temperature and precipitation) derived from fifthgeneration European Centre Hamburg Model (ECHAM5) global circulation model climate scenarios for extreme and modest increases in greenhouse gases. We observed changes in WSE due to the onset of spring snowmelt, low intensity and high intensity rainfall events, and aquifer head recession during the winter freeze period. Observed WSE and snow depth compared well with PWBM-simulated groundwater recharge and snow storage. Using ECHAM5-simulated increases in mean annual temperature of 4-8 degrees C by 2099, the PWBM predicted that by 2099 later freeze-up and earlier snowmelt will decrease seasonal snow cover by one to two months. Annual evapotranspiration and precipitation are predicted to increase 27-40% (55-81 mm) and 33-42% (81-102 mm), respectively, with the proportion of snowfall in annual precipitation decreasing on average 9-25% (p &lt; 0.05). The amount of snowmelt is not predicted to change significantly by 2099; however, a decreasing trend is evident from 2060 in the extreme ECHAM5 greenhouse gas scenario. Increases in effective precipitation were predicted to be great enough to sustain sufficient groundwater recharge.</t>
  </si>
  <si>
    <t>[Clilverd, Hannah M.; White, Daniel M.; Tidwell, Amy C.] Univ Alaska Fairbanks, Inst No Engn Civil &amp; Environm Engn, Fairbanks, AK 99775 USA; [Rawlins, Michael A.] Univ Massachusetts, Climate Syst Res Ctr, Dept Geosci, Amherst, MA 01003 USA</t>
  </si>
  <si>
    <t>University of Alaska System; University of Alaska Fairbanks; University of Massachusetts System; University of Massachusetts Amherst</t>
  </si>
  <si>
    <t>Clilverd, HM (corresponding author), Univ Alaska Fairbanks, Inst No Engn Civil &amp; Environm Engn, POB 755860, Fairbanks, AK 99775 USA.</t>
  </si>
  <si>
    <t>dmwhite@alaska.edu</t>
  </si>
  <si>
    <t>Rawlins, Michael/0000-0002-3323-8256</t>
  </si>
  <si>
    <t>1093-474X</t>
  </si>
  <si>
    <t>1752-1688</t>
  </si>
  <si>
    <t>J AM WATER RESOUR AS</t>
  </si>
  <si>
    <t>J. Am. Water Resour. Assoc.</t>
  </si>
  <si>
    <t>10.1111/j.1752-1688.2011.00569.x</t>
  </si>
  <si>
    <t>Engineering, Environmental; Geosciences, Multidisciplinary; Water Resources</t>
  </si>
  <si>
    <t>Engineering; Geology; Water Resources</t>
  </si>
  <si>
    <t>859BV</t>
  </si>
  <si>
    <t>WOS:000297850000006</t>
  </si>
  <si>
    <t>Scott, J; Muhling, J; Fletcher, I; Billia, M; Palin, JM; Elliot, T; Günter, C</t>
  </si>
  <si>
    <t>Scott, James; Muhling, Janet; Fletcher, Ian; Billia, Marco; Palin, J. Michael; Elliot, Tim; Guenter, Christina</t>
  </si>
  <si>
    <t>The relationship of Palaeozoic metamorphism and S-type magmatism on the paleo-Pacific Gondwana margin</t>
  </si>
  <si>
    <t>LITHOS</t>
  </si>
  <si>
    <t>Geothermobarometric P-T; Monazite growth; Palaeozoic metamorphism New Zealand; Gondwana</t>
  </si>
  <si>
    <t>WESTERN NEW-ZEALAND; MARIE BYRD LAND; P-T PATHS; GREENLAND GROUP; CORE COMPLEX; SOUTH ISLAND; FIELD RELATIONS; PLUTONIC ROCKS; CRETACEOUS SEPARATION; FOSDICK MOUNTAINS</t>
  </si>
  <si>
    <t>A massive pulse of granitic magma was rapidly emplaced into the once contiguous West Antarctic and New Zealand segments of the palaeo-Pacific margin of the Gondwana supercontinent at similar to 371 Ma. In New Zealand, these Late Devonian S-type granitoids cover an areal extent of &gt; 3400 km(2), but the tectonic setting for crustal partial melting has remained unclear because most of the exposure represents either emplacement-level, or rocks that have been reworked during Cretaceous orogenesis. New petrologic data indicate that aluminous paragneisses and orthogneisses in the Bonar Range represent a rare portion of Devonian middle crust that preserves evidence for the initiation of crustal melting. The investigated rocks outline the tail of a clockwise P-T path that involved partial melting at peak conditions (similar to 670 degrees C, 5.1 kb), deformation during the immediately following near-isothermal decompression, and then partial re-equilibration under static conditions. Syn- to post-kinematic growth of zoned monazite establishes the timing of recrystallisation to a similar to 16 Ma period that began at 373.4 +/- 4.1 Ma. This age overlaps with the initiation of regional Karamea S-type granitic magmatism. Although estimated metamorphic conditions were insufficient for large amounts of melt to have been produced from Bonar Range pelites (calculated melt volumes are &lt;10%), they do provide evidence consistent with widespread heating and partial melting in the deeper crust. This heating episode was contemporaneous with partial melting in Fiordland (New Zealand) and West Antarctica, although Mesozoic thermal and deformational events complicate the Palaeozoic record in both those areas. Nevertheless, the apparent 1000 s km of along-strike crustal partial melting indicates that a continental-scale tectonic plate margin re-organisation took place at this time. The cause in the New Zealand segment was most likely, but not unequivocally, an extensional tectonic regime with an elevated geothermal gradient caused by conductive heating from a shallowed lithospheric mantle. (C) 2011 Elsevier B.V. All rights reserved.</t>
  </si>
  <si>
    <t>[Scott, James; Billia, Marco; Palin, J. Michael; Elliot, Tim] Univ Otago, Dept Geol, Dunedin, New Zealand; [Scott, James; Guenter, Christina] Univ Potsdam, Insitut Erd &amp; Umweltwissensch, D-14476 Potsdam, Germany; [Muhling, Janet] Univ Western Australia, Ctr Microscopy Characterisat &amp; Anal, Crawley, WA 6009, Australia; [Fletcher, Ian] Curtin Univ, Dept Appl Geol, Perth, WA 6845, Australia</t>
  </si>
  <si>
    <t>University of Otago; University of Potsdam; University of Western Australia; Curtin University</t>
  </si>
  <si>
    <t>Scott, J (corresponding author), Univ Otago, Dept Geol, Leith St,POB 56, Dunedin, New Zealand.</t>
  </si>
  <si>
    <t>james.scott@otago.ac.nz</t>
  </si>
  <si>
    <t>Yakymchuk, Chris/H-1297-2013; Muhling, Janet/C-4687-2011; Scott, James/E-1908-2017</t>
  </si>
  <si>
    <t>Muhling, Janet/0000-0003-1890-9119; Scott, James/0000-0001-5185-6261</t>
  </si>
  <si>
    <t>ARC; Australian University; State and Commonwealth Governments; University of Otago; Research School of Earth Sciences at the Australian National University</t>
  </si>
  <si>
    <t>ARC(Australian Research Council); Australian University; State and Commonwealth Governments; University of Otago; Research School of Earth Sciences at the Australian National University(Australian National University)</t>
  </si>
  <si>
    <t>We acknowledge with thanks: the Western Australian SHRIMP facilities for monazite U-Th-Pb dating-which were operated by a WA university-government consortium with ARC support; the Australian Microscopy and Microanalysis Research Facility at the Centre for Microscopy, Characterisation and Analysis, The University of Western Australia -a facility that is funded by the Australian University, State and Commonwealth Governments; the University of Otago for research grants to JMP for undertaking zircon analyses; the Research School of Earth Sciences at the Australian National University for permitting zircon analyses, which were conducted under the guidance of C Allen; R. Jongens for providing sample P67589; A Cooper, N. Eby, B. Rasmussen, U. Ring, and A Tulloch for comments on drafts; N. Daczko and an anonymous person for journal reviews.</t>
  </si>
  <si>
    <t>0024-4937</t>
  </si>
  <si>
    <t>1872-6143</t>
  </si>
  <si>
    <t>Lithos</t>
  </si>
  <si>
    <t>10.1016/j.lithos.2011.09.008</t>
  </si>
  <si>
    <t>868HH</t>
  </si>
  <si>
    <t>WOS:000298513800010</t>
  </si>
  <si>
    <t>Briani, G; Morbidelli, A; Gounelle, M; Nesvorny, D</t>
  </si>
  <si>
    <t>Briani, Giacomo; Morbidelli, Alessandro; Gounelle, Matthieu; Nesvorny, David</t>
  </si>
  <si>
    <t>Evidence for an asteroid-comet continuum from simulations of carbonaceous microxenolith dynamical evolution</t>
  </si>
  <si>
    <t>METEORITICS &amp; PLANETARY SCIENCE</t>
  </si>
  <si>
    <t>INTERPLANETARY DUST PARTICLES; INSOLUBLE ORGANIC-MATTER; PARENT BODY; PRIMITIVE METEORITES; SPATIAL-DISTRIBUTION; ANTARCTIC SNOW; MAIN-BELT; 6 HEBE; MICROMETEORITES; WATER</t>
  </si>
  <si>
    <t>Micrometeoroids with 100 and 200 mu m size dominate the zodiacal cloud dust. Such samples can be studied as micrometeorites, after their passage through the Earth atmosphere, or as microxenoliths, i.e., submillimetric meteorite inclusions. Microxenoliths are samples of the zodiacal cloud dust present in the asteroid Main Belt hundreds of millions years ago. Carbonaceous microxenoliths represent the majority of observed microxenoliths. They have been studied in detail in howardites and H chondrites. We investigate the role of carbonaceous asteroids and Jupiter-family comets as carbonaceous microxenolith parent bodies. The probability of low velocity collisions of asteroidal and cometary micrometeoroids with selected asteroids is computed, starting from the micrometeoroid steady-state orbital distributions obtained by dynamical simulations. We selected possible parent bodies of howardites (Vesta) and H chondrites (Hebe, Flora, Eunomia, Koronis, Maria) as target asteroids. Estimates of the asteroidal and cometary micrometeoroid mass between 2 and 4 AU from the Sun are used to compute the micrometeoroid mass influx on each target. The results show that all the target asteroids (except Koronis) receive the same amount (within the uncertainties) of asteroidal and cometary micrometeoroids. Therefore, both these populations should be observed among howardite and H chondrite carbonaceous microxenoliths. However, this is not the case: carbonaceous microxenoliths show differences similar to those existing among different groups of carbonaceous chondrites (e.g., CI, CM, CR) but two sharply distinct populations are not observed. Our results and the observations can be reconciled assuming the existence of a continuum of mineralogical and chemical properties between carbonaceous asteroids and comets.</t>
  </si>
  <si>
    <t>[Briani, Giacomo; Gounelle, Matthieu] CNRS, Museum Natl Hist Nat, UMR7202, Lab Mineral &amp; Cosmochim Museum, F-75005 Paris, France; [Morbidelli, Alessandro] CNRS, Observ Cote Azur, UMR6202, Dept Cassiopee, F-06304 Nice 4, France; [Nesvorny, David] SW Res Inst, Dept Space Studies, Boulder, CO 80302 USA; [Briani, Giacomo] Univ Florence, Dipartimento Fis &amp; Astron, I-50125 Florence, Italy</t>
  </si>
  <si>
    <t>Centre National de la Recherche Scientifique (CNRS); Museum National d'Histoire Naturelle (MNHN); Universite Cote d'Azur; Observatoire de la Cote d'Azur; Centre National de la Recherche Scientifique (CNRS); University of Florence</t>
  </si>
  <si>
    <t>Briani, G (corresponding author), Univ Paris 07, CNRS, UMR 7583, Lab Interuniv Syst Atmospher, Creteil, France.</t>
  </si>
  <si>
    <t>giacomo.briani@lisa.u-pec.fr</t>
  </si>
  <si>
    <t>Nuñez, David Lira/M-7602-2016</t>
  </si>
  <si>
    <t>Nuñez, David Lira/0000-0002-2466-2952</t>
  </si>
  <si>
    <t>French Programme National de Planetologie (PNP)</t>
  </si>
  <si>
    <t>We want to thank the associate editor and the referees for their valuable comments. This work has been supported by the French Programme National de Planetologie (PNP).</t>
  </si>
  <si>
    <t>1086-9379</t>
  </si>
  <si>
    <t>1945-5100</t>
  </si>
  <si>
    <t>METEORIT PLANET SCI</t>
  </si>
  <si>
    <t>Meteorit. Planet. Sci.</t>
  </si>
  <si>
    <t>10.1111/j.1945-5100.2011.01302.x</t>
  </si>
  <si>
    <t>862MD</t>
  </si>
  <si>
    <t>WOS:000298094600006</t>
  </si>
  <si>
    <t>Santora, JA; Sydeman, WJ; Schroeder, ID; Wells, BK; Field, JC</t>
  </si>
  <si>
    <t>Santora, Jarrod A.; Sydeman, William J.; Schroeder, Isaac D.; Wells, Brian K.; Field, John C.</t>
  </si>
  <si>
    <t>Mesoscale structure and oceanographic determinants of krill hotspots in the California Current: Implications for trophic transfer and conservation</t>
  </si>
  <si>
    <t>PROGRESS IN OCEANOGRAPHY</t>
  </si>
  <si>
    <t>NORTHERN CALIFORNIA; EUPHAUSIA-PACIFICA; POPULATION BIOLOGY; EL-NINO; LA-NINA; INTERDECADAL VARIABILITY; INTERANNUAL VARIATIONS; COMMUNITY COMPOSITION; UPWELLING SHADOWS; CONTINENTAL-SHELF</t>
  </si>
  <si>
    <t>Krill (crustaceans of the family Euphausiacea) comprise an important prey field for vast array of fish, birds, and marine mammals in the California Current and other large marine ecosystems globally. In this study, we test the hypothesis that mesoscale spatial organization of krill is related to oceanographic conditions associated with coastal upwelling. To test this, we compiled a climatology of krill distributions based on hydroacoustic surveys off California in May-June each year between 2000 and 2009 (missing 2007). Approximately 53,000 km of ocean habitat was sampled, resulting in a comprehensive geo-spatial data set from the Southern California Bight to Cape Mendocino. We determined the location and characteristics of eight definite and two probable krill hotspots of abundance. Directional-dependence analysis revealed that krill hotspots were oriented in a northwest-southeast (135 degrees) direction, corresponding to the anisotropy of the 200-2000 m isobath. Krill hotspots were disassociated (inversely correlated) with three upwelling centers, Point Arena, Point Sur, and Point Conception, suggesting that krill may avoid locations of strong offshore transport or aggregate downstream from these locations. While current fisheries management considers the entire coast out to the 2000 m isobath critical habitat for krill in this ecosystem, we establish here smaller scale structuring of this critical mid-trophic level prey resource. Identifying mesoscale krill hotspots and their oceanographic determinants is significant as these smaller ecosystem divisions may warrant protection to ensure key ecosystem functions (i.e., trophic transfer) and resilience. Furthermore, delineating and quantifying krill hotspots may be important for conservation of krill-predators in this system. (C) 2011 Elsevier Ltd. All rights reserved.</t>
  </si>
  <si>
    <t>[Santora, Jarrod A.; Sydeman, William J.] Farallon Inst Adv Ecosyst Res, Petaluma, CA 94952 USA; [Schroeder, Isaac D.] NOAA Fisheries, Pacific Fisheries Environm Lab, Pacific Grove, CA USA; [Wells, Brian K.; Field, John C.] SW Fisheries Sci Ctr, NOAA Fisheries, Santa Cruz, CA 95060 USA</t>
  </si>
  <si>
    <t>National Oceanic Atmospheric Admin (NOAA) - USA; National Oceanic Atmospheric Admin (NOAA) - USA</t>
  </si>
  <si>
    <t>Santora, JA (corresponding author), Farallon Inst Adv Ecosyst Res, POB 750756, Petaluma, CA 94952 USA.</t>
  </si>
  <si>
    <t>jasantora@gmail.com</t>
  </si>
  <si>
    <t>California Ocean Protection Council and California Sea [OPC-ENV-07]; NASA [NNX09AU39G]; Division Of Ocean Sciences; Directorate For Geosciences [0929017] Funding Source: National Science Foundation</t>
  </si>
  <si>
    <t>California Ocean Protection Council and California Sea; NASA(National Aeronautics &amp; Space Administration (NASA)); Division Of Ocean Sciences; Directorate For Geosciences(National Science Foundation (NSF)NSF - Directorate for Geosciences (GEO))</t>
  </si>
  <si>
    <t>We thank members of the NOAA-NMFS Juvenile Rockfish Survey team, including Keith Sakuma, Ken Baltz, Stephen Ralston and Baldo Marinovic for species identification and discussion. Acoustic processing was greatly enhanced through collaboration with the NOAA-NMFS US Antarctic Marine Living Resources (AMLR) program and we are thankful for the assistance and support of Anthony Cossio and Christian S. Reiss. We appreciate the reviews from four anonymous reviewers and Valerie J. Loeb for helping to strengthen this paper. Funding for this project was made possible through a grant to WJS and Steven J. Bograd from the California Ocean Protection Council and California Sea Grant (OPC-ENV-07) and to F. Chavez and B. Wells from NASA (project no. NNX09AU39G).</t>
  </si>
  <si>
    <t>0079-6611</t>
  </si>
  <si>
    <t>PROG OCEANOGR</t>
  </si>
  <si>
    <t>Prog. Oceanogr.</t>
  </si>
  <si>
    <t>10.1016/j.pocean.2011.04.002</t>
  </si>
  <si>
    <t>863XQ</t>
  </si>
  <si>
    <t>WOS:000298202000004</t>
  </si>
  <si>
    <t>Woolfenden, ENM; Hince, G; Powell, SM; Stark, SC; Snape, I; Stark, JS; George, SC</t>
  </si>
  <si>
    <t>Woolfenden, E. N. M.; Hince, G.; Powell, S. M.; Stark, S. C.; Snape, I.; Stark, J. S.; George, S. C.</t>
  </si>
  <si>
    <t>The rate of removal and the compositional changes of diesel in Antarctic marine sediment</t>
  </si>
  <si>
    <t>SCIENCE OF THE TOTAL ENVIRONMENT</t>
  </si>
  <si>
    <t>Remediation; Biodegradation; Dissolution; Hydrocarbon; Oil; Antarctica</t>
  </si>
  <si>
    <t>AROMATIC-HYDROCARBONS; PETROLEUM-HYDROCARBONS; MICROBIAL-DEGRADATION; BACTERIAL COMMUNITIES; ARTHUR HARBOR; CRUDE OILS; BIODEGRADATION; CONTAMINATION; MINERALIZATION; BIOREMEDIATION</t>
  </si>
  <si>
    <t>Diesels and lubricants used at research stations can persist in terrestrial and marine sediments for decades, but knowledge of their effects on the surrounding environments is limited. In a 5 year in situ investigation, marine sediment spiked with Special Antarctic Blend (SAB) diesel was placed on the seabed of O'Brien Bay near Casey Station, Antarctica and sampled after 5, 56, 65, 104 and 260 weeks. The rates and possible mechanisms of removal of the diesel from the marine sediments are presented here. The hydrocarbons within the spiked sediment were removed at an overall rate of 4.7 mg total petroleum hydrocarbons kg(-1) sediment week(-1), or 245 mg kg(-1) year(-1), although seasonal variation was evident. The concentration of total petroleum hydrocarbons fell markedly from 2020 +/- 340 mg kg(-1) to 800 +/- 190 mg kg(-1), but after 5 years the spiked sediment was still contaminated relative to natural organic matter (160 +/- 170 mg kg(-1)). Specific compounds in SAB diesel preferentially decreased in concentration, but not as would be expected if biodegradation was the sole mechanism responsible. Naphthalene was removed more readily than n-alkanes, suggesting that aqueous dissolution played a major role in the reduction of SAB diesel. 1,3,5,7-Teramethyladamantane and 1,3-dimethyladamantane were the most recalcitrant isomers in the spiked marine sediment. Dissolution of aromatic compounds from marine sediment increases the availability of more soluble, aromatic compounds in the water column. This could increase the area of contamination and potentially broaden the region impacted by ecotoxicological effects from shallow sediment dwelling fauna, as noted during biodegradation, to shallow (&lt;19 m) water dwelling fauna. (C) 2011 Elsevier B.V. All rights reserved.</t>
  </si>
  <si>
    <t>[Woolfenden, E. N. M.; George, S. C.] Macquarie Univ, Dept Earth &amp; Planetary Sci, Sydney, NSW 2109, Australia; [Woolfenden, E. N. M.; Hince, G.; Powell, S. M.; Stark, S. C.; Snape, I.; Stark, J. S.] Dept Environm &amp; Heritage, Australian Antarctic Div, Kingston, Tas 7050, Australia; [Powell, S. M.] Univ Tasmania, Tasmanian Inst Agr Res, Sandy Bay, Tas 7005, Australia</t>
  </si>
  <si>
    <t>Macquarie University; Australian Antarctic Division; University of Tasmania</t>
  </si>
  <si>
    <t>Woolfenden, ENM (corresponding author), Macquarie Univ, Dept Earth &amp; Planetary Sci, Sydney, NSW 2109, Australia.</t>
  </si>
  <si>
    <t>ellen.woolfenden@mq.edu.au</t>
  </si>
  <si>
    <t>Stark, Jonathan/ABF-4025-2020; George, Simon Christopher/G-7134-2015; Powell, Shane M/C-2391-2014</t>
  </si>
  <si>
    <t>Stark, Jonathan/0000-0002-4268-8072; George, Simon Christopher/0000-0001-6534-3846; Powell, Shane/0000-0001-5082-1630</t>
  </si>
  <si>
    <t>Macquarie University; Australian Antarctic Division [AAS 2915]</t>
  </si>
  <si>
    <t>Macquarie University; Australian Antarctic Division</t>
  </si>
  <si>
    <t>The authors would like to thank Paul Harvey and Ben Raymond from the Australian Antarctic Division for their technical support and the Casey diving team for collecting the samples over the 5 years. In addition we would like to thank Macquarie University for a MQRES scholarship to Ellen Woolfenden and the Australian Antarctic Division for financial and in-kind support (AAS 2915 grant). We are grateful to two anonymous reviewers whose comments helped us to improve the paper.</t>
  </si>
  <si>
    <t>0048-9697</t>
  </si>
  <si>
    <t>SCI TOTAL ENVIRON</t>
  </si>
  <si>
    <t>Sci. Total Environ.</t>
  </si>
  <si>
    <t>10.1016/j.scitotenv.2011.09.013</t>
  </si>
  <si>
    <t>863YG</t>
  </si>
  <si>
    <t>WOS:000298203600027</t>
  </si>
  <si>
    <t>Stein, GM</t>
  </si>
  <si>
    <t>Stein, Glenn M.</t>
  </si>
  <si>
    <t>An Arctic Execution: Private Charles B. Henry of the United States Lady Franklin Bay Expedition 1881-84</t>
  </si>
  <si>
    <t>ARCTIC</t>
  </si>
  <si>
    <t>Lady Franklin Bay Expedition; Charles B. Henry; Adolphus Greely; Brainard; Cape Clay; execution; International Polar Year expedition</t>
  </si>
  <si>
    <t>Private Charles B. Henry, of the United States Lady Franklin Bay Expedition, was put to death by a summary military execution on 6 June 1884, at Camp Clay, near Cape Sabine, Ellesmere Land, in the High Arctic. An execution is an extremely rare event in Arctic and Antarctic history. Shrouded in mystery for over 125 years, Henry's execution has been told in two contradicting accounts. By considering the actions of key persons, presenting new details, and identifying related artifacts for the first time, the author concludes that the lesser-known account is likely more accurate and that the participants in the execution had their reasons for not sharing the actual version publicly until many years later.</t>
  </si>
  <si>
    <t>Stein, GM (corresponding author), 646 Pk Forest Court, Apopka, FL 32703 USA.</t>
  </si>
  <si>
    <t>eloasis@earthlink.net</t>
  </si>
  <si>
    <t>ARCTIC INST N AMER</t>
  </si>
  <si>
    <t>CALGARY</t>
  </si>
  <si>
    <t>UNIV OF CALGARY 2500 UNIVERSITY DRIVE NW 11TH FLOOR LIBRARY TOWER, CALGARY, ALBERTA T2N 1N4, CANADA</t>
  </si>
  <si>
    <t>0004-0843</t>
  </si>
  <si>
    <t>Arctic</t>
  </si>
  <si>
    <t>Environmental Sciences; Geography, Physical</t>
  </si>
  <si>
    <t>Environmental Sciences &amp; Ecology; Physical Geography</t>
  </si>
  <si>
    <t>864AE</t>
  </si>
  <si>
    <t>WOS:000298208600001</t>
  </si>
  <si>
    <t>Stirling, I; Ross, JE</t>
  </si>
  <si>
    <t>Stirling, Ian; Ross, Jenny E.</t>
  </si>
  <si>
    <t>Observations of Cannibalism by Polar Bears (Ursus maritimus) on Summer and Autumn Sea Ice at Svalbard, Norway</t>
  </si>
  <si>
    <t>polar bear; Ursus maritimus; intraspecific predation; cannibalism; Svalbard</t>
  </si>
  <si>
    <t>SOUTHERN BEAUFORT SEA; INFANTICIDE; PREDATION</t>
  </si>
  <si>
    <t>We report three instances of intraspecific killing and cannibalism of young polar bears by adult males on the sea ice in Svalbard in summer and autumn. During breakup and melting in summer, the area of sea ice around the Svalbard Archipelago declines to a fraction of the winter total, and in many areas it disappears completely. As the area of sea ice that polar bears can use for hunting declines, progressively fewer seals are accessible to the bears, and therefore the bears' hunting success likely declines as well. Thus, at this time of year, young polar bears may represent a possible food source for adult males. As the climate continues to warm in the Arctic and the sea ice melts earlier in the summer, the frequency of such intraspecific predation may increase.</t>
  </si>
  <si>
    <t>[Stirling, Ian] Environm Canada, Wildlife Res Div, Sci &amp; Technol Branch, Edmonton, AB T6H 3S5, Canada; [Stirling, Ian] Univ Alberta, Dept Biol Sci, Edmonton, AB T6G 2E9, Canada; [Ross, Jenny E.] Jenny E Ross Photog &amp; Journalism, Truckee, CA 96162 USA</t>
  </si>
  <si>
    <t>Environment &amp; Climate Change Canada; Canadian Wildlife Service; Wildlife Research Division - Environment Canada; University of Alberta</t>
  </si>
  <si>
    <t>Stirling, I (corresponding author), Environm Canada, Wildlife Res Div, Sci &amp; Technol Branch, 5320 122 St, Edmonton, AB T6H 3S5, Canada.</t>
  </si>
  <si>
    <t>ian.stirling@ec.gc.ca</t>
  </si>
  <si>
    <t>Environment Canada; Polar Continental Shelf Project; Department of Biological Sciences, University of Alberta</t>
  </si>
  <si>
    <t>Environment Canada(CGIAR); Polar Continental Shelf Project(Natural Resources Canada); Department of Biological Sciences, University of Alberta(University of Alberta)</t>
  </si>
  <si>
    <t>We particularly thank Mariano Curiel and Norbert Rosing for generously allowing us to include their unpublished observations. I. Stirling thanks Environment Canada, the Polar Continental Shelf Project, and the Department of Biological Sciences, University of Alberta, for long-term support of his research on polar bears and Quark Expeditions for the opportunity to observe polar bears and seals in their natural sea-ice habitat in the Svalbard Archipelago in the past five summer seasons. J. Ross thanks Oceanwide Expeditions, as well as the Captain and crew of the Antarctic Dream, for the opportunity to observe and photograph polar bears, other wildlife, and sea-ice conditions in the Svalbard Archipelago, the Barents Sea, and the Arctic Ocean during the summer of 2010.</t>
  </si>
  <si>
    <t>WOS:000298208600009</t>
  </si>
  <si>
    <t>Kasana, RC; Gulati, A</t>
  </si>
  <si>
    <t>Kasana, Ramesh C.; Gulati, Arvind</t>
  </si>
  <si>
    <t>Cellulases from psychrophilic microorganisms: a review</t>
  </si>
  <si>
    <t>JOURNAL OF BASIC MICROBIOLOGY</t>
  </si>
  <si>
    <t>Cellulase; Detergents; Characterization; Crystal structure; Improvement; Psychrophiles</t>
  </si>
  <si>
    <t>RESPONSE-SURFACE METHODOLOGY; SITE-DIRECTED MUTAGENESIS; X-RAY-DIFFRACTION; PSEUDOALTEROMONAS-HALOPLANKTIS; ANTARCTIC BACTERIUM; BETA-GLUCOSIDASE; ACTIVE CELLULASE; LOW-TEMPERATURES; COLD; OPTIMIZATION</t>
  </si>
  <si>
    <t>Cellulases are hydrolytic enzymes that catalyze total hydrolysis of cellulose into sugars. Cellulases are produced by various groups of microorganisms and animals; however, psychro-philes are the ideal candidates for the production of enzymes active at low temperature and stable under alkaline conditions, in the presence of oxidants and detergents, which are in large demand as laundry additives. The cellulases from psychrophiles also find application in environmental bioremediation, food industry and molecular biology. Research work on cellulase has been done over the last six decades, but there is no exclusive review available on the cellulases from psychrophiles. This review is an attempt to fill this gap by providing all the relevant information exclusively for cellulases from psychrophiles, with a focus on the present status of knowledge on their activity, molecular characteristics, gene cloning, statistical expe-rimental designs, crystal structure, and strategies for the improvement of psychrophilic cel-lulases. ((c) 2011 WILEY-VCH Verlag GmbH &amp; Co. KGaA, Weinheim)</t>
  </si>
  <si>
    <t>[Kasana, Ramesh C.; Gulati, Arvind] CSIR, Inst Himalayan Bioresource Technol, Palampur 176061, Himachal Prades, India</t>
  </si>
  <si>
    <t>Council of Scientific &amp; Industrial Research (CSIR) - India; CSIR - Institute of Himalayan Bioresource Technology (IHBT)</t>
  </si>
  <si>
    <t>Kasana, RC (corresponding author), CSIR, Inst Himalayan Bioresource Technol, Palampur 176061, Himachal Prades, India.</t>
  </si>
  <si>
    <t>rkasana@ihbt.res.in</t>
  </si>
  <si>
    <t>Gulati, Ashu/F-2610-2011</t>
  </si>
  <si>
    <t>gulati, arvind/0000-0002-1798-9324; Kasana, Ramesh/0000-0003-2280-7190</t>
  </si>
  <si>
    <t>Institute of Himalayan Bioresource Technology, Palampur; Council of Scientific and Industrial Research under the CSIR [NWP 006]</t>
  </si>
  <si>
    <t>Institute of Himalayan Bioresource Technology, Palampur; Council of Scientific and Industrial Research under the CSIR</t>
  </si>
  <si>
    <t>The authors are grateful to the Director of the Institute of Himalayan Bioresource Technology, Palampur, for support and encouragement. The Council of Scientific and Industrial Research is also acknowledged for financial support under the CSIR Network Project Exploitation of India's Rich Microbial Diversity (NWP 006).</t>
  </si>
  <si>
    <t>0233-111X</t>
  </si>
  <si>
    <t>1521-4028</t>
  </si>
  <si>
    <t>J BASIC MICROB</t>
  </si>
  <si>
    <t>J. Basic Microbiol.</t>
  </si>
  <si>
    <t>10.1002/jobm.201000385</t>
  </si>
  <si>
    <t>860LN</t>
  </si>
  <si>
    <t>WOS:000297949900003</t>
  </si>
  <si>
    <t>Cristóbal, HA; López, MA; Kothe, E; Abate, CM</t>
  </si>
  <si>
    <t>Antonio Cristobal, Hector; Alejandra Lopez, Maria; Kothe, Erika; Mauricio Abate, Carlos</t>
  </si>
  <si>
    <t>Diversity of protease-producing marine bacteria from sub-antarctic environments</t>
  </si>
  <si>
    <t>-Proteobacteria; Cold-active protease; Benthonic organisms; 16S rDNA; ARDRA</t>
  </si>
  <si>
    <t>EXTRACELLULAR PROTEASES; GENE-TRANSFER; SEDIMENTS</t>
  </si>
  <si>
    <t>From seawater and the intestines of benthonic organisms collected from the Beagle Channel, Argentina, 230 marine bacteria were isolated. Cultivable bacteria were characterized and classified as psychrotolerant, whereas few isolates were psychrophiles. These isolates were capable of producing proteases at 4 and 15 degrees C under neutral (pH 7.0), alkaline (pH 10.0) and acidic (pH 4.5) conditions on different media, revealing 62, 33 and 22% producers at cold and 84, 47 and 33% producers at low temperatures, respectively. More protease-producing strains (67%) were detected when isolated from benthic invertebrates as compared to seawater (33%), with protease production under neutral conditions resulting in milk protein hydrolysis halos between 27 and 30 +/- 2 mm in diameter. Using sterile 0.22 mu m membrane filters, 29 isolates exhibiting extracellular protease activity were detected. These were grouped into six operational taxonomic units by restriction analysis and identified based on 16S rDNA as ?-proteobacteria of the genera Pseudoalteromonas, Pseudomonas, Shewanella, Alteromonas, Aeromonas, and Serratia. Plasmids were found to be harbored by eight strains, mainly within the isolates from benthonic organisms. ((c) 2011 WILEY-VCH Verlag GmbH &amp; Co. KGaA, Weinheim)</t>
  </si>
  <si>
    <t>[Antonio Cristobal, Hector; Alejandra Lopez, Maria; Mauricio Abate, Carlos] Consejo Nacl Invest Cient &amp; Tecn, PROIMI, RA-4000 San Miguel De Tucuman, Argentina; [Kothe, Erika] Univ Jena, Biol Pharmazeut Fak, Inst Mikrobiol, D-07743 Jena, Germany; [Mauricio Abate, Carlos] Univ Nacl Tucuman, Inst Miguel Lillo, San Miguel De Tucuman, Argentina; [Mauricio Abate, Carlos] Univ Nacl Tucuman, Fac Ciencias Nat, San Miguel De Tucuman, Argentina; [Mauricio Abate, Carlos] Univ Nacl Tucuman, Fac Bioquim Quim &amp; Farm, San Miguel De Tucuman, Argentina</t>
  </si>
  <si>
    <t>Consejo Nacional de Investigaciones Cientificas y Tecnicas (CONICET); Friedrich Schiller University of Jena; Miguel Lillo Foundation; Universidad Nacional de Tucuman; Universidad Nacional de Tucuman; Universidad Nacional de Tucuman</t>
  </si>
  <si>
    <t>Cristóbal, HA (corresponding author), Consejo Nacl Invest Cient &amp; Tecn, PROIMI, Av Belgrano y Pasaje Caseros, RA-4000 San Miguel De Tucuman, Argentina.</t>
  </si>
  <si>
    <t>hectorcristobal_1@hotmail.com</t>
  </si>
  <si>
    <t>10.1002/jobm.201000413</t>
  </si>
  <si>
    <t>WOS:000297949900005</t>
  </si>
  <si>
    <t>Bertolino, M; Calcinai, B; Pansini, M</t>
  </si>
  <si>
    <t>Bertolino, Marco; Calcinai, B.; Pansini, M.</t>
  </si>
  <si>
    <t>Two new species of Poecilosclerida (Porifera: Demospongiae) from Terra Nova Bay (Antarctic Sea) (vol 89, pg 1671, 2010)</t>
  </si>
  <si>
    <t>JOURNAL OF THE MARINE BIOLOGICAL ASSOCIATION OF THE UNITED KINGDOM</t>
  </si>
  <si>
    <t>0025-3154</t>
  </si>
  <si>
    <t>J MAR BIOL ASSOC UK</t>
  </si>
  <si>
    <t>J. Mar. Biol. Assoc. U.K.</t>
  </si>
  <si>
    <t>10.1017/S0025315410001736</t>
  </si>
  <si>
    <t>859MY</t>
  </si>
  <si>
    <t>WOS:000297881700017</t>
  </si>
  <si>
    <t>Gorham, PW; Baginski, FE; Allison, P; Liewer, KM; Miki, C; Hill, B; Varner, GS</t>
  </si>
  <si>
    <t>Gorham, P. W.; Baginski, F. E.; Allison, P.; Liewer, K. M.; Miki, C.; Hill, B.; Varner, G. S.</t>
  </si>
  <si>
    <t>The ExaVolt Antenna: A large-aperture, balloon-embedded antenna for ultra-high energy particle detection</t>
  </si>
  <si>
    <t>Neutrinos; Cosmic-rays</t>
  </si>
  <si>
    <t>GAMMA-RAY BURSTS; COSMIC-RAYS; NEUTRINO; ACCELERATION; RADIATION; MEMBRANES; EMISSION; CHARGE</t>
  </si>
  <si>
    <t>We describe the scientific motivation, experimental basis, design methodology, and simulated performance of the ExaVolt Antenna (EVA) mission, and planned ultra-high energy (UHE) particle observatory under development for NASA's suborbital super-pressure balloon program in Antarctica. EVA will improve over ANITA's integrated totals - the current state-of-the-art in UHE suborbital payloads - by 1-2 orders of magnitude in a single flight. The design is based on a novel application of toroidal reflector optics which utilizes a super-pressure balloon surface, along with a feed-array mounted on an inner membrane, to create an ultra-large radio antenna system with a synoptic view of the Antarctic ice sheet below it. Radio impulses arise via the Askaryan effect when UHE neutrinos interact within the ice, or via geosynchrotron emission when UHE cosmic rays interact in the atmosphere above the continent. EVA's instantaneous antenna aperture is estimated to be several hundred m(2) for detection of these events within a 150-600 MHz band. For standard cosmogenic UHE neutrino models, EVA should detect of order 30 events per flight in the EeV energy regime. For UHE cosmic rays, of order 15,000 geosynchrotron events would be detected in total, several hundred above 10 EeV, and of order 60 above the GZK cutoff energy. (C) 2011 Elsevier B.V. All rights reserved.</t>
  </si>
  <si>
    <t>[Gorham, P. W.; Allison, P.; Miki, C.; Hill, B.; Varner, G. S.] Univ Hawaii Manoa, Dept Phys &amp; Astron, Honolulu, HI 96822 USA; [Baginski, F. E.] George Washington Univ, Dept Math, Washington, DC 20052 USA; [Liewer, K. M.] CALTECH, Jet Prop Lab, Pasadena, CA USA</t>
  </si>
  <si>
    <t>University of Hawaii System; University of Hawaii Manoa; George Washington University; National Aeronautics &amp; Space Administration (NASA); NASA Jet Propulsion Laboratory (JPL); California Institute of Technology</t>
  </si>
  <si>
    <t>Gorham, PW (corresponding author), Univ Hawaii Manoa, Dept Phys &amp; Astron, Honolulu, HI 96822 USA.</t>
  </si>
  <si>
    <t>gorham@phys.hawaii.edu</t>
  </si>
  <si>
    <t>Gorham, Peter/0000-0002-0923-9363; Allison, Patrick/0000-0001-8141-2653</t>
  </si>
  <si>
    <t>NASA's Balloon Program Office and Columbia Scientific Balloon Facility; Department of Energy's Office of Science</t>
  </si>
  <si>
    <t>NASA's Balloon Program Office and Columbia Scientific Balloon Facility; Department of Energy's Office of Science(United States Department of Energy (DOE))</t>
  </si>
  <si>
    <t>We thank NASA's Balloon Program Office and Columbia Scientific Balloon Facility, and the Department of Energy's Office of Science for their support of these efforts. We also thank Julia Fiedler and Germano Zerbini for their excellent work on the antenna scale models.</t>
  </si>
  <si>
    <t>10.1016/j.astropartphys.2011.08.004</t>
  </si>
  <si>
    <t>853OB</t>
  </si>
  <si>
    <t>WOS:000297434500004</t>
  </si>
  <si>
    <t>Andreas, EL</t>
  </si>
  <si>
    <t>Andreas, Edgar L.</t>
  </si>
  <si>
    <t>The Fallacy of Drifting Snow</t>
  </si>
  <si>
    <t>BOUNDARY-LAYER METEOROLOGY</t>
  </si>
  <si>
    <t>Bulk turbulent flux algorithm; Drag coefficient; Fictitious correlation; Ice Station Weddell; Roughness length; Saltation; Sea ice; SHEBA; Snow; Turbulence measurements</t>
  </si>
  <si>
    <t>ATMOSPHERIC BOUNDARY-LAYER; PARAMETERIZING TURBULENT EXCHANGE; ICE DRAG COEFFICIENTS; WESTERN WEDDELL SEA; BLOWING SNOW; BULK PARAMETERIZATION; PROFILE MEASUREMENTS; ROUGHNESS LENGTH; STATION-WEDDELL; SCALAR TRANSFER</t>
  </si>
  <si>
    <t>A common parametrization over snow-covered surfaces that are undergoing saltation is that the aerodynamic roughness length for wind speed (z(0)) scales as alpha u(*)(2)/g, where u(*) is the friction velocity, g is the acceleration of gravity, and a is an empirical constant. Data analyses seem to support this scaling: many published plots of z(0) measured over snow demonstrate proportionality to u(*)(2). In fact, I show similar plots here that are based on two large eddy-covariance datasets: one collected over snow-covered Arctic sea ice; another collected over snow-covered Antarctic sea ice. But in these and in most such plots from the literature, the independent variable, u(*), was used to compute z(0) in the first place; the plots thus suffer from fictitious correlation that causes z(0) to unavoidably increase with u(*) without any intervening physics. For these two datasets, when I plot z(0) against u(*) derived from a bulk flux algorithm- and thus minimize the fictitious correlation-z(0) is independent of u(*) in the drifting snow region, u(*) &gt;= 0.30 ms(-1). I conclude that the relation z(0) = alpha u(*)(2)/g when snow is drifting is a fallacy fostered by analyses that suffer from fictitious correlation.</t>
  </si>
  <si>
    <t>NW Res Associates Inc, Seattle Div, Lebanon, NH 03766 USA</t>
  </si>
  <si>
    <t>NorthWest Research Associates</t>
  </si>
  <si>
    <t>Andreas, EL (corresponding author), NW Res Associates Inc, Seattle Div, 25 Eagle Ridge, Lebanon, NH 03766 USA.</t>
  </si>
  <si>
    <t>eandreas@nwra.com</t>
  </si>
  <si>
    <t>U.S. National Science Foundation (NSF) [06-11942, 10-19322]; NSF; Division Of Polar Programs; Directorate For Geosciences [1019322] Funding Source: National Science Foundation</t>
  </si>
  <si>
    <t>U.S. National Science Foundation (NSF)(National Science Foundation (NSF)); NSF(National Science Foundation (NSF)); Division Of Polar Programs; Directorate For Geosciences(National Science Foundation (NSF)NSF - Directorate for Geosciences (GEO))</t>
  </si>
  <si>
    <t>I would like to thank my colleagues in the SHEBA Atmospheric Surface Flux Group for help in collecting, processing, and understanding the SHEBA data: Chris Fairall, Andrey Grachev, Peter Guest, Tom Horst, Rachel Jordan, and Ola Persson. I would also like to thank the other members of the meteorology team on Ice Station Weddell for help in collecting the data there: Kerry Claffey, Boris Ivanov, and Aleksandr Makshtas. Michael Lehning and an anonymous reviewer provided helpful critiques of an earlier version of this manuscript. The U.S. National Science Foundation (NSF) supported this work with awards 06-11942 and 10-19322. NSF also supported my programs on Ice Station Weddell and at SHEBA with previous awards.</t>
  </si>
  <si>
    <t>0006-8314</t>
  </si>
  <si>
    <t>BOUND-LAY METEOROL</t>
  </si>
  <si>
    <t>Bound.-Layer Meteor.</t>
  </si>
  <si>
    <t>10.1007/s10546-011-9647-8</t>
  </si>
  <si>
    <t>857SC</t>
  </si>
  <si>
    <t>WOS:000297738100001</t>
  </si>
  <si>
    <t>Gruetzner, J; Uenzelmann-Neben, G; Franke, D</t>
  </si>
  <si>
    <t>Gruetzner, Jens; Uenzelmann-Neben, Gabriele; Franke, Dieter</t>
  </si>
  <si>
    <t>Variations in bottom water activity at the southern Argentine margin: indications from a seismic analysis of a continental slope terrace</t>
  </si>
  <si>
    <t>GEO-MARINE LETTERS</t>
  </si>
  <si>
    <t>International Congress on Deep-Water Circulation - Processes and Products</t>
  </si>
  <si>
    <t>JUN 16-18, 2010</t>
  </si>
  <si>
    <t>Univ Vigo, Baiona, SPAIN</t>
  </si>
  <si>
    <t>Univ Vigo</t>
  </si>
  <si>
    <t>ATLANTIC-OCEAN; MIOCENE; CIRCULATION; BOUNDARY; SEDIMENT; BASIN; RESOLUTION; EVOLUTION; PLATEAU; HISTORY</t>
  </si>
  <si>
    <t>Continental slope terraces at the southern Argentine margin are part of a significant contourite depositional system composed of a variety of drifts, channels, and sediment waves. Here, a refined seismostratigraphic model for the sedimentary development of the Valentin Feilberg Terrace located in similar to 4.1 km water depth is presented. Analyzing multichannel seismic profiles across and along this terrace, significant changes in terrace morphology and seismic reflection character are identified and interpreted to reflect variations in deep water hydrography from Late Miocene to recent times, involving variable flow of Antarctic Bottom Water and Circumpolar Deep Water. A prominent basin-wide aggradational seismic unit is interpreted to represent the Mid-Miocene climatic optimum (similar to 17-14 Ma). A major current reorganization can be inferred for the time similar to 14-12 Ma when the Valentin Feilberg Terrace started growing due to the deposition of sheeted and mounded drifts. After similar to 12 Ma, bottom water flow remained vigorous at both margins of the terrace. Another intensification of bottom flow occurred at similar to 5-6 Ma when a mounded drift, moats, and sediment waves developed on the terrace. This may have been caused by a general change in deep water mass organization following the closure of the Panamanian gateway, and a subsequent stronger southward flow of North Atlantic Deep Water.</t>
  </si>
  <si>
    <t>[Gruetzner, Jens; Uenzelmann-Neben, Gabriele] Alfred Wegener Inst Polar &amp; Marine Res, D-27568 Bremerhaven, Germany; [Franke, Dieter] Bundesanstalt Geowissensch &amp; Rohstoffe, D-3000 Hannover, Germany</t>
  </si>
  <si>
    <t>Gruetzner, J (corresponding author), Alfred Wegener Inst Polar &amp; Marine Res, D-27568 Bremerhaven, Germany.</t>
  </si>
  <si>
    <t>Jens.Gruetzner@awi.de</t>
  </si>
  <si>
    <t>Franke, Dieter/A-5383-2011; Uenzelmann-Neben, Gabriele/AAI-8618-2020</t>
  </si>
  <si>
    <t>Franke, Dieter/0000-0002-1488-026X; Uenzelmann-Neben, Gabriele/0000-0002-0115-5923; Gruetzner, Jens/0000-0001-5445-2393</t>
  </si>
  <si>
    <t>0276-0460</t>
  </si>
  <si>
    <t>1432-1157</t>
  </si>
  <si>
    <t>GEO-MAR LETT</t>
  </si>
  <si>
    <t>Geo-Mar. Lett.</t>
  </si>
  <si>
    <t>10.1007/s00367-011-0252-0</t>
  </si>
  <si>
    <t>857OX</t>
  </si>
  <si>
    <t>WOS:000297729200008</t>
  </si>
  <si>
    <t>Preu, B; Spiess, V; Schwenk, T; Schneider, R</t>
  </si>
  <si>
    <t>Preu, Benedict; Spiess, Volkhard; Schwenk, Tilmann; Schneider, Ralph</t>
  </si>
  <si>
    <t>Evidence for current-controlled sedimentation along the southern Mozambique continental margin since Early Miocene times</t>
  </si>
  <si>
    <t>NORTHERNMOST NATAL VALLEY; AGULHAS CURRENT; INDIAN-OCEAN; DELAGOA-BIGHT; CHANNEL; AFRICA; RETROFLECTION; EDDIES; OCEANOGRAPHY; CIRCULATION</t>
  </si>
  <si>
    <t>Major plastered drift sequences were imaged using high-resolution multichannel seismics during R/V Meteor cruises M63/1 and M75/3 south of the Mozambique Channel along the continental margin of Mozambique off the Limpopo River. Detailed seismic-stratigraphic analyses enabled the reconstruction of the onset and development of the modern, discontinuous, eddy-dominated Mozambique Current. Major drift sequences can first be identified during the Early Miocene. Consistent with earlier findings, a progressive northward shift of the depocenter indicates that, on a geological timescale, a steady but variable Mozambique Current existed from this time onward. It can furthermore be shown that, during the Early/Middle Miocene, a coast-parallel current was established off the Limpopo River as part of a lee eddy system driven by the Mozambique Current. Modern sedimentation is controlled by the interplay between slope morphology and the lee eddy system, resulting in upwelling of Antarctic Intermediate Water. Drift accumulations at larger depths are related to the reworking of sediment by deep-reaching eddies that migrate southward, forming the Mozambique Current and eventually merging with the Agulhas Current.</t>
  </si>
  <si>
    <t>[Preu, Benedict; Spiess, Volkhard; Schwenk, Tilmann] Univ Bremen, MARUM Ctr Marine Environm Sci, D-28359 Bremen, Germany; [Spiess, Volkhard; Schwenk, Tilmann] Univ Bremen, Fac Geosci, D-28359 Bremen, Germany; [Schneider, Ralph] Univ Kiel, Dept Geosci, D-24118 Kiel, Germany</t>
  </si>
  <si>
    <t>University of Bremen; University of Bremen; University of Kiel</t>
  </si>
  <si>
    <t>Preu, B (corresponding author), Univ Bremen, MARUM Ctr Marine Environm Sci, D-28359 Bremen, Germany.</t>
  </si>
  <si>
    <t>bpreu@uni-bremen.de</t>
  </si>
  <si>
    <t>Schwenk, Tilmann/AGD-5168-2022; Spiess, Volkhard/E-4376-2010</t>
  </si>
  <si>
    <t>Schwenk, Tilmann/0000-0002-9916-0340; Spiess, Volkhard/0000-0001-5019-5844</t>
  </si>
  <si>
    <t>10.1007/s00367-011-0238-y</t>
  </si>
  <si>
    <t>WOS:000297729200010</t>
  </si>
  <si>
    <t>Bozzano, G; Violante, RA; Cerredo, ME</t>
  </si>
  <si>
    <t>Bozzano, Graziella; Violante, Roberto A.; Elena Cerredo, Maria</t>
  </si>
  <si>
    <t>Middle slope contourite deposits and associated sedimentary facies off NE Argentina</t>
  </si>
  <si>
    <t>LAST GLACIAL MAXIMUM; WESTERN SOUTH-ATLANTIC; ISOTOPIC CONSTRAINTS; LANDSCAPE EVOLUTION; DOME-C; DUST; TRANSPORT; PATAGONIA; VARIABILITY; CIRCULATION</t>
  </si>
  <si>
    <t>The Argentine continental margin is characterised by a large contourite depositional system driven by southern-sourced water masses flowing at different water depths. Interest in contourite deposits is increasing in geoscience and related fields, though knowledge of the Argentine contourite system is still limited. In particular, studies based on core data providing detailed descriptions of sedimentary facies are lacking, as are investigations of principal sediment source areas and of key factors controlling sedimentary processes. This study combines visual core description and downcore grain-size analyses as well as petrographic thin-section and magnetic susceptibility analyses of 14 cores from intermediate water depths of 616-1,208 m to characterise contourite deposits on the north-eastern Argentinean slope. Gravel-rich, sandy-silty and muddy contourites as well as hemipelagic facies were identified. The deposition of these contourites was presumably controlled by sea level, the depth range of the Antarctic water mass, climate conditions and windborne terrigenous supply. It is proposed that, during glacial lowstands, muddy contourites were deposited at depths &lt; 900 m, whereas sandy-silty sequences dominated at deeper depths. During the late Pleistocene-Holocene transition, sandy-silty contourites covered the entire middle slope. Hemipelagic facies draped limited sectors of the middle slope when the sea level reached the present-day position and gravel-rich contourites became restricted to contouritic channels and moats. Northern Patagonia and the southern Pampa are the most plausible sources for sediments deposited via along-slope processes, whereas the Tandilia Range is the best candidate for sediments deposited via down-slope processes.</t>
  </si>
  <si>
    <t>[Bozzano, Graziella; Violante, Roberto A.] Serv Hidrografia Naval, Secc Geol Marina, Buenos Aires, DF, Argentina; [Elena Cerredo, Maria] Univ Buenos Aires, Dept Cs Geol, FCEyN, RA-1053 Buenos Aires, DF, Argentina</t>
  </si>
  <si>
    <t>University of Buenos Aires</t>
  </si>
  <si>
    <t>Bozzano, G (corresponding author), Serv Hidrografia Naval, Secc Geol Marina, Av Montes Oca 2124,C1270ABV, Buenos Aires, DF, Argentina.</t>
  </si>
  <si>
    <t>grazi.hidro.gov.ar@gmail.com</t>
  </si>
  <si>
    <t>Bozzano, Graziella/W-8796-2019</t>
  </si>
  <si>
    <t>Bozzano, Graziella/0000-0002-9286-5380</t>
  </si>
  <si>
    <t>10.1007/s00367-011-0239-x</t>
  </si>
  <si>
    <t>WOS:000297729200015</t>
  </si>
  <si>
    <t>Vernazza, P; Lamy, P; Groussin, O; Hiroi, T; Jorda, L; King, PL; Izawa, MRM; Marchis, F; Birlan, M; Brunetto, R</t>
  </si>
  <si>
    <t>Vernazza, P.; Lamy, P.; Groussin, O.; Hiroi, T.; Jorda, L.; King, P. L.; Izawa, M. R. M.; Marchis, F.; Birlan, M.; Brunetto, R.</t>
  </si>
  <si>
    <t>Asteroid (21) Lutetia as a remnant of Earth's precursor planetesimals</t>
  </si>
  <si>
    <t>ICARUS</t>
  </si>
  <si>
    <t>Asteroids, Composition; Asteroids, Surfaces; Origin, Solar System</t>
  </si>
  <si>
    <t>SPECTRAL REFLECTANCE; SURFACE-PROPERTIES; PARENT BODIES; TARGET; CHONDRITES; SPECTROSCOPY; 21-LUTETIA; MINERALOGY; METEORITE; DENSITY</t>
  </si>
  <si>
    <t>Isotopic and chemical compositions of meteorites, coupled with dynamical simulations, suggest that the main belt of asteroids between Mars and Jupiter contains objects formed in situ as well as a population of interlopers. These interlopers are predicted to include the building blocks of the terrestrial planets as well as objects that formed beyond Neptune (Bottke et al. 2006, Levison et al. 2009, Walsh et al. 2011). Here we report that the main belt asteroid (21) Lutetia - encountered by the Rosetta spacecraft in July 2010 has spectral (from 0.3 to 25 mu m) and physical (albedo, density) properties quantitatively similar to the class of meteorites known as enstatite chondrites. The chemical and isotopic compositions of these chondrites indicate that they were an important component of the formation of Earth and other terrestrial planets. This meteoritic association implies that Lutetia is a member of a small population of planetesimals that formed in the terrestrial planet region and that has been scattered in the main belt by emerging protoplanets (Bottke et al. 2006) and/or by the migration of Jupiter (Walsh et al. 2011) early in its history. Lutetia, along with a few other main-belt asteroids, may contains part of the long-sought precursor material (or closely related materials) from which the terrestrial planets accreted. (C) 2011 Elsevier Inc. All rights reserved.</t>
  </si>
  <si>
    <t>[Vernazza, P.] European So Observ, D-85748 Garching, Germany; [Vernazza, P.; Lamy, P.; Groussin, O.; Jorda, L.] Lab Astrophys Marseille, F-13388 Marseille, France; [Hiroi, T.] Brown Univ, Dept Geol Sci, Providence, RI 02912 USA; [King, P. L.] Univ New Mexico, Inst Meteorit, Albuquerque, NM 87131 USA; [Izawa, M. R. M.] Univ Western Ontario, Dept Earth Sci, London, ON, Canada; [Marchis, F.] Carl Sagan Ctr, SETI Inst, Mountain View, CA 94043 USA; [Marchis, F.; Birlan, M.] Observ Paris, IMCCE, F-75014 Paris, France; [Brunetto, R.] Univ Paris 11, Inst Astrophys Spatiale, CNRS, UMR 8617, F-91405 Orsay, France</t>
  </si>
  <si>
    <t>European Southern Observatory; Aix-Marseille Universite; Brown University; University of New Mexico; Western University (University of Western Ontario); Universite PSL; Observatoire de Paris; Sorbonne Universite; Universite Paris Saclay; Sorbonne Universite; Centre National de la Recherche Scientifique (CNRS); CNRS - National Institute for Earth Sciences &amp; Astronomy (INSU)</t>
  </si>
  <si>
    <t>Vernazza, P (corresponding author), European So Observ, K Schwarzschild Str 2, D-85748 Garching, Germany.</t>
  </si>
  <si>
    <t>pvernazz@eso.org</t>
  </si>
  <si>
    <t>Jorda, Laurent/AAA-1718-2021; Birlan, Mirel/X-8359-2019; Marchis, Franck/H-3971-2012; BIRLAN, Mirel/B-5283-2011; King, Penelope/A-1791-2011</t>
  </si>
  <si>
    <t>JORDA, Laurent/0000-0001-8735-3308; BIRLAN, Mirel/0000-0003-3495-8535; Hiroi, Takahiro/0000-0003-2866-9091; King, Penelope/0000-0002-8364-9168</t>
  </si>
  <si>
    <t>DLR; CNES; ASI; MEC; NASA [NNG06GJ31G]; NSERC; SNSB; National Science Foundation [AAG-08077468]</t>
  </si>
  <si>
    <t>DLR(Helmholtz AssociationGerman Aerospace Centre (DLR)); CNES(Centre National D'etudes Spatiales); ASI(Agenzia Spaziale Italiana (ASI)); MEC; NASA(National Aeronautics &amp; Space Administration (NASA)); NSERC(Natural Sciences and Engineering Research Council of Canada (NSERC)); SNSB(Swedish National Space Agency (SNSA)); National Science Foundation(National Science Foundation (NSF))</t>
  </si>
  <si>
    <t>The visible data are based on observations obtained at the NTT (European Southern Observatory, ESO, Chile). The near-infrared data were acquired by the authors operating.as Visiting Astronomers at the Infrared Telescope Facility, which is operated by the University of Hawaii under Cooperative Agreement No. NNX08AE38A with the National Aeronautics and Space Administration, Science Mission Directorate, Planetary Astronomy Program. OSIRIS was built by a consortium of the Max-Planck-Institut fur Sonnensystemforschung, Lindau, Germany, the Laboratoire d'Astrophysique de Marseille, France, the Centro Interdipartimentale Studi e Attivita Spaziali, University of Padova, Italy, the Instituto de Astrofisica de Andalucia, Granada, Spain, the Research and Scientific Support Department of the European Space Agency (ESA/ESTEC), Noordwijk, The Netherlands, the Instituto Nacional de Tecnica Aerospacial, Madrid, Spain, the Institut fur Datentechnik und Kommunikationsnetze der Technischen Universitat, Braunschweig and the Department of Astronomy and Space Physics of Uppsala University, Sweden. The support of the national funding agencies DLR, CNES, ASI, MEC, NASA, NSERC, and SNSB is gratefully acknowledged. Reflectance spectra of some meteorite powder samples were acquired at RELAB, a multi-user facility supported by NASA Grant NNG06GJ31G, located at Brown University. FM was supported by the National Science Foundation Under Award Number AAG-08077468. We warmly thank the Antarctic meteorite collection for providing the enstatite chondrite samples. We thank Cecilia Satterwhite for preparing the samples. Finally, we'd like to thank both Referees (Bill Bottke and an anonymous reviewer) for their helpful reviews of our paper.</t>
  </si>
  <si>
    <t>0019-1035</t>
  </si>
  <si>
    <t>1090-2643</t>
  </si>
  <si>
    <t>Icarus</t>
  </si>
  <si>
    <t>10.1016/j.icarus.2011.09.032</t>
  </si>
  <si>
    <t>855MH</t>
  </si>
  <si>
    <t>WOS:000297568000022</t>
  </si>
  <si>
    <t>Saunders, KM</t>
  </si>
  <si>
    <t>Saunders, Krystyna M.</t>
  </si>
  <si>
    <t>A diatom dataset and diatom-salinity inference model for southeast Australian estuaries and coastal lakes</t>
  </si>
  <si>
    <t>JOURNAL OF PALEOLIMNOLOGY</t>
  </si>
  <si>
    <t>Diatoms; Multivariate analyses; Transfer function; Australia; Water quality; Coast</t>
  </si>
  <si>
    <t>STREAM WATER-QUALITY; ASSEMBLAGES; EUTROPHICATION; RECONSTRUCTION; TOOLS; PERSPECTIVE; ENVIRONMENT; VICTORIA; WETLANDS; BANKS</t>
  </si>
  <si>
    <t>To quantify the relationship between diatom species assemblages and the water chemistry of southeast Australian estuaries and coastal lakes, a new dataset of 81 modern diatom samples and water chemistry data was created. Three hundred and ninety-nine species from 53 genera were identified in 36 samples from 32 coastal water bodies in eastern Tasmania and 45 samples from 13 coastal water bodies in southern Victoria. Multivariate statistical analyses revealed that the sampling sites were primarily distributed along salinity and nutrient gradients, and that salinity, nitrate + nitrite, phosphate and turbidity explained independent portions of variance in the diatom data. Species salinity optima and tolerances were determined and a diatom-salinity inference model (WAinv r (2) = 0.72, r (2)jack = 0.58, RMSEP = 0.09 log ppt) was developed. This new information on diatom species' salinity preferences provides a useful tool for quantitatively reconstructing salinity changes over time from diatom microfossils preserved in the sediments of a range of estuaries and coastal lakes in southeast Australia. This is valuable for studies investigating long-term human impacts and climate change in the region.</t>
  </si>
  <si>
    <t>[Saunders, Krystyna M.] Univ Bern, Inst Geog, CH-3012 Bern, Switzerland; [Saunders, Krystyna M.] Univ Bern, Oeschger Ctr Climate Change Res, CH-3012 Bern, Switzerland; [Saunders, Krystyna M.] Univ TAS, Inst Antarctic &amp; Marine Studies, Hobart, Tas 7001, Australia</t>
  </si>
  <si>
    <t>University of Bern; University of Bern</t>
  </si>
  <si>
    <t>Saunders, KM (corresponding author), Univ Bern, Inst Geog, CH-3012 Bern, Switzerland.</t>
  </si>
  <si>
    <t>krystyna.saunders@giub.unibe.ch</t>
  </si>
  <si>
    <t>Saunders, Krystyna/G-1368-2019</t>
  </si>
  <si>
    <t>Saunders, Krystyna/0000-0002-6800-2630</t>
  </si>
  <si>
    <t>Australian Postgraduate Award; Australian Institute of Nuclear Science and Engineering; PADI Foundation</t>
  </si>
  <si>
    <t>Australian Postgraduate Award(Australian Government); Australian Institute of Nuclear Science and Engineering; PADI Foundation</t>
  </si>
  <si>
    <t>This study was funded by an Australian Postgraduate Award, with additional funding from the Australian Institute of Nuclear Science and Engineering, Project Aware and the PADI Foundation. I would particularly like to thank Dr. Dom Hodgson for his advice throughout the project and preparation of this manuscript. I would also like to thank Kathryn Taffs, Kaarina Weckstrom, John Gibson and Andrew McMinn for project advice and taxonomic assistance; Steve Juggins for statistical advice; and Kate Dziegielewska, Jessie Webb and Sarah Lovibond for field assistance. Special thanks are also due to the two anonymous reviewers of the original version of this manuscript for their very helpful suggestions, which resulted in a much improved presentation of the results.</t>
  </si>
  <si>
    <t>0921-2728</t>
  </si>
  <si>
    <t>1573-0417</t>
  </si>
  <si>
    <t>J PALEOLIMNOL</t>
  </si>
  <si>
    <t>J. Paleolimn.</t>
  </si>
  <si>
    <t>10.1007/s10933-010-9456-y</t>
  </si>
  <si>
    <t>Environmental Sciences; Geosciences, Multidisciplinary; Limnology</t>
  </si>
  <si>
    <t>Environmental Sciences &amp; Ecology; Geology; Marine &amp; Freshwater Biology</t>
  </si>
  <si>
    <t>855VH</t>
  </si>
  <si>
    <t>WOS:000297593300003</t>
  </si>
  <si>
    <t>Divya, B; Parvathi, A; Bharathi, PAL; Nair, S</t>
  </si>
  <si>
    <t>Divya, Baby; Parvathi, Ammini; Bharathi, P. A. Loka; Nair, Shanta</t>
  </si>
  <si>
    <t>16S rRNA-based bacterial diversity in the organic-rich sediments underlying oxygen-deficient waters of the eastern Arabian Sea</t>
  </si>
  <si>
    <t>WORLD JOURNAL OF MICROBIOLOGY &amp; BIOTECHNOLOGY</t>
  </si>
  <si>
    <t>Bacterial diversity; Cultivation-independent; Oxygen minimum zone; Sediments; Eastern Arabian Sea</t>
  </si>
  <si>
    <t>ANAEROBIC AMMONIUM OXIDATION; BENGUELA UPWELLING SYSTEM; COLD-SEEP SEDIMENTS; MICROBIAL DIVERSITY; MARINE-SEDIMENTS; MINIMUM ZONE; DEEP-SEA; CLONE LIBRARIES; PHYLOGENETIC DIVISION; COMMUNITY COMPOSITION</t>
  </si>
  <si>
    <t>The eastern Arabian Sea has a unique and permanent oxygen minimum zone (OMZ) that extends along the western continental margin of India. The sediment below this region is rich in organic matter. This study describes the bacterial community structure and diversity in OMZ sediments of the eastern Arabian Sea (AS) through 16S rRNA clone library analysis. Phylogenetic analysis of the sequences demonstrated that phylum Proteobacteria (52%), followed by Planctomycetes (12.7%), Chloroflexi and an unidentified bacterial group (8.8% each) were represented in the library. Deltaproteobacteria was the dominant class (62.5%) in phylum Proteobacteria with clones falling in orders Syntrophobacterales and Desulfovibrionales. Few minor phylogenetic groups, corresponding to Spirochetes, Firmicutes, Acidobacteria and Verrucomicrobia were found. Unidentified candidate groups falling in OP11, OP8 and OP3 were represented by 0.9, 2.9 and 3.9%, respectively and two clusters of the cloned sequences in this study showed very low identity to known sequences. This is the first report that discusses the phylogenetic groups in the OMZ sediments of eastern Arabian Sea individually and compares it with available data from marine hypoxic locales and water mass. LIBSHUFF statistics revealed high richness of the bacterial community of the Arabian Sea OMZ (AS-OMZ) compared to the other regions.</t>
  </si>
  <si>
    <t>[Divya, Baby; Bharathi, P. A. Loka; Nair, Shanta] Natl Inst Oceanog CSIR, Microbiol Lab, Panaji 403004, Goa, India; [Parvathi, Ammini] Natl Inst Oceanog, Microbiol Lab, Reg Ctr, Kochi 682018, Kerala, India</t>
  </si>
  <si>
    <t>Council of Scientific &amp; Industrial Research (CSIR) - India; CSIR - National Institute of Oceanography (NIO); Council of Scientific &amp; Industrial Research (CSIR) - India; CSIR - National Institute of Oceanography (NIO)</t>
  </si>
  <si>
    <t>Nair, S (corresponding author), Natl Inst Oceanog CSIR, Microbiol Lab, Panaji 403004, Goa, India.</t>
  </si>
  <si>
    <t>shanta@nio.org</t>
  </si>
  <si>
    <t>Divya, Baby/AAE-1038-2021</t>
  </si>
  <si>
    <t>Divya, Baby/0000-0003-2002-9882</t>
  </si>
  <si>
    <t>Central Marine Living Resources and Ecology (CMLRE), Kochi; Ministry of Earth Sciences, New Delhi; Council of Scientific and Industrial Research, New Delhi</t>
  </si>
  <si>
    <t>Central Marine Living Resources and Ecology (CMLRE), Kochi; Ministry of Earth Sciences, New Delhi; Council of Scientific and Industrial Research, New Delhi(Council of Scientific &amp; Industrial Research (CSIR) - India)</t>
  </si>
  <si>
    <t>We thank Dr. David Kirchman (University of Delaware, USA) for his invaluable suggestions and Dr. C. T. Achuthankutty, Consultant, National Centre for Antarctic Ocean Research (NCAOR), Goa for critically reading the manuscript. We thank Drs. Hemant J. Purohit and Atya Kapley (NEERI, CSIR, India) for their valuable suggestions in the construction of genomic libraries during the initial stages of this work. We are grateful to the captain and crew members of ORV Sagar Sampada for their help during the cruise. The financial support for the project System Analyses of OMZ: A polyphasic approach by the Central Marine Living Resources and Ecology (CMLRE), Kochi and laboratory facilities of Marine Microbial Reference Facility (COMAPS) of NIO RC, Kochi, funded by the Ministry of Earth Sciences, New Delhi are acknowledged. We duly acknowledge the valuable scientific comments of the two anonymous reviewers which has considerably improved the quality of the revised manuscript. BD thanks Council of Scientific and Industrial Research, New Delhi, for the award of Senior Research Fellowship. This is NIO contribution no. 4967.</t>
  </si>
  <si>
    <t>0959-3993</t>
  </si>
  <si>
    <t>1573-0972</t>
  </si>
  <si>
    <t>WORLD J MICROB BIOT</t>
  </si>
  <si>
    <t>World J. Microbiol. Biotechnol.</t>
  </si>
  <si>
    <t>10.1007/s11274-011-0760-0</t>
  </si>
  <si>
    <t>855VQ</t>
  </si>
  <si>
    <t>WOS:000297594400010</t>
  </si>
  <si>
    <t>Alonso-Sáez, L; Andersson, A; Heinrich, F; Bertilsson, S</t>
  </si>
  <si>
    <t>Alonso-Saez, Laura; Andersson, Anders; Heinrich, Friederike; Bertilsson, Stefan</t>
  </si>
  <si>
    <t>High archaeal diversity in Antarctic circumpolar deep waters</t>
  </si>
  <si>
    <t>ENVIRONMENTAL MICROBIOLOGY REPORTS</t>
  </si>
  <si>
    <t>DIFFERENT OCEANIC PROVINCES; ARCTIC-OCEAN; PLANKTONIC ARCHAEA; ATLANTIC-OCEAN; COASTAL WATERS; MARINE ARCHAEA; POLAR FRONT; ASSEMBLAGES; PROKARYOTES; ABUNDANCE</t>
  </si>
  <si>
    <t>Archaea are abundant in polar oceans but important ecological aspects of this group remain enigmatic, such as patterns of diversity and biogeography. Here, we provide the first high-throughput sequencing population study of Antarctic archaea based on 198 bp fragments of the 16S rRNA gene, targeting different water masses across the Amundsen and Ross Seas. Our results suggest that archaeal community composition is strongly shaped by hydrography and significantly influenced by environmental parameters. Archaeal communities from cold continental shelf waters (SW) of the Ross Sea were similar over depth with a single thaumarchaeal phylotype dominating Antarctic surface waters (AASW) and deeper SW (contributing up to 80% of reads). However, this phylotype contributed less than 8% of reads in circumpolar deep waters (CDW). A related thaumarchaeon (98% identity) was almost absent in AASW, but contributed up to 30% of reads in CDW, suggesting ecological differentiation of closely related phylotypes. Significantly higher archaeal richness and evenness were observed in CDW, with Shannon indices (c. 2.5) twice as high as for AASW, and high contributions of Group II Euryarchaeota. Based on these results, we suggest that CDW is a hotspot of archaeal diversity and may play an important role in the dispersal of archaeal phylotypes to other oceanic water masses.</t>
  </si>
  <si>
    <t>[Alonso-Saez, Laura; Andersson, Anders; Heinrich, Friederike; Bertilsson, Stefan] Uppsala Univ, Dept Ecol &amp; Genet, SE-75236 Uppsala, Sweden</t>
  </si>
  <si>
    <t>Uppsala University</t>
  </si>
  <si>
    <t>Bertilsson, S (corresponding author), Uppsala Univ, Dept Ecol &amp; Genet, Norbyvagen 18D, SE-75236 Uppsala, Sweden.</t>
  </si>
  <si>
    <t>stebe@ebc.uu.se</t>
  </si>
  <si>
    <t>Andersson, Anders/J-9310-2019; Alonso-Saez, Laura/M-2744-2014</t>
  </si>
  <si>
    <t>Andersson, Anders/0000-0002-3627-6899; Alonso-Saez, Laura/0000-0003-1757-4767</t>
  </si>
  <si>
    <t>Swedish Research Council; Marie Curie intraeuropean fellowship [CHEMOARC PIEF-GA-2008-221121]; Knut and Alice Wallenberg Foundatio</t>
  </si>
  <si>
    <t>Swedish Research Council(Swedish Research Council); Marie Curie intraeuropean fellowship(European Union (EU)); Knut and Alice Wallenberg Foundatio</t>
  </si>
  <si>
    <t>We thank Hanna Farnelid and Lasse Riemann for collaborating on collecting and extracting DNA during the Oden expedition. Patricia Yager and Sharon Stammerjohn are acknowledged for help with interpretation of salinity-temperature data for water mass characterization and Lindsey Ekhern (RPSC MST) for running the nutrient analysis on-board. We thank Christopher Quince for advice on Pyronoise. Finally, we acknowledge the captain and crew of the icebreaker Oden and the Swedish Research Polar secretariat for logistic support. The study was funded by grants from the Swedish Research Council to S. B. and a Marie Curie intraeuropean fellowship to L. A. S. (CHEMOARC PIEF-GA-2008-221121). Pyrosequencing was partly funded by the Knut and Alice Wallenberg Foundation.</t>
  </si>
  <si>
    <t>1758-2229</t>
  </si>
  <si>
    <t>ENV MICROBIOL REP</t>
  </si>
  <si>
    <t>Environ. Microbiol. Rep.</t>
  </si>
  <si>
    <t>10.1111/j.1758-2229.2011.00282.x</t>
  </si>
  <si>
    <t>Environmental Sciences; Microbiology</t>
  </si>
  <si>
    <t>849TT</t>
  </si>
  <si>
    <t>WOS:000297148800007</t>
  </si>
  <si>
    <t>Koh, EY; Phua, W; Ryan, KG</t>
  </si>
  <si>
    <t>Koh, Eileen Y.; Phua, William; Ryan, Ken G.</t>
  </si>
  <si>
    <t>Aerobic anoxygenic phototrophic bacteria in Antarctic sea ice and seawater</t>
  </si>
  <si>
    <t>PHOTOSYNTHETIC REACTION-CENTER; MICROBIAL COMMUNITIES; SURFACE WATERS; SALINE LAKES; CARBON-CYCLE; DIVERSITY; LIGHT; ABUNDANCE; GROWTH; OCEAN</t>
  </si>
  <si>
    <t>Aerobic anoxygenic phototrophs are obligate aerobes with unusually high concentrations of carotenoids, low cellular contents of bacteriochlorophyll-a and they lack light-harvesting complex II. In this study, sea ice and seawater samples were collected from six different sites in the Ross Sea, Antarctica. Using a combination of primers for pufM (which encodes a pigment-binding protein subunit of the reaction centre complex), clone libraries of DNA and cDNA were created and a total of 63 positive clones were obtained from three sites, all clustering within the a-Proteobacteria. Fifty-three of these clones were from seawater. The remaining clones were from sea ice and all were found in the middle and bottom sections of the ice. These sea ice bacteria may favour the lower part of the ice matrix where irradiance is low. This report highlights the first findings of AAnPs in antarctic sea ice and seawater within the Ross Sea Region.</t>
  </si>
  <si>
    <t>[Koh, Eileen Y.; Phua, William; Ryan, Ken G.] Victoria Univ Wellington, Sch Biol Sci, Wellington 6140, New Zealand</t>
  </si>
  <si>
    <t>Victoria University Wellington</t>
  </si>
  <si>
    <t>Koh, EY (corresponding author), Natl Univ Singapore, Dept Civil &amp; Environm Engn, Block E1A 07-03,1 Engn Dr 2, Singapore 117576, Singapore.</t>
  </si>
  <si>
    <t>koh_eileen@yahoo.com</t>
  </si>
  <si>
    <t>Koh, Eileen/O-1104-2019; Ryan, Ken/F-5652-2013</t>
  </si>
  <si>
    <t>Koh, Eileen/0000-0002-9378-6334; Ryan, Ken/0000-0001-7075-0112</t>
  </si>
  <si>
    <t>New Zealand Foundation of Research Science and Technology [VICX0706]; VUW SFRG [103167/2585, 96429/2661]</t>
  </si>
  <si>
    <t>New Zealand Foundation of Research Science and Technology(New Zealand Foundation for Research, Science and Technology); VUW SFRG</t>
  </si>
  <si>
    <t>The authors thank Event K043 for their help with field sampling during the field seasons of 2007 and 2008, and acknowledge the logistical and field support of Antarctica New Zealand, in particular S. Gordon, Project Manager of the Latitudinal Gradient Project (LGP). We thank Bex Cowie for the preparation of the cDNAs. We also thank both anonymous reviewers for their suggestions to improve the manuscript. This research was supported by the New Zealand Foundation of Research Science and Technology Grant number VICX0706 to KGR, the VUW SFRG Grants 103167/2585 and 96429/2661 to EYK and WP respectively. The authors declare no conflict in interests.</t>
  </si>
  <si>
    <t>10.1111/j.1758-2229.2011.00286.x</t>
  </si>
  <si>
    <t>WOS:000297148800010</t>
  </si>
  <si>
    <t>Wang, YL; Liu, XX; Gao, H; Xu, XD</t>
  </si>
  <si>
    <t>Wang, Yali; Liu, Xiaoxiang; Gao, Hong; Xu, Xudong</t>
  </si>
  <si>
    <t>Characterization of the tandem-arrayed hiC6 genes in Antarctic and temperate strains of Chlorella vulgaris</t>
  </si>
  <si>
    <t>FEMS MICROBIOLOGY LETTERS</t>
  </si>
  <si>
    <t>Chlorella vulgaris; Antarctic strain; temperate strain; hiC6; tandem array</t>
  </si>
  <si>
    <t>HARDENING-INDUCED GENES; FREEZING TOLERANCE; LEA PROTEINS; IDENTIFICATION; EXPRESSION; ELLIPSOIDEA; ENCODES; COLD; C-27</t>
  </si>
  <si>
    <t>HIC6 is a group-3 late embryogenesis abundant protein found in Chlorella vulgaris. In the Antarctic strain NJ-7 of this unicellular green alga, it is encoded by a tandem array of five hiC6 genes (designated as NJ7hiC6-1, -2, -3, -4 and -5); in the temperate strain UTEX259, it is encoded by four hiC6 genes in tandem (designated as 259hiC6-1, -2, -3 and -4). Except for NJ7hiC6-3 and -4, the encoding regions of all other hiC6 genes differ from each other by 219 bp in each strain. Based on RT-PCR and sequencing of total hiC6 cDNA clones, the relative transcript abundance of each hiC6 gene was evaluated. NJ7hiC6-2 and 259hiC6-2 were not expressed or expressed at low levels, whereas 259hiC6-1 and NJ7hiC6-3/4 exhibited the highest hiC6 transcript levels in the respective strains. In vitro assays showed that different isoforms of HIC6 provided almost identical cryoprotection of lactate dehydrogenase. Our studies suggest that the formation of the tandem arrays of hiC6 in Chlorella is a process of gene duplications accompanied by gene expression divergence.</t>
  </si>
  <si>
    <t>[Wang, Yali; Liu, Xiaoxiang; Gao, Hong; Xu, Xudong] Chinese Acad Sci, State Key Lab Freshwater Ecol &amp; Biotechnol, Inst Hydrobiol, Wuhan 430072, Hunan, Peoples R China</t>
  </si>
  <si>
    <t>Chinese Academy of Sciences; Institute of Hydrobiology, CAS</t>
  </si>
  <si>
    <t>Xu, XD (corresponding author), Chinese Acad Sci, State Key Lab Freshwater Ecol &amp; Biotechnol, Inst Hydrobiol, Wuhan 430072, Hunan, Peoples R China.</t>
  </si>
  <si>
    <t>xux@ihb.ac.cn</t>
  </si>
  <si>
    <t>Chinese Academy of Sciences [KSCX2-YW-G-060, KSCX2-SW-332]</t>
  </si>
  <si>
    <t>Chinese Academy of Sciences(Chinese Academy of Sciences)</t>
  </si>
  <si>
    <t>This research was supported by the Key Projects KSCX2-YW-G-060 and KSCX2-SW-332 of Knowledge Innovation Program of Chinese Academy of Sciences.</t>
  </si>
  <si>
    <t>0378-1097</t>
  </si>
  <si>
    <t>1574-6968</t>
  </si>
  <si>
    <t>FEMS MICROBIOL LETT</t>
  </si>
  <si>
    <t>FEMS Microbiol. Lett.</t>
  </si>
  <si>
    <t>10.1111/j.1574-6968.2011.02420.x</t>
  </si>
  <si>
    <t>850PS</t>
  </si>
  <si>
    <t>WOS:000297208600005</t>
  </si>
  <si>
    <t>Collins, RE; Deming, JW</t>
  </si>
  <si>
    <t>Collins, R. Eric; Deming, Jody W.</t>
  </si>
  <si>
    <t>Abundant dissolved genetic material in Arctic sea ice Part II: Viral dynamics during autumn freeze-up</t>
  </si>
  <si>
    <t>Arctic; Sea ice; Viruses; Bacteria; Horizontal gene transfer</t>
  </si>
  <si>
    <t>EPIFLUORESCENCE MICROSCOPY; PSEUDOMONAS-AERUGINOSA; ANTARCTIC LAKES; LARGE VIRUSES; ALGAL BLOOM; MARINE; BACTERIAL; TRANSDUCTION; PARTICLES; SAMPLES</t>
  </si>
  <si>
    <t>Viruses play a significant role in nutrient cycling within the world's oceans and are important agents of horizontal gene transfer, but little is know about their entrainment into sea ice or their temporal dynamics once entrained. Nilas, grease ice, pancake ice, first-year sea ice floes up to 78 cm in thickness, and under-ice seawater were sampled widely across Amundsen Gulf (ca.71 degrees N, 125 degrees W) for concentrations of viruses and bacteria. Here, we report exceptionally high virus-to-bacteria ratios in seawater (45-340) and sea ice (93-2,820) during the autumn freeze-up. Virus concentrations ranged from 4.8 to 27 x 10(6) ml(-1) in seawater and, scaled to brine volume, 5.5 to 170 x 10(7) ml(-1) in sea ice. Large enrichment indices indicated processes of active entrainment from source seawater, or viral production within the ice, which was observed in 2 of 3 bottle incubations of sea ice brine at a temperature (-7 degrees C) and (110 parts per thousand) approximating that in situ. Median predicted virus-to-bacteria contact rates (relative to underlying seawater) were greatest in the top of thick sea ice (66-78 cm: 130x) and lowest in the bottom of medium-thickness ice (33-37 cm: 23x). The great abundance of viruses and more frequent interactions between bacteria and viruses predicted in sea ice relative to underlying seawater suggest that sea ice may be a hot spot for virally mediated horizontal gene transfer in the polar marine environment.</t>
  </si>
  <si>
    <t>[Collins, R. Eric; Deming, Jody W.] Univ Washington, Sch Oceanog, Seattle, WA 98195 USA; [Collins, R. Eric; Deming, Jody W.] Univ Washington, Astrobiol Program, Seattle, WA 98195 USA</t>
  </si>
  <si>
    <t>University of Washington; University of Washington Seattle; University of Washington; University of Washington Seattle</t>
  </si>
  <si>
    <t>Collins, RE (corresponding author), McMaster Univ, Origins Inst, GSB 315, Hamilton, ON L8S 4L8, Canada.</t>
  </si>
  <si>
    <t>rec3141@ocean.washington.edu</t>
  </si>
  <si>
    <t>Collins, R. Eric/0000-0002-5858-2395</t>
  </si>
  <si>
    <t>10.1007/s00300-011-1008-z</t>
  </si>
  <si>
    <t>850NZ</t>
  </si>
  <si>
    <t>WOS:000297203500004</t>
  </si>
  <si>
    <t>Pan, C; Liang, XY; Wang, RJ; Tao, ST; Liang, J; Cui, ZF</t>
  </si>
  <si>
    <t>Pan, Chao; Liang, Xiuyuan; Wang, Ruijun; Tao, Songtao; Liang, Jun; Cui, Zhifeng</t>
  </si>
  <si>
    <t>A combined ab initio and Franck-Condon simulation study of the photodetachment spectrum of the ClO2- anion</t>
  </si>
  <si>
    <t>COMPUTATIONAL AND THEORETICAL CHEMISTRY</t>
  </si>
  <si>
    <t>Franck-Condon overlap integrals; Photoelectron spectroscopy; Spectral simulation; Hot bands</t>
  </si>
  <si>
    <t>PHOTOELECTRON-SPECTROSCOPY; CHLORINE DIOXIDE; INFRARED-SPECTRUM; ELECTRONIC STATES; POTENTIAL-ENERGY; ANTARCTIC OZONE; MOLECULES; OCLO; CONSTANTS; DYNAMICS</t>
  </si>
  <si>
    <t>A general analytical expression for the calculation of the two-dimensional four-mode Franck-Condon overlap integrals was presented and applied to scrutinize the photoelectron spectroscopy of ClO2-. Geometry optimization and harmonic vibrational frequency calculations have been performed on the (X) over tilde B-2(1) state of ClO2 and (X) over tilde (1)A(1) state of ClO2-; by using the density functional theory (B2PLYP functional) and the coupled cluster singles and doubles with perturbative triples [CCSD(T)] methods with various basis sets up to aug-cc-pVQZ. The adiabatic electron affinity of ClO2 was computed by using the CCSD(T) method extrapolated to the complete basis set limit with aug-cc-pVXZ (X = D, T, Q). Franck-Condon analyses and spectral simulation were carried out on the ClO2((X) over tilde B-2(1))-(ClO2- (X) over tilde (1)A(1)) photodetachment process. The simulated photoelectron spectrum of ClO2- are in accord with the experiment. While the Duschinsky effect plays a minor role and can be neglected. In addition, the equilibrium geometry parameters, R(Cl-O) = 1.572 +/- 0.005 angstrom and Z(O-Cl-O) = 112.5 +/- 0.5 degrees, of the (X) over tilde (1)A(1) state of ClO2-, are obtained by employing an iterative Franck-Condon analysis procedure in the spectral simulations. (C) 2011 Elsevier B.V. All rights reserved.</t>
  </si>
  <si>
    <t>[Pan, Chao; Liang, Xiuyuan; Wang, Ruijun; Tao, Songtao; Liang, Jun; Cui, Zhifeng] Anhui Normal Univ, Inst Atom &amp; Mol Phys, Coll Phys &amp; Elect Informat, Wuhu 241000, Peoples R China</t>
  </si>
  <si>
    <t>Anhui Normal University</t>
  </si>
  <si>
    <t>Liang, J (corresponding author), Anhui Normal Univ, Inst Atom &amp; Mol Phys, Coll Phys &amp; Elect Informat, Wuhu 241000, Peoples R China.</t>
  </si>
  <si>
    <t>jliang@mail.ahnu.edu.cn</t>
  </si>
  <si>
    <t>wang, Xiaoming/KBB-8854-2024</t>
  </si>
  <si>
    <t>National Nature Science Foundation of China [10674002]; Nature Science Foundation of the Education Committee of Anhui [KJ2009A131]; Anhui Normal University; Doctoral Research Foundation of Anhui Normal University [750706]</t>
  </si>
  <si>
    <t>National Nature Science Foundation of China(National Natural Science Foundation of China (NSFC)); Nature Science Foundation of the Education Committee of Anhui; Anhui Normal University; Doctoral Research Foundation of Anhui Normal University</t>
  </si>
  <si>
    <t>This work was supported by the National Nature Science Foundation of China (No. 10674002), the Nature Science Foundation of the Education Committee of Anhui (No. KJ2009A131), the Program for Innovative Research Team in Anhui Normal University, and the Doctoral Research Foundation of Anhui Normal University (No. 750706).</t>
  </si>
  <si>
    <t>2210-271X</t>
  </si>
  <si>
    <t>1872-7999</t>
  </si>
  <si>
    <t>COMPUT THEOR CHEM</t>
  </si>
  <si>
    <t>Comput. Theor. Chem.</t>
  </si>
  <si>
    <t>1-3</t>
  </si>
  <si>
    <t>10.1016/j.comptc.2011.08.009</t>
  </si>
  <si>
    <t>847CP</t>
  </si>
  <si>
    <t>WOS:000296949800015</t>
  </si>
  <si>
    <t>Emmerson, L; Southwell, C</t>
  </si>
  <si>
    <t>Emmerson, Louise; Southwell, Colin</t>
  </si>
  <si>
    <t>Adelie penguin survival: age structure, temporal variability and environmental influences</t>
  </si>
  <si>
    <t>OECOLOGIA</t>
  </si>
  <si>
    <t>Survival; Mark-recapture; MARK; Environmental influences; Antarctica</t>
  </si>
  <si>
    <t>SEALS HYDRURGA-LEPTONYX; WINTER MIGRATION; ICE EXTENT; POPULATION; CLIMATE; ANTARCTICA; FOOD; MODELS; SECTOR; KRILL</t>
  </si>
  <si>
    <t>The driving factors of survival, a key demographic process, have been particularly challenging to study, especially for winter migratory species such as the Ad,lie penguin (Pygoscelis adeliae). While winter environmental conditions clearly influence Antarctic seabird survival, it has been unclear to which environmental features they are most likely to respond. Here, we examine the influence of environmental fluctuations, broad climatic conditions and the success of the breeding season prior to winter on annual survival of an Ad,lie penguin population using mark-recapture models based on penguin tag and resight data over a 16-year period. This analysis required an extension to the basic Cormack-Jolly-Seber model by incorporating age structure in recapture and survival sub-models. By including model covariates, we show that survival of older penguins is primarily related to the amount and concentration of ice present in their winter foraging grounds. In contrast, fledgling and yearling survival depended on other factors in addition to the physical marine environment and outcomes of the previous breeding season, but we were unable to determine what these were. The relationship between sea-ice and survival differed with penguin age: extensive ice during the return journey to breeding colonies was detrimental to survival for the younger penguins, whereas either too little or too much ice (between 15 and 80% cover) in the winter foraging grounds was detrimental for adults. Our results demonstrate that predictions of Ad,lie penguin survival can be improved by taking into account penguin age, prior breeding conditions and environmental features.</t>
  </si>
  <si>
    <t>[Emmerson, Louise; Southwell, Colin] Australian Antarctic Div, Dept Sustainabil Environm Water Populat &amp; Communi, Kingston, Tas 7050, Australia</t>
  </si>
  <si>
    <t>Emmerson, L (corresponding author), Australian Antarctic Div, Dept Sustainabil Environm Water Populat &amp; Communi, Channel Highway, Kingston, Tas 7050, Australia.</t>
  </si>
  <si>
    <t>louise.emmerson@aad.gov.au</t>
  </si>
  <si>
    <t>AAD ASAC [2722]</t>
  </si>
  <si>
    <t>AAD ASAC</t>
  </si>
  <si>
    <t>We thank the Bechervaise Island field teams, in particular Judy Clarke, Megan Tierney and Knowles Kerry who established monitoring at Bechervaise Island. Angela Bender created the maps and Ben Raymond provided daily sea-ice data. Rob Massom and Alex Fraser provided suggestions regarding sea-ice data interpretation and Mark Bravington provided statistical advice. Andy Townsend developed the database and various engineers constructed, maintained and improved detection gateways and tag readers. Steve Nicol and Jemery Day provided useful suggestions for the manuscript. This project was supported by the AAD ASAC project #2722. Attachment of electronic tags to penguins and other procedures were with approval from the Australian Antarctic Division's Animal Ethics Committee.</t>
  </si>
  <si>
    <t>0029-8549</t>
  </si>
  <si>
    <t>1432-1939</t>
  </si>
  <si>
    <t>Oecologia</t>
  </si>
  <si>
    <t>10.1007/s00442-011-2044-7</t>
  </si>
  <si>
    <t>849OB</t>
  </si>
  <si>
    <t>WOS:000297133800009</t>
  </si>
  <si>
    <t>Olsen, MS; Callaghan, TV; Reist, JD; Reiersen, LO; Dahl-Jensen, D; Granskog, MA; Goodison, B; Hovelsrud, GK; Johansson, M; Kallenborn, R; Key, J; Klepikov, A; Meier, W; Overland, JE; Prowse, TD; Sharp, M; Vincent, WF; Walsh, J</t>
  </si>
  <si>
    <t>Olsen, M. S.; Callaghan, T. V.; Reist, J. D.; Reiersen, L. O.; Dahl-Jensen, D.; Granskog, M. A.; Goodison, B.; Hovelsrud, G. K.; Johansson, M.; Kallenborn, R.; Key, J.; Klepikov, A.; Meier, W.; Overland, J. E.; Prowse, T. D.; Sharp, M.; Vincent, W. F.; Walsh, J.</t>
  </si>
  <si>
    <t>The Changing Arctic Cryosphere and Likely Consequences: An Overview</t>
  </si>
  <si>
    <t>Climate change; Snow; Permafrost; Arctic; Feedbacks; Ecology; Sea level; Greenland Ice Sheet; Mountain glaciers; Ice caps; Sea ice; Lake ice; River ice; Society; Culture; Peoples</t>
  </si>
  <si>
    <t>The Arctic cryosphere is a critically important component of the earth system, affecting the energy balance, atmospheric and ocean circulation, freshwater storage, sea level, the storage, and release of large quantities of greenhouse gases, economy, infrastructure, health, and indigenous and non-indigenous livelihoods, culture and identity. Currently, components of the Arctic cryosphere are subjected to dramatic change due to global warming. The need to document, understand, project, and respond to changes in the cryosphere and their consequences stimulated a comprehensive international assessment called SWIPA'': Snow, Water, Ice, Permafrost in the Arctic. Some of the extensive key SWIPA chapters have been summarized and made more widely available to a global audience with multi-disciplinary interests in this Special Report of Ambio. In this article, an overview is provided of this Special Report in the context of the more detailed and wider scope of the SWIPA Report. Accelerated changes in major components of the Arctic cryosphere are documented. Evidence of feedback mechanisms between the cryosphere and other parts of the climate system are identified as contributing factors to enhanced Arctic warming while the growing importance of Arctic land-based ice as a contributor to global sea-level rise is quantified. Cryospheric changes will result in multifaceted and cascading effects for people within and beyond the Arctic presenting both challenges and opportunities.</t>
  </si>
  <si>
    <t>[Olsen, M. S.] Danish Energy Agcy, DK-1256 Copenhagen, Denmark; [Callaghan, T. V.] Royal Swedish Acad Sci, S-10405 Stockholm, Sweden; [Reist, J. D.] Fisheries &amp; Oceans Canada, Winnipeg, MB R3T 2N6, Canada; [Reiersen, L. O.] AMAP, N-0032 Oslo, Norway; [Dahl-Jensen, D.] Univ Copenhagen, Niels Bohr Inst, DK-2100 Copenhagen, Denmark; [Granskog, M. A.] Norwegian Polar Res Inst, Fram Ctr, N-9296 Tromso, Norway; [Goodison, B.] World Meteorol Org, CH-1211 Geneva, Switzerland; [Kallenborn, R.] Norwegian Univ Life Sci UMB, Dept Chem Biotechnol &amp; Food Sci IKBM, N-1432 As, Norway; [Key, J.] NOAA, NESDIS, Madison, WI 53706 USA; [Klepikov, A.] Arctic &amp; Antarctic Res Inst, St Petersburg 199397, Russia; [Meier, W.] Univ Colorado, NSIDC, Boulder, CO 80309 USA; [Overland, J. E.] NOAA, Coastal &amp; Arctic Res Div, Pacific Marine Environm Lab, Seattle, WA USA; [Prowse, T. D.] Univ Victoria, Dept Geog, Victoria, BC V8P 5C2, Canada; [Prowse, T. D.] Environm Canada, Victoria, BC, Canada; [Sharp, M.] Univ Alberta, Edmonton, AB T6G 2E3, Canada; [Vincent, W. F.] Univ Laval, Dept Biol, Quebec City, PQ G1V 0A6, Canada; [Vincent, W. F.] Univ Laval, CEN, Quebec City, PQ G1V 0A6, Canada; [Walsh, J.] Univ Alaska, Int Arctic Res Ctr, Fairbanks, AK 99701 USA</t>
  </si>
  <si>
    <t>Royal Swedish Academy of Sciences; Fisheries &amp; Oceans Canada; University of Copenhagen; Niels Bohr Institute; Norwegian Polar Institute; Norwegian University of Life Sciences; National Oceanic Atmospheric Admin (NOAA) - USA; Arctic &amp; Antarctic Research Institute; University of Colorado System; University of Colorado Boulder; National Oceanic Atmospheric Admin (NOAA) - USA; University of Victoria; Environment &amp; Climate Change Canada; University of Alberta; Laval University; Laval University; University of Alaska System; University of Alaska Fairbanks</t>
  </si>
  <si>
    <t>Olsen, MS (corresponding author), Danish Energy Agcy, Amaliegade 44, DK-1256 Copenhagen, Denmark.</t>
  </si>
  <si>
    <t>mso@ens.dk; terry_callaghan@btinternet.com; Jim.Reist@dfo-mpo.gc.ca; lars-otto.reiersen@amap.no; ddj@gfy.ku.dk; mats.granskog@npolar.no; barrygo@rogers.com; grete.hovelsrud@nforsk.no; margareta.johansson@nateko.lu.se; roland.kallenborn@umb.no; Jeff.Key@noaa.gov; klep@aari.ru; walt@nsidc.org; James.E.Overland@noaa.gov; terry.prowse@ec.gc.ca; martin.sharp@ualberta.ca; warwick.vincent@bio.ulaval.ca; jwalsh@iarc.uaf.edu</t>
  </si>
  <si>
    <t>Key, Jeffrey R./AAB-7248-2020; Meier, Walter/AAI-9583-2021; Dahl-Jensen, Dorthe/AAO-6951-2020; Callaghan, Terens V./N-7640-2014; Kallenborn, Roland/F-8368-2011; Walsh, John/GQI-2785-2022; Vincent, Warwick/AAH-6152-2019</t>
  </si>
  <si>
    <t>Dahl-Jensen, Dorthe/0000-0002-1474-1948; Kallenborn, Roland/0000-0003-1703-2538; Walsh, John/0000-0002-2510-8734; Vincent, Warwick/0000-0001-9055-1938; Meier, Walter/0000-0003-2857-0550; Walsh, John/0000-0001-9541-5927; Granskog, Mats/0000-0002-5035-4347</t>
  </si>
  <si>
    <t>Canada Council of Ministers; Denmark Council of Ministers; Norway Council of Ministers; Nordic Council of Ministers; Swedish Environmental Protection Agency [08/210]; Swedish Research Council FORMAS [204-2009-45]</t>
  </si>
  <si>
    <t>Canada Council of Ministers; Denmark Council of Ministers; Norway Council of Ministers; Nordic Council of Ministers; Swedish Environmental Protection Agency; Swedish Research Council FORMAS(Swedish Research Council Formas)</t>
  </si>
  <si>
    <t>We thank all the participants in the SWIPA process, and particularly the numerous authors of the AMAP SWIPA report and this Ambio Special Report for contributing to the completion of a comprehensive assessment of the changing Arctic cryosphere, its climatic drivers and multiple consequences. Numerous national funding agencies supported the SWIPA process and we are grateful for this support. We are grateful for financial contributions to the SWIPA production from Canada, Denmark, Norway, and Nordic Council of Ministers. We are particularly grateful to the Swedish Environmental Protection Agency (grant number 08/210) and the Swedish Research Council FORMAS (grant number 204-2009-45) for the grants to TVC and MJ for the publication of this special issue, to Environment Canada for a further grant to TDP to complete the financing of the publication, and finally to Professor F. Wrona for facilitating this.</t>
  </si>
  <si>
    <t>10.1007/s13280-011-0220-y</t>
  </si>
  <si>
    <t>WOS:000305284800012</t>
  </si>
  <si>
    <t>Talevi, M; Fernández, MS; Cerda, I</t>
  </si>
  <si>
    <t>Talevi, Marianella; Fernandez, Marta S.; Cerda, Ignacio</t>
  </si>
  <si>
    <t>BONE HISTOLOGY IN MOSASAURS (SQUAMATA: MOSASAURIDAE) FROM THE LATE CRETACEOUS PEIORD IN THE JAMES ROSS BASIN (ANTARCTIC PENINSULA)</t>
  </si>
  <si>
    <t>AMEGHINIANA</t>
  </si>
  <si>
    <t>PACHYOSTOSIS</t>
  </si>
  <si>
    <t>[Talevi, Marianella] Univ Nacl Rio Negro, Inst Invest Paleobiol &amp; Geol, Gen Roca, Rio Negro, Argentina; [Fernandez, Marta S.] Museo La Plata, Div Paleontol Vertebrados, La Plata, Buenos Aires, Argentina; [Cerda, Ignacio] Univ Nacl Comahue INIBIOMA, Museo Geol &amp; Paleontol, Neuquen, Argentina; [Talevi, Marianella; Fernandez, Marta S.; Cerda, Ignacio] Consejo Nacl Invest Cient &amp; Tecn CONICET, Buenos Aires, DF, Argentina</t>
  </si>
  <si>
    <t>National University of La Plata; Museo La Plata; Universidad Nacional del Comahue; Consejo Nacional de Investigaciones Cientificas y Tecnicas (CONICET)</t>
  </si>
  <si>
    <t>Talevi, M (corresponding author), Univ Nacl Rio Negro, Inst Invest Paleobiol &amp; Geol, Isidro Lobo 516,R8332AKN, Gen Roca, Rio Negro, Argentina.</t>
  </si>
  <si>
    <t>talevimarianela@yahoo.com.ar; martafer@fcnym.unlp.edu.ar; lsalgado@uncoma.edu.ar</t>
  </si>
  <si>
    <t>ASOCIACION PALEONTOLOGICA ARGENTINA</t>
  </si>
  <si>
    <t>BUENOS AIRES</t>
  </si>
  <si>
    <t>MAIPU 645, 1ER PISO, 1006 BUENOS AIRES, ARGENTINA</t>
  </si>
  <si>
    <t>0002-7014</t>
  </si>
  <si>
    <t>1851-8044</t>
  </si>
  <si>
    <t>Ameghiniana</t>
  </si>
  <si>
    <t>10.5710/AMGH.v48i4(505)</t>
  </si>
  <si>
    <t>921WN</t>
  </si>
  <si>
    <t>WOS:000302508900019</t>
  </si>
  <si>
    <t>Lechtenfeld, OJ; Koch, BP; Geibert, W; Ludwichowski, KU; Kattner, G</t>
  </si>
  <si>
    <t>Lechtenfeld, Oliver J.; Koch, Boris P.; Geibert, Walter; Ludwichowski, Kai-Uwe; Kattner, Gerhard</t>
  </si>
  <si>
    <t>Inorganics in Organics: Quantification of Organic Phosphorus and Sulfur and Trace Element Speciation in Natural Organic Matter Using HPLC-ICPMS</t>
  </si>
  <si>
    <t>ANALYTICAL CHEMISTRY</t>
  </si>
  <si>
    <t>PLASMA-MASS SPECTROMETRY; PERFORMANCE LIQUID-CHROMATOGRAPHY; SOLID-PHASE EXTRACTION; HUMIC SUBSTANCES; ATLANTIC-OCEAN; PROTEIN-PHOSPHORYLATION; METAL BIOACCUMULATION; NORTH PACIFIC; FULVIC-ACIDS; SEAWATER</t>
  </si>
  <si>
    <t>A method is presented for the chemical characterization of natural organic matter (NOM). We combined reversed-phase chromatographic separation of NOM with high resolution inductively coupled plasma mass spectrometry. A desolvation technique was used to remove organic solvent derived from the preceding chromatographic separation. We applied our method to solid-phase extracted marine dissolved organic matter samples from South Atlantic and Antarctic surface waters. The method provided a direct and quantitative determination of dissolved organic phosphorus and sulfur in fractions of differing polarity and also allowed simultaneous speciation studies of trace elements. Dissolved organic carbon/phosphorus and carbon/sulfur ratios for the different chromatographic fractions of our two samples ranged between 341-3025 for C/P and 11-1225 for C/S. Differences in elemental distribution between the fractions were attributed to different biochemical environments of the samples. Sulfur was exclusively found in one hydrophilic fraction, while uranium showed a strong affinity to the hydrophobic fractions. Our method was designed to be easily adapted to other separation techniques. The elemental information will deliver valuable information for ultrahigh resolution molecular analyses.</t>
  </si>
  <si>
    <t>[Lechtenfeld, Oliver J.; Koch, Boris P.; Ludwichowski, Kai-Uwe; Kattner, Gerhard] Alfred Wegener Inst Polar &amp; Marine Res, D-27570 Bremerhaven, Germany; [Koch, Boris P.] Univ Appl Sci, D-27568 Bremerhaven, Germany; [Geibert, Walter] Univ Edinburgh, Sch GeoSci, Edinburgh EH9 3JW, Midlothian, Scotland; [Geibert, Walter] Scottish Marine Inst, SAMS, Oban PA37 1QA, Argyll, Scotland</t>
  </si>
  <si>
    <t>Helmholtz Association; Alfred Wegener Institute, Helmholtz Centre for Polar &amp; Marine Research; University of Edinburgh</t>
  </si>
  <si>
    <t>Lechtenfeld, OJ (corresponding author), Alfred Wegener Inst Polar &amp; Marine Res, Handelshafen 12, D-27570 Bremerhaven, Germany.</t>
  </si>
  <si>
    <t>oliver.lechtenfeld@awi.de</t>
  </si>
  <si>
    <t>Geibert, Walter/ABA-9785-2020; Lechtenfeld, Oliver J./A-6480-2013; Koch, Boris/B-2784-2009</t>
  </si>
  <si>
    <t>Geibert, Walter/0000-0001-8646-2334; Lechtenfeld, Oliver J./0000-0001-5313-6014; Koch, Boris/0000-0002-8453-731X</t>
  </si>
  <si>
    <t>Deutsche Forschungsgemeinschaft (DFG) [KO 2164/8-1]; German Academic Exchange Service [DAAD PPP GB 50023021]; Natural Environment Research Council [dml010007] Funding Source: researchfish; NERC [dml010007] Funding Source: UKRI</t>
  </si>
  <si>
    <t>Deutsche Forschungsgemeinschaft (DFG)(German Research Foundation (DFG)); German Academic Exchange Service(Deutscher Akademischer Austausch Dienst (DAAD)); Natural Environment Research Council(UK Research &amp; Innovation (UKRI)Natural Environment Research Council (NERC)); NERC(UK Research &amp; Innovation (UKRI)Natural Environment Research Council (NERC))</t>
  </si>
  <si>
    <t>We thank the associate editor Reinhard Niessner and two anonymous reviewers for valuable comments and suggestions. We also thank the master and crew of R/V Polarstern for their professional help. Analysis of the samples would not have been possible without allocation of the ICPMS by Jana Friedrich and Ingrid Stimac from Marine Geology department at AWI. We appreciate the expertise of Dieter Janssen and his help with the TOC analyzer. This work was financially supported by the Deutsche Forschungsgemeinschaft (DFG KO 2164/8-1) and the German Academic Exchange Service (DAAD PPP GB 50023021).</t>
  </si>
  <si>
    <t>0003-2700</t>
  </si>
  <si>
    <t>ANAL CHEM</t>
  </si>
  <si>
    <t>Anal. Chem.</t>
  </si>
  <si>
    <t>10.1021/ac201765a</t>
  </si>
  <si>
    <t>854FZ</t>
  </si>
  <si>
    <t>WOS:000297481700022</t>
  </si>
  <si>
    <t>Hedd, A; Montevecchi, WA; Tranquilla, LM; Burke, CM; Fifield, DA; Robertson, GJ; Phillips, RA; Gjerdrum, C; Regular, PM</t>
  </si>
  <si>
    <t>Hedd, A.; Montevecchi, W. A.; Tranquilla, L. McFarlane; Burke, C. M.; Fifield, D. A.; Robertson, G. J.; Phillips, R. A.; Gjerdrum, C.; Regular, P. M.</t>
  </si>
  <si>
    <t>Reducing uncertainty on the Grand Bank: tracking and vessel surveys indicate mortality risks for common murres in the North-West Atlantic</t>
  </si>
  <si>
    <t>ANIMAL CONSERVATION</t>
  </si>
  <si>
    <t>common murre; at-sea distribution; anthropogenic risk; offshore oil pollution; fisheries bycatch; murre harvest; year-round tracking</t>
  </si>
  <si>
    <t>OIL POLLUTION; MARINE BIRDS; INCIDENTAL CATCH; OFFSHORE OIL; SEABIRDS; NEWFOUNDLAND; MIGRATION; SEA; FISHERIES; LABRADOR</t>
  </si>
  <si>
    <t>Seabirds and other marine animals are at risk from anthropogenic activities that target them directly and those that can harm them incidentally. We integrate year-round tracking and vessel studies to assess risks for a globally important seabird population in the North-West Atlantic. The eastern Canadian Grand Bank has a rich and diverse food web that supports an abundance of apex predators. Major resource extraction industries (hydrocarbon production and fisheries) operate in the area, and, in addition to shipping and hunting, pose risks for marine birds. Understanding the relative risks has been hampered by poor information on bird distribution at sea. Here, we deployed global location sensors (loggers or geolocators) on common murres Uria aalge at Funk Island, the species' largest North American breeding colony. Adults (n=10) were resident on the Grand Bank and in adjacent pelagic waters year round. Within 10 days of leaving the colony, males dispersed offshore (&lt;50 degrees W), southsouth-east of Funk Island. Females departed later and spent 10-47 days in coastal waters before moving offshore. All birds were in the vicinity of offshore oil platforms during November and December, but remained outside the area of the coastal Newfoundland and Labrador murre hunt. Three of six tracked females, but only one of four tracked males moved closer to shore during January and February where vulnerability to the hunt may have increased. Vessel-based surveys confirmed the importance of offshore, shelf-edge habitats for murres in winter. Our results highlight the relative risk to wintering murres from different human activities, providing a sound scientific rationale for focusing conservation and management actions. This information is particularly timely given the continued expansion of deep-water drilling in the North-West Atlantic and increasing risk of oil pollution for seabirds attracted to platforms.</t>
  </si>
  <si>
    <t>[Hedd, A.; Montevecchi, W. A.; Tranquilla, L. McFarlane; Burke, C. M.; Fifield, D. A.; Regular, P. M.] Mem Univ Newfoundland, Dept Psychol, Cognit &amp; Behav Ecol Program, St John, NF A1C 3C9, Canada; [Robertson, G. J.] Environm Canada, Wildlife Res Div, St John, NF, Canada; [Phillips, R. A.] NERC, Cambridge, England; [Gjerdrum, C.] Environm Canada, Canadian Wildlife Serv, Dartmouth, NS, Canada</t>
  </si>
  <si>
    <t>Memorial University Newfoundland; Environment &amp; Climate Change Canada; Canadian Wildlife Service; Wildlife Research Division - Environment Canada; UK Research &amp; Innovation (UKRI); Natural Environment Research Council (NERC); NERC British Antarctic Survey; Environment &amp; Climate Change Canada; Canadian Wildlife Service</t>
  </si>
  <si>
    <t>Hedd, A (corresponding author), Mem Univ Newfoundland, Dept Psychol, Cognit &amp; Behav Ecol Program, St John, NF A1C 3C9, Canada.</t>
  </si>
  <si>
    <t>Robertson, Greg/AAI-5849-2020; Regular, Paul/AAY-5741-2021</t>
  </si>
  <si>
    <t>Robertson, Greg/0000-0001-8452-5506; Regular, Paul/0000-0003-0318-2615; Hedd, April/0000-0003-2222-2627</t>
  </si>
  <si>
    <t>NSERC; Newfoundland and Labrador Legacy Nature Trust; Government of Canada; Environment Canada through the Environmental Studies Research Fund; NERC [bas0100025] Funding Source: UKRI; Natural Environment Research Council [bas0100025] Funding Source: researchfish</t>
  </si>
  <si>
    <t>NSERC(Natural Sciences and Engineering Research Council of Canada (NSERC)); Newfoundland and Labrador Legacy Nature Trust; Government of Canada(CGIAR); Environment Canada through the Environmental Studies Research Fund; NERC(UK Research &amp; Innovation (UKRI)Natural Environment Research Council (NERC)); Natural Environment Research Council(UK Research &amp; Innovation (UKRI)Natural Environment Research Council (NERC))</t>
  </si>
  <si>
    <t>Thanks to Larry Easton and family for safely transporting us to and from Funk Island, and to Anna Russell at DFO for providing the fishing effort data presented in Fig. 1. We are grateful to the Newfoundland and Labrador Parks Division for granting a research access permit to the Funk Island Provincial Seabird Ecological Reserve and to Memorial University's Institutional Animal Care Committee for granting approval for the protocols used in this study Comments from two anonymous reviewers improved an earlier draft of this manuscript. This research was supported by an NSERC Discovery Grant, the Murre Fund of the Newfoundland and Labrador Legacy Nature Trust and the Government of Canada's Program for International Polar Year to W.A.M., and by support to G.J.R. and D.A.F. from Environment Canada through the Environmental Studies Research Fund. This research represents a contribution to the British Antarctic Survey Ecosystems Programme.</t>
  </si>
  <si>
    <t>1367-9430</t>
  </si>
  <si>
    <t>1469-1795</t>
  </si>
  <si>
    <t>ANIM CONSERV</t>
  </si>
  <si>
    <t>Anim. Conserv.</t>
  </si>
  <si>
    <t>10.1111/j.1469-1795.2011.00479.x</t>
  </si>
  <si>
    <t>865SZ</t>
  </si>
  <si>
    <t>WOS:000298331900007</t>
  </si>
  <si>
    <t>Walton, DWH</t>
  </si>
  <si>
    <t>Walton, D. W. H.</t>
  </si>
  <si>
    <t>Adapting to climate change</t>
  </si>
  <si>
    <t>10.1017/S0954102011000848</t>
  </si>
  <si>
    <t>WOS:000298286200001</t>
  </si>
  <si>
    <t>Hughes, KA; Fretwell, P; Rae, J; Holmes, K; Fleming, A</t>
  </si>
  <si>
    <t>Hughes, Kevin A.; Fretwell, Peter; Rae, Joanna; Holmes, Keith; Fleming, Andrew</t>
  </si>
  <si>
    <t>Untouched Antarctica: mapping a finite and diminishing environmental resource</t>
  </si>
  <si>
    <t>cumulative environmental impact; footprint; inviolate; national Antarctic programme; pristine; protected areas</t>
  </si>
  <si>
    <t>LONG-TERM SURVIVAL; METAL CONTAMINATION; MICROORGANISMS; STATION; IMPACTS; SOILS; SCOTT; BASE</t>
  </si>
  <si>
    <t>Globally, areas categorically known to be free of human visitation are rare, but still exist in Antarctica. Such areas may be among the most pristine locations remaining on Earth and, therefore, be valuable as baselines for future comparisons with localities impacted by human activities, and as sites preserved for scientific research using increasingly sophisticated future technologies. Nevertheless, unvisited areas are becoming increasingly rare as the human footprint expands in Antarctica. Therefore, an understanding of historical and contemporary levels of visitation at locations across Antarctica is essential to a) estimate likely cumulative environmental impact, b) identify regions that may have been impacted by non-native species introductions, and c) inform the future designation of protected areas under the Antarctic Treaty System. Currently, records of Antarctic tourist visits exist, but little detailed information is readily available on the spatial and temporal distribution of national governmental programme activities in Antarctica. Here we describe methods to fulfil this need. Using information within field reports and archive and science databases pertaining to the activities of the United Kingdom as an illustration, we describe the history and trends in its operational footprint in the Antarctic Peninsula since c. 1944. Based on this illustration, we suggest that these methodologies could be applied productively more generally.</t>
  </si>
  <si>
    <t>[Hughes, Kevin A.; Fretwell, Peter; Rae, Joanna; Fleming, Andrew] British Antarctic Survey, NERC, Cambridge CB3 0ET, England</t>
  </si>
  <si>
    <t>Hughes, KA (corresponding author), British Antarctic Survey, NERC, Madingley Rd, Cambridge CB3 0ET, England.</t>
  </si>
  <si>
    <t>Hughes, Kevin/JVZ-0793-2024</t>
  </si>
  <si>
    <t>10.1017/S095410201100037X</t>
  </si>
  <si>
    <t>WOS:000298286200004</t>
  </si>
  <si>
    <t>Farreny, R; Oliver-Solà, J; Lamers, M; Amelung, B; Gabarrell, X; Rieradevall, J; Boada, M; Benayas, J</t>
  </si>
  <si>
    <t>Farreny, Ramon; Oliver-Sola, Jordi; Lamers, Machiel; Amelung, Bas; Gabarrell, Xavier; Rieradevall, Joan; Boada, Marti; Benayas, Javier</t>
  </si>
  <si>
    <t>Carbon dioxide emissions of Antarctic tourism</t>
  </si>
  <si>
    <t>climate change; environmental impact; flight; greenhouse gases; sustainable tourism; vessel</t>
  </si>
  <si>
    <t>CRUISE TOURISM; GUIDELINES; IMPACTS</t>
  </si>
  <si>
    <t>The increase of tourism to the Antarctic continent may entail not only local but also global environmental impacts. These latter impacts, which are mainly caused by transport, have been generally ignored. As a result, there is a lack of data on the global impacts of Antarctic tourism in terms of energy consumption and carbon dioxide emissions. This paper presents and applies a methodology for quantifying CO2 emissions, both for the Antarctic vessel fleet as a whole and per passenger (both per trip and per day). The results indicate that the average tourist trip to Antarctica results in 5.44 t of CO2 emissions per passenger, or 0.49 t per passenger and day. Approximately 70% of these emissions are attributable to cruising and 30% to flying, which highlights the global environmental relevance of local transport for this type of tourism.</t>
  </si>
  <si>
    <t>[Farreny, Ramon; Oliver-Sola, Jordi; Gabarrell, Xavier; Rieradevall, Joan; Boada, Marti] Univ Autonoma Barcelona, Inst Environm Sci &amp; Technol ICTA, E-08193 Barcelona, Spain; [Farreny, Ramon; Oliver-Sola, Jordi] Inedit Innovacio SL, Barcelona 08348, Spain; [Lamers, Machiel] Wageningen Univ &amp; Res Ctr WUR, Environm Policy Grp ENP, Wageningen, Netherlands; [Amelung, Bas] Wageningen Univ &amp; Res Ctr WUR, Environm Syst Anal Grp ESA, Wageningen, Netherlands; [Gabarrell, Xavier; Rieradevall, Joan] Univ Autonoma Barcelona, Dept Chem Engn, E-08193 Barcelona, Spain; [Boada, Marti] Univ Autonoma Barcelona, Dept Geog, E-08193 Barcelona, Spain; [Benayas, Javier] Univ Autonoma Madrid, Dept Ecol, E-28049 Madrid, Spain</t>
  </si>
  <si>
    <t>Autonomous University of Barcelona; Wageningen University &amp; Research; Wageningen University &amp; Research; Autonomous University of Barcelona; Autonomous University of Barcelona; Autonomous University of Madrid</t>
  </si>
  <si>
    <t>Farreny, R (corresponding author), Univ Autonoma Barcelona, Inst Environm Sci &amp; Technol ICTA, E-08193 Barcelona, Spain.</t>
  </si>
  <si>
    <t>ramon@ineditinnova.com</t>
  </si>
  <si>
    <t>Durany, Xavier Gabarrell/F-5575-2011; Amelung, Bas/AAD-4323-2019; Rieradevall, Joan/AAB-6993-2022; Benayas Del Alamo, Fco. Javier/E-5663-2017</t>
  </si>
  <si>
    <t>Durany, Xavier Gabarrell/0000-0003-1730-4337; Amelung, Bas/0000-0001-8501-9787; Oliver-Sola, Jordi/0000-0001-8034-8610; Benayas Del Alamo, Fco. Javier/0000-0002-5906-9569; Lamers, Machiel/0000-0002-4189-3066</t>
  </si>
  <si>
    <t>Catalan government; European Social Fund; Spanish Ministry for Science and Innovation</t>
  </si>
  <si>
    <t>Catalan government; European Social Fund(European Social Fund (ESF)); Spanish Ministry for Science and Innovation(Spanish Government)</t>
  </si>
  <si>
    <t>The authors wish to thank Arturo Paniagua and Juan Kratzmaier for his support on the obtaining of data, the Catalan government and the European Social Fund for the scholarship enjoyed by R. Farreny; and Abertis and the Spanish Ministry for Science and Innovation for their financial support in the project 'Valoracion del impacto ambiental del turismo comercial sobre los ecosistemas antarticos'. We thank the reviewers who made valuable comments which improved the paper.</t>
  </si>
  <si>
    <t>10.1017/S0954102011000435</t>
  </si>
  <si>
    <t>WOS:000298286200006</t>
  </si>
  <si>
    <t>Oosthuizen, WC; Bester, MN; Tosh, CA; Guinet, C; Besson, D; de Bruyn, PJN</t>
  </si>
  <si>
    <t>Oosthuizen, W. Chris; Bester, Marthan N.; Tosh, Cheryl A.; Guinet, Christophe; Besson, Dominique; de Bruyn, P. J. Nico</t>
  </si>
  <si>
    <t>Dispersal and dispersion of southern elephant seals in the Kerguelen province, Southern Ocean</t>
  </si>
  <si>
    <t>gene flow; Iles Crozet; Iles Kerguelen; mark-resighting; metapopulation; migration; Mirounga leonina; Marion Island</t>
  </si>
  <si>
    <t>MIROUNGA-LEONINA L.; WHALES ORCINUS-ORCA; MARION-ISLAND; ILES-KERGUELEN; COURBET PENINSULA; POPULATION STATUS; GENE FLOW; TRENDS; AGE; MOVEMENTS</t>
  </si>
  <si>
    <t>Southern elephant seals Mirounga leonina within the Kerguelen province disperse between Marion Island (MI), Iles Crozet (IC) and Iles Kerguelen (IK) despite the high site fidelity characteristic of this species. From 1987-2002, 199 IC individuals, or 11.63% of the tagged population there, were resighted at MI. Resights of IC seals at MI peaked during the juvenile moult and seals aged 0-2 represent 66% of all resights made. Equal numbers of male and female seals (all age classes) were dispersing. Dispersing breeding females (n = 22, on 33 occasions) outnumbered dispersing breeding males (n = 6, on 16 occasions), after initially emigrating from IC to MI as juvenile seals (natal dispersal). Greater male-mediated gene flow was ultimately attained due to the polygynous mating system and some extremely successful males. Of 132 seals fitted with satellite-relay data loggers at MI, six hauled out at IC and three at IK. Two of the seals which migrated to IC were born at MI; all others were unmarked males likely to be native to IC or IK. Dispersal should ideally be considered when assessing vital rates for southern Indian Ocean elephant seal populations.</t>
  </si>
  <si>
    <t>[Oosthuizen, W. Chris; Bester, Marthan N.; Tosh, Cheryl A.; de Bruyn, P. J. Nico] Univ Pretoria, Dept Zool &amp; Entomol, Mammal Res Inst, ZA-00028 Pretoria, South Africa; [Guinet, Christophe; Besson, Dominique] CNRS, Ctr Etud Biol Chize, F-79360 Villiers En Bois, France</t>
  </si>
  <si>
    <t>University of Pretoria; Centre National de la Recherche Scientifique (CNRS)</t>
  </si>
  <si>
    <t>Oosthuizen, WC (corresponding author), Univ Pretoria, Dept Zool &amp; Entomol, Mammal Res Inst, Private Bag X20, ZA-00028 Pretoria, South Africa.</t>
  </si>
  <si>
    <t>wcoosthuizen@zoology.up.ac.za</t>
  </si>
  <si>
    <t>Oosthuizen, W. Chris/I-2947-2016; de Bruyn, P. J. Nico/E-4176-2010; Guinet, Christophe/AAR-8457-2020; Bester, Marthán N/E-5387-2010; Tosh, Cheryl/D-5623-2016</t>
  </si>
  <si>
    <t>Oosthuizen, W. Chris/0000-0003-2905-6297; de Bruyn, P. J. Nico/0000-0002-9114-9569; Tosh, Cheryl/0000-0003-0243-5422</t>
  </si>
  <si>
    <t>Department of Science and Technology, through the National Research Foundation (NRF); NRF; Australian Antarctic Division; Alfred Wegener Institute for Polar and Marine and Marine Research; Hubbs-Sea World Research Institute</t>
  </si>
  <si>
    <t>Department of Science and Technology, through the National Research Foundation (NRF)(Department of Science &amp; Technology (India)); NRF; Australian Antarctic Division; Alfred Wegener Institute for Polar and Marine and Marine Research; Hubbs-Sea World Research Institute</t>
  </si>
  <si>
    <t>We thank field personnel of the Marion Island, Iles Crozet and Iles Kerguelen southern elephant seal research programmes who assisted in collecting data on elephant seals at these localities. Logistical support and research permits for Marion Island were provided by the South African Department of Environmental Affairs within the South African National Antarctic Program (SANAP). The Department of Science and Technology, through the National Research Foundation (NRF), provided financial support. WCO received financial support from a NRF Grantholder-linked bursary within the project Conservation of Seabirds, Shorebirds and Seals led by L. Underhill of the Animal Demography Unit, Department of Zoology, University of Cape Town. Our colleagues from the Australian Antarctic Division (H. Burton and J. van den Hoff), the Alfred Wegener Institute for Polar and Marine and Marine Research (Drs J. Plotz, H. Bornemann and S. Ramdohr) and the Hubbs-Sea World Research Institute (Dr B. S. Stewart) contributed SLDRs and funded ARGOS satellite time in support of the SANAP project entitled 'Southern Elephant Seals as Oceanographic Platforms'. We use some basic tracking results here in support of the mark-recapture data used in this manuscript. I. C. Field, R. R. Reisinger and two reviewers provided helpful comments. The project has ethics clearance from the Animal Use and Care Committee (AUCC 040827-024) of the Faculty of Veterinary Science, University of Pretoria.</t>
  </si>
  <si>
    <t>10.1017/S0954102011000447</t>
  </si>
  <si>
    <t>WOS:000298286200007</t>
  </si>
  <si>
    <t>Dartnell, LR; Storrie-Lombardi, MC; Mullineaux, CW; Ruban, AV; Wright, G; Griffiths, AD; Muller, JP; Ward, JM</t>
  </si>
  <si>
    <t>Dartnell, Lewis R.; Storrie-Lombardi, Michael C.; Mullineaux, Conrad W.; Ruban, Alexander V.; Wright, Gary; Griffiths, Andrew D.; Muller, Jan-Peter; Ward, John M.</t>
  </si>
  <si>
    <t>Degradation of Cyanobacterial Biosignatures by Ionizing Radiation</t>
  </si>
  <si>
    <t>ASTROBIOLOGY</t>
  </si>
  <si>
    <t>Mars; Life-detection instruments; Spectroscopic biosignatures; Photosynthesis; Endoliths</t>
  </si>
  <si>
    <t>FLUORESCENT CHLOROPHYLL CATABOLITES; PEROXIDASE-LIKE PROTEINS; TRYPTOPHAN FLUORESCENCE; DEINOCOCCUS-RADIODURANS; BLUE LUMINESCENCE; STEREO CAMERA; MARS; SPECTROSCOPY; LIGHT; LIFE</t>
  </si>
  <si>
    <t>Primitive photosynthetic microorganisms, either dormant or dead, may remain today on the martian surface, akin to terrestrial cyanobacteria surviving endolithically in martian analog sites on Earth such as the Antarctic Dry Valleys and the Atacama Desert. Potential markers of martian photoautotrophs include the red edge of chlorophyll reflectance spectra or fluorescence emission from systems of light-harvesting pigments. Such bio-signatures, however, would be modified and degraded by long-term exposure to ionizing radiation from the unshielded cosmic ray flux onto the martian surface. In this initial study into this issue, three analytical techniques-absorbance, reflectance, and fluorescence spectroscopy-were employed to determine the progression of the radiolytic destruction of cyanobacteria. The pattern of signal loss for chlorophyll reflection and fluorescence from several biomolecules is characterized and quantified after increasing exposures to ionizing gamma radiation. This allows estimation of the degradation rates of cyanobacterial biosignatures on the martian surface and the identification of promising detectable fluorescent break-down products.</t>
  </si>
  <si>
    <t>[Dartnell, Lewis R.] UCL, Ctr Planetary Sci Earth Sci, UCL Inst Origins, London WC1E 6BT, England; [Dartnell, Lewis R.] UCL, Ctr Planetary Sci UCL Birkbeck, London WC1E 6BT, England; [Storrie-Lombardi, Michael C.] Kinohi Inst, Pasadena, CA USA; [Mullineaux, Conrad W.; Ruban, Alexander V.] Univ London, Sch Biol &amp; Chem Sci, London, England; [Wright, Gary] Cranfield Univ, Dept Engn &amp; Appl Sci, Swindon, Wilts, England; [Griffiths, Andrew D.; Muller, Jan-Peter] Univ Coll London, Dept Space &amp; Climate Phys, Mullard Space Sci Lab, Holmbury, Surrey, England; [Ward, John M.] UCL, Res Dept Struct &amp; Mol Biol, London WC1E 6BT, England</t>
  </si>
  <si>
    <t>University of London; University College London; University of London; Birkbeck University London; University College London; University of London; Cranfield University; University of London; University College London; University of Cambridge; University of London; University College London</t>
  </si>
  <si>
    <t>Dartnell, LR (corresponding author), UCL, Ctr Planetary Sci Earth Sci, UCL Inst Origins, Gower St, London WC1E 6BT, England.</t>
  </si>
  <si>
    <t>l.dartnell@ucl.ac.uk</t>
  </si>
  <si>
    <t>Muller, Jan-Peter/Q-8886-2019</t>
  </si>
  <si>
    <t>Muller, Jan-Peter/0000-0002-5077-3736; Ward, John/0000-0002-4415-5544</t>
  </si>
  <si>
    <t>European Community [FP7/2007-2013, 241523 PRoViScout]; STFC [ST/H00260X/1] Funding Source: UKRI; Science and Technology Facilities Council [ST/H00260X/1, ST/J00216X/1] Funding Source: researchfish</t>
  </si>
  <si>
    <t>European Community; STFC(UK Research &amp; Innovation (UKRI)Science &amp; Technology Facilities Council (STFC)); Science and Technology Facilities Council(UK Research &amp; Innovation (UKRI)Science &amp; Technology Facilities Council (STFC))</t>
  </si>
  <si>
    <t>The research leading to these results has received funding from the European Community's Seventh Framework Programme (FP7/2007-2013) under grant agreement no 241523 PRoViScout</t>
  </si>
  <si>
    <t>MARY ANN LIEBERT, INC</t>
  </si>
  <si>
    <t>NEW ROCHELLE</t>
  </si>
  <si>
    <t>140 HUGUENOT STREET, 3RD FL, NEW ROCHELLE, NY 10801 USA</t>
  </si>
  <si>
    <t>1531-1074</t>
  </si>
  <si>
    <t>1557-8070</t>
  </si>
  <si>
    <t>Astrobiology</t>
  </si>
  <si>
    <t>10.1089/ast.2011.0663</t>
  </si>
  <si>
    <t>Astronomy &amp; Astrophysics; Biology; Geosciences, Multidisciplinary</t>
  </si>
  <si>
    <t>Astronomy &amp; Astrophysics; Life Sciences &amp; Biomedicine - Other Topics; Geology</t>
  </si>
  <si>
    <t>865YA</t>
  </si>
  <si>
    <t>WOS:000298345600005</t>
  </si>
  <si>
    <t>Robson, B; Glass, T; Glass, N; Glass, J; Green, J; Repetto, C; Rodgers, G; Ronconi, RA; Ryan, PG; Swain, G; Cuthbert, RJ</t>
  </si>
  <si>
    <t>Robson, Brad; Glass, Trevor; Glass, Norman; Glass, James; Green, Jerry; Repetto, Clifton; Rodgers, Graham; Ronconi, Robert A.; Ryan, Peter G.; Swain, George; Cuthbert, Richard J.</t>
  </si>
  <si>
    <t>Revised population estimate and trends for the Endangered Northern Rockhopper Penguin Eudyptes moseleyi at Tristan da Cunha</t>
  </si>
  <si>
    <t>BIRD CONSERVATION INTERNATIONAL</t>
  </si>
  <si>
    <t>Around 80% of the world population of Northern Rockhopper Penguin Eudyptes moseleyi is found at Tristan da Cunha and Gough Island in the South Atlantic Ocean, where populations appear to be declining. However, numbers of birds at Middle Island, a small satellite island of Nightingale Island at Tristan Cunha, have not been counted since 1973 when an estimated 100,000 pairs were recorded. Updated population counts were obtained for all four islands at Tristan da Cunha (Tristan, Inaccessible, Nightingale and Middle islands) in 2009 providing a census of the whole island group and the first repeat count of Middle Island. Estimated breeding numbers at these four islands were Tristan 6,700 pairs, Inaccessible 54,000 pairs, Nightingale 25,000 pairs and 83,000 pairs at Middle Island. These counts confirm that Tristan da Cunha is a vitally important site for this 'Endangered' species holding over 65% of the global population and that breeding number have been relatively stable over the last 30 years.</t>
  </si>
  <si>
    <t>[Cuthbert, Richard J.] Royal Soc Protect Birds, Sandy SG19 2DL, Beds, England; [Ryan, Peter G.] Univ Cape Town, Percy FitzPatrick Inst, DST NRF Ctr Excellence, ZA-7701 Rondebosch, South Africa; [Ronconi, Robert A.] Dalhousie Univ, Dept Biol, Halifax, NS B3H 4J1, Canada; [Robson, Brad] Royal Soc Protect Birds, Enniskillen BT93 7BQ, County Fermanag, North Ireland</t>
  </si>
  <si>
    <t>Royal Society for Protection of Birds; University of Cape Town; National Research Foundation - South Africa; Dalhousie University; Royal Society for Protection of Birds</t>
  </si>
  <si>
    <t>Cuthbert, RJ (corresponding author), Royal Soc Protect Birds, Sandy SG19 2DL, Beds, England.</t>
  </si>
  <si>
    <t>richard.cuthbert@rspb.org.uk</t>
  </si>
  <si>
    <t>Ryan, Peter/0000-0002-3356-2056</t>
  </si>
  <si>
    <t>Royal Zoological Society of Scotland; Royal Society for the Protection of Birds; European Union [20 9 PTO REG 5/1]</t>
  </si>
  <si>
    <t>Royal Zoological Society of Scotland; Royal Society for the Protection of Birds; European Union(European Union (EU))</t>
  </si>
  <si>
    <t>We are grateful to the Royal Zoological Society of Scotland for funding of the motor launch that enabled counts to be undertaken at Tristan da Cunha. The South African National Antarctic Programme, Percy FitzPatrick Institute University of Cape Town, and Killam Trust, Dalhousie University, provided logistic support for the work undertaken at Inaccessible Island. Additional funding to the Tristan da Cunha conservation department was provided by the Royal Society for the Protection of Birds with support from the European Union's EDF-9 programme through the South Atlantic Invasive Species Project (Project No 20 9 PTO REG 5/1) administered by RSPB.</t>
  </si>
  <si>
    <t>0959-2709</t>
  </si>
  <si>
    <t>1474-0001</t>
  </si>
  <si>
    <t>BIRD CONSERV INT</t>
  </si>
  <si>
    <t>Bird Conserv. Int.</t>
  </si>
  <si>
    <t>10.1017/S0959270911000013</t>
  </si>
  <si>
    <t>Biodiversity Conservation; Ornithology</t>
  </si>
  <si>
    <t>Biodiversity &amp; Conservation; Zoology</t>
  </si>
  <si>
    <t>860XL</t>
  </si>
  <si>
    <t>WOS:000297981600008</t>
  </si>
  <si>
    <t>Bracegirdle, TJ</t>
  </si>
  <si>
    <t>Bracegirdle, Thomas J.</t>
  </si>
  <si>
    <t>The seasonal cycle of stratosphere-troposphere coupling at southern high latitudes associated with the semi-annual oscillation in sea-level pressure</t>
  </si>
  <si>
    <t>Trend; Polar vortex; Polar night jet; Southern hemisphere</t>
  </si>
  <si>
    <t>PLANETARY-WAVES; INTERANNUAL VARIABILITY; HEMISPHERE CLIMATE; ANTARCTIC CLIMATE; PROPAGATION; TEMPERATURE; CIRCULATION; MODULATION; IMPACT; MIDDLE</t>
  </si>
  <si>
    <t>The semi-annual oscillation (SAO) in sea-level pressure at high southern latitudes is the consequence of a twice-yearly contraction (and strengthening) and expansion (and weakening) of the storm track between 50 and 65A degrees S, with the contracted phases in spring and autumn. In this study the extent to which inter-annual variability of the SAO is correlated with inter-annual variability in mid- to lower-stratospheric circulation at 60A degrees S was determined using NCEP/NCAR Reanalysis 1 data for the period 1979-2009. The second harmonic of the annual cycle of an SAO index was used to assess SAO amplitude and phase (the date of the first peak of the second harmonic). Zonal mean zonal wind at 60A degrees S was used as an index for atmospheric circulation. The results show that year-to-year variability in the SAO amplitude is significantly correlated with mid-stratospheric (10 hPa) circulation variability in late summer/early autumn (February-March) and late winter/early spring (August-September). However, variability in the SAO phase is significantly correlated with mid-stratospheric circulation variability in spring (September-November). These maxima in significant correlations at 10 hPa propagate down to the surface in approximately one month. The characteristics of upward planetary wave propagation alone do not explain the late summer/early autumn and spring maxima in correlations. Evidence is shown that internal reflection of stationary wave-number 1 is important for explaining the strong correlations in late summer/early autumn, but that large variability during polar vortex break-up dominates the spring correlations. The results may be important for understanding seasonal differences in how stratospheric ozone depletion influences tropospheric circulation.</t>
  </si>
  <si>
    <t>Bracegirdle, TJ (corresponding author), British Antarctic Survey, Cambridge CB3 0ET, England.</t>
  </si>
  <si>
    <t>tjbra@bas.ac.uk</t>
  </si>
  <si>
    <t>Bracegirdle, Tom/AAD-6060-2020</t>
  </si>
  <si>
    <t>Bracegirdle, Thomas/0000-0002-8868-4739</t>
  </si>
  <si>
    <t>Natural Environment Research Council; NERC [bas0100023] Funding Source: UKRI; Natural Environment Research Council [bas0100023] Funding Source: researchfish</t>
  </si>
  <si>
    <t>Andrew Orr is thanked for his rigorous and insightful reviews of early drafts of this paper. Two anonymous reviewers are thanked for their thoughtful and useful comments, which helped to considerably improve the manuscript. This study is part of the British Antarctic Survey Polar Science for Planet Earth Programme. It was funded by The Natural Environment Research Council. The NCEP Reanalysis data was provided by the NOAA/ OAR/ESRL PSD, Boulder, Colorado, USA, from their Web site at http://www.esrl.noaa.gov/psd/.</t>
  </si>
  <si>
    <t>11-12</t>
  </si>
  <si>
    <t>10.1007/s00382-011-1014-4</t>
  </si>
  <si>
    <t>852GU</t>
  </si>
  <si>
    <t>WOS:000297345800012</t>
  </si>
  <si>
    <t>Katsman, CA; Sterl, A; Beersma, JJ; van den Brink, HW; Church, JA; Hazeleger, W; Kopp, RE; Kroon, D; Kwadijk, J; Lammersen, R; Lowe, J; Oppenheimer, M; Plag, HP; Ridley, J; von Storch, H; Vaughan, DG; Vellinga, P; Vermeersen, LLA; van de Wal, RSW; Weisse, R</t>
  </si>
  <si>
    <t>Katsman, Caroline A.; Sterl, A.; Beersma, J. J.; van den Brink, H. W.; Church, J. A.; Hazeleger, W.; Kopp, R. E.; Kroon, D.; Kwadijk, J.; Lammersen, R.; Lowe, J.; Oppenheimer, M.; Plag, H. -P.; Ridley, J.; von Storch, H.; Vaughan, D. G.; Vellinga, P.; Vermeersen, L. L. A.; van de Wal, R. S. W.; Weisse, R.</t>
  </si>
  <si>
    <t>Exploring high-end scenarios for local sea level rise to develop flood protection strategies for a low-lying delta-the Netherlands as an example</t>
  </si>
  <si>
    <t>CLIMATIC CHANGE</t>
  </si>
  <si>
    <t>PINE ISLAND GLACIER; ANTARCTIC ICE-SHEET; CLIMATE-CHANGE; MASS-BALANCE; NORTH-SEA; GREENLAND; ACCELERATION; COLLAPSE; OCEAN; PROJECTIONS</t>
  </si>
  <si>
    <t>Sea level rise, especially combined with possible changes in storm surges and increased river discharge resulting from climate change, poses a major threat in low-lying river deltas. In this study we focus on a specific example of such a delta: the Netherlands. To evaluate whether the country's flood protection strategy is capable of coping with future climate conditions, an assessment of low-probability/high-impact scenarios is conducted, focusing mainly on sea level rise. We develop a plausible high-end scenario of 0.55 to 1.15 m global mean sea level rise, and 0.40 to 1.05 m rise on the coast of the Netherlands by 2100 (excluding land subsidence), and more than three times these local values by 2200. Together with projections for changes in storm surge height and peak river discharge, these scenarios depict a complex, enhanced flood risk for the Dutch delta.</t>
  </si>
  <si>
    <t>[Katsman, Caroline A.] Royal Netherlands Meteorol Inst KNMI, Global Climate Div, NL-3730 AE De Bilt, Netherlands; [Sterl, A.; Beersma, J. J.; Hazeleger, W.] KNMI, De Bilt, Netherlands; [van den Brink, H. W.] Meteo Consult BV, Wageningen, Netherlands; [Church, J. A.] Ctr Australian Weather &amp; Climate Res, Hobart, Tas, Australia; [Kopp, R. E.; Oppenheimer, M.] Princeton Univ, Woodrow Wilson Sch Publ &amp; Int Affairs, Princeton, NJ 08544 USA; [Kopp, R. E.; Oppenheimer, M.] Princeton Univ, Dept Geosci, Princeton, NJ 08544 USA; [Kroon, D.] Univ Edinburgh, Sch Geosci, Edinburgh, Midlothian, Scotland; [Kroon, D.] Free Univ Amsterdam, Amsterdam, Netherlands; [Kwadijk, J.] Deltares, Delft, Netherlands; [Lammersen, R.] Rijkswaterstaat Waterdienst, Lelystad, Netherlands; [Lowe, J.; Ridley, J.] Met Off, Hadley Ctr, Bracknell, Berks, England; [Plag, H. -P.] Univ Nevada, Nevada Bur Mines &amp; Geol, Carson, CA USA; [Plag, H. -P.] Univ Nevada, Seismol Lab, Carson, CA USA; [von Storch, H.; Weisse, R.] GKSS Forschungszentrum Geesthacht GmbH, Inst Coastal Res, Geesthacht, Germany; [Vaughan, D. G.] British Antarctic Survey, NERC, Cambridge CB3 0ET, England; [Vellinga, P.] Univ Wageningen &amp; Res Ctr, Wageningen, Netherlands; [Vermeersen, L. L. A.] Delft Univ Technol, DEOS, Delft, Netherlands; [van de Wal, R. S. W.] Univ Utrecht, Inst Marine &amp; Atmospher Res, Utrecht, Netherlands</t>
  </si>
  <si>
    <t>Royal Netherlands Meteorological Institute; Royal Netherlands Meteorological Institute; Commonwealth Scientific &amp; Industrial Research Organisation (CSIRO); Princeton University; Princeton University; University of Edinburgh; Vrije Universiteit Amsterdam; Deltares; Met Office - UK; Hadley Centre; Helmholtz Association; Helmholtz-Zentrum Hereon; UK Research &amp; Innovation (UKRI); Natural Environment Research Council (NERC); NERC British Antarctic Survey; Wageningen University &amp; Research; Delft University of Technology; Utrecht University</t>
  </si>
  <si>
    <t>Katsman, CA (corresponding author), Royal Netherlands Meteorol Inst KNMI, Global Climate Div, POB 201, NL-3730 AE De Bilt, Netherlands.</t>
  </si>
  <si>
    <t>caroline.katsman@knmi.nl</t>
  </si>
  <si>
    <t>Sterl, Andreas/AAE-7174-2020; von Storch, Hans/J-4165-2012; Kopp, Robert E/B-8822-2008; Church, John A/A-1541-2012; Weisse, Ralf/E-7550-2013; van de wal, roderik/D-1705-2011; Lowe, Jason/GQI-4036-2022; Vaughan, David/C-8348-2011; kwadijk, jaap/M-5539-2013</t>
  </si>
  <si>
    <t>Sterl, Andreas/0000-0003-3457-0434; von Storch, Hans/0000-0002-5825-8069; Church, John A/0000-0002-7037-8194; Weisse, Ralf/0000-0001-7449-6166; van de wal, roderik/0000-0003-2543-3892; Hazeleger, Wilco/0000-0002-4566-958X; Kopp, Robert/0000-0003-4016-9428; Vaughan, David/0000-0002-9065-0570; kwadijk, jaap/0000-0003-2980-2464; Oppenheimer, Michael/0000-0002-9708-5914</t>
  </si>
  <si>
    <t>Australian Climate Change Science Program; Pacific Climate Change Science Program; AusAID; Woodrow Wilson School at Princeton University; Natural Environment Research Council [bas0100027] Funding Source: researchfish; NERC [bas0100027] Funding Source: UKRI</t>
  </si>
  <si>
    <t>Australian Climate Change Science Program; Pacific Climate Change Science Program; AusAID(Australian Aid (AusAID)); Woodrow Wilson School at Princeton University(Princeton University); Natural Environment Research Council(UK Research &amp; Innovation (UKRI)Natural Environment Research Council (NERC)); NERC(UK Research &amp; Innovation (UKRI)Natural Environment Research Council (NERC))</t>
  </si>
  <si>
    <t>The authors acknowledge the members of the Dutch Delta Committee, and in particular Pavel Kabat, for initiating this research. J.A.C. was partly funded by the Australian Climate Change Science Program and the Pacific Climate Change Science Program, which is supported by AusAID, in collaboration with the Department of Climate Change and Energy Efficiency. R.E.K. was supported by a postdoctoral fellowship in the Science, Technology, and Environmental Policy program at the Woodrow Wilson School at Princeton University.</t>
  </si>
  <si>
    <t>0165-0009</t>
  </si>
  <si>
    <t>1573-1480</t>
  </si>
  <si>
    <t>Clim. Change</t>
  </si>
  <si>
    <t>10.1007/s10584-011-0037-5</t>
  </si>
  <si>
    <t>852IH</t>
  </si>
  <si>
    <t>Green Published, hybrid, Green Submitted, Green Accepted</t>
  </si>
  <si>
    <t>WOS:000297350700022</t>
  </si>
  <si>
    <t>Curtis, C; Stewart, BS; Karl, SA</t>
  </si>
  <si>
    <t>Curtis, Caitlin; Stewart, Brent S.; Karl, Stephen A.</t>
  </si>
  <si>
    <t>Genetically effective population sizes of Antarctic seals estimated from nuclear genes</t>
  </si>
  <si>
    <t>CONSERVATION GENETICS</t>
  </si>
  <si>
    <t>Leptonychotes weddellii; Lobodon carcinophaga; Ommatophoca rossii; Theta; Microsatellite; Phocid carnivore</t>
  </si>
  <si>
    <t>MICROSATELLITE LOCI; FUR-SEAL; ASCERTAINMENT BIAS; DROSOPHILA-MELANOGASTER; ROSS SEAL; DIVERSITY; DNA; DIFFERENTIATION; FREQUENCY; PATTERNS</t>
  </si>
  <si>
    <t>We analyzed eight nuclear microsatellite loci in three species of Antarctic seals; Weddell seal (Leptonychotes weddellii; mean N = 163), crabeater seal (Lobodon carcinophaga; 138) and Ross seal (Ommatophoca rossii; 35). We estimated genetic diversity (Theta) and effective population size (N-E) for each species. Autosomal microsatellite based N-E estimates were 151,200 for Weddell seals, 880,200 for crabeater seals, and 254,500 for Ross seals. We screened one X-linked microsatellite (Lw18), which yielded similar N-E estimates to the autosomal loci for all species except the Ross seals, where it was considerably larger (similar to 103 times). Microsatellite N-E estimates were comparable with previously published N-E estimates from mitochondrial DNA, but both are substantially lower than direct estimates of population size in all species except the Ross seals. The ratio of maternally versus biparentally derived estimates of N-E for Ross seals was not consistent with the hypothesis that they are a polygynous species. We found no sign of a recent, sustained genetic bottleneck in any of the species.</t>
  </si>
  <si>
    <t>[Karl, Stephen A.] Univ Hawaii Manoa, Hawaii Inst Marine Biol, Kaneohe, HI 96744 USA; [Stewart, Brent S.] Hubbs SeaWorld Res Inst, San Diego, CA 92109 USA; [Curtis, Caitlin] Univ S Florida, Dept Biol, Tampa, FL 33620 USA</t>
  </si>
  <si>
    <t>University of Hawaii System; University of Hawaii Manoa; State University System of Florida; University of South Florida</t>
  </si>
  <si>
    <t>Karl, SA (corresponding author), Univ Hawaii Manoa, Hawaii Inst Marine Biol, POB 1346, Kaneohe, HI 96744 USA.</t>
  </si>
  <si>
    <t>skarl@hawaii.edu</t>
  </si>
  <si>
    <t>Curtis, Caitlin/D-2391-2014; Curtis, Caitlin/E-5282-2019</t>
  </si>
  <si>
    <t>Curtis, Caitlin/0000-0002-6284-284X; Curtis, Caitlin/0000-0002-6284-284X</t>
  </si>
  <si>
    <t>American Museum of Natural History; NSF [98-16011, OPP 98-16035, DEB 98-06905, DEB 03-21924]; Microsoft Corporation</t>
  </si>
  <si>
    <t>American Museum of Natural History; NSF(National Science Foundation (NSF)); Microsoft Corporation(Microsoft)</t>
  </si>
  <si>
    <t>This research was funded by an American Museum of Natural History Lerner-Gray grant to CC, NSF OPP 98-16011 and OPP 98-16035 grants to BSS, and NSF DEB 98-06905 and DEB 03-21924 grants to SAK. Much of the research was conducted in the Department of Biology, University of South Florida (Tampa, FL, USA) in partial fulfillment of the doctoral research of CC. We thank H. Xu for generously providing statistical analysis software and four anonymous reviewers for critical comments. Part of this work was carried out by using the resources of the Computational Biology Service Unit from Cornell University, which is partially funded by Microsoft Corporation. This research was authorized by research permits 976 under the United States Marine Mammal Protection Act and 2000-2001 under The United States Antarctic Conservation Act and was approved by the Institutional Animal Care and Use Committee of Hubbs-SeaWorld Research Institute, which is registered as a Research Facility with the United States Department of Agriculture-Animal and Plant Health Inspection Service. This is SOEST contribution No. 8210 and HIMB contribution No. 1453.</t>
  </si>
  <si>
    <t>1566-0621</t>
  </si>
  <si>
    <t>1572-9737</t>
  </si>
  <si>
    <t>CONSERV GENET</t>
  </si>
  <si>
    <t>Conserv. Genet.</t>
  </si>
  <si>
    <t>10.1007/s10592-011-0241-x</t>
  </si>
  <si>
    <t>Biodiversity Conservation; Genetics &amp; Heredity</t>
  </si>
  <si>
    <t>Biodiversity &amp; Conservation; Genetics &amp; Heredity</t>
  </si>
  <si>
    <t>889SG</t>
  </si>
  <si>
    <t>WOS:000300092900004</t>
  </si>
  <si>
    <t>LeMasurier, WE; Choi, SH; Kawachi, Y; Mukasa, SB; Rogers, NW</t>
  </si>
  <si>
    <t>LeMasurier, Wesley E.; Choi, Sung Hi; Kawachi, Y.; Mukasa, Samuel B.; Rogers, N. W.</t>
  </si>
  <si>
    <t>Evolution of pantellerite-trachyte-phonolite volcanoes by fractional crystallization of basanite magma in a continental rift setting, Marie Byrd Land, Antarctica</t>
  </si>
  <si>
    <t>Marie Byrd Land dome; Polybaric fractionation; Pantellerite; Kaersutite; West Antarctic rift; Stationary plate</t>
  </si>
  <si>
    <t>EAST-AFRICAN RIFT; MIDOCEAN RIDGE BASALTS; WEST ANTARCTICA; ROSS-ISLAND; GEOCHEMICAL EVOLUTION; PACIFIC MARGIN; TRACE-ELEMENT; MANTLE SOURCE; ROCKS; PETROGENESIS</t>
  </si>
  <si>
    <t>The Marie Byrd Land province includes 18 large (up to 1,800 km(3)) central volcanoes distributed across an active volcano-tectonic dome. The typical volcano structure consists of a basal 1,000-5,000 m of basanite surmounted by trachyte and subordinate intermediate rocks, plus phonolite, or pantellerite, or comendite. The volumes of felsic sections are large (similar to 30-700 km(3)), but these rocks probably make up &lt; 10% of volcanic rock in the province. This paper describes pantellerite volcanoes in the Ames and Flood Ranges, which include a large and varied suite of these iron-rich, silica-poor rhyolites. Isotopic and trace element data, maintenance of isotopic equilibrium throughout the basalt-felsic range, and the results of modeling, all exclude significant crustal contamination and point to fractional crystallization as the process that controls magmatic evolution. The most unusual feature of these volcanoes is the apparent need to derive pantellerites from basanite, the long interval of fractionation at the base of the lithosphere and crust, involving kaersutite as the key phase in developing pantellerite, and a plumbing system that permitted coeval eruption of pantellerite and phonolite from the same edifice. Peralkalinity most likely developed in upper crustal reservoirs during the final 4-5% of magmatic history, by fractionating a high proportion of plagioclase under low pH(2)O. Mantle plume activity appears to drive doming and volcanism. This, a stationary plate, and continental lithospheric structure seem to provide an optimal environment for the evolution of a diverse, large volume suite of felsic rocks by fractional crystallization.</t>
  </si>
  <si>
    <t>[LeMasurier, Wesley E.] Univ Colorado, Inst Arctic &amp; Alpine Res, Boulder, CO 80309 USA; [Choi, Sung Hi] Chungnam Natl Univ, Dept Geol &amp; Earth Environm Sci, Taejon 305764, South Korea; [Kawachi, Y.] Univ Otago, Dunedin, New Zealand; [Mukasa, Samuel B.] Univ Michigan, Dept Geol Sci, Ann Arbor, MI 48109 USA; [Rogers, N. W.] Open Univ, Dept Earth Sci, Milton Keynes MK7 6AA, Bucks, England</t>
  </si>
  <si>
    <t>University of Colorado System; University of Colorado Boulder; Chungnam National University; University of Otago; University of Michigan System; University of Michigan; Open University - UK</t>
  </si>
  <si>
    <t>LeMasurier, WE (corresponding author), Univ Colorado, Inst Arctic &amp; Alpine Res, Boulder, CO 80309 USA.</t>
  </si>
  <si>
    <t>Wesley.lemasurier@colorado.edu; chois@cnu.ac.kr; yosuke.kawachi@gmail.com; sam.mukasa@unh.edu; n.w.rogers@open.ac.uk</t>
  </si>
  <si>
    <t>Rogers, Nick W/A-5870-2009</t>
  </si>
  <si>
    <t>Choi, Sung Hi/0000-0001-8942-0359</t>
  </si>
  <si>
    <t>NSF [0536526]; Korea Polar Research Institute (KOPR); Directorate For Geosciences; Division Of Polar Programs [0536526] Funding Source: National Science Foundation; Office of Polar Programs (OPP); Directorate For Geosciences [1321588] Funding Source: National Science Foundation</t>
  </si>
  <si>
    <t>NSF(National Science Foundation (NSF)); Korea Polar Research Institute (KOPR); Directorate For Geosciences; Division Of Polar Programs(National Science Foundation (NSF)NSF - Directorate for Geosciences (GEO)); Office of Polar Programs (OPP); Directorate For Geosciences(National Science Foundation (NSF)NSF - Directorate for Geosciences (GEO))</t>
  </si>
  <si>
    <t>Work on the origin of pantellerites in the Ames and Flood Ranges was supported by NSF Grant #0536526 (to WEL). SHC gratefully acknowledges the support of the Polar Academic Program (PAP), Korea Polar Research Institute (KOPR). WEL is grateful to Dan Barker for constructive review of an early draft of the manuscript, Stan Hart for permission to include three previously unpublished isotope analyses in Tables 2 and 1S, Gary Ernst for advice about amphibole stability problems, and Dave Underwood for a great deal of help creating the figures. Critical reviews by Jake Lowenstern and Kurt Panter sharpened the focus and significantly improved the presentation of the paper.</t>
  </si>
  <si>
    <t>10.1007/s00410-011-0646-z</t>
  </si>
  <si>
    <t>844FT</t>
  </si>
  <si>
    <t>WOS:000296733800004</t>
  </si>
  <si>
    <t>Bestelmeyer, BT; Ellison, AM; Fraser, WR; Gorman, KB; Holbrook, SJ; Laney, CM; Ohman, MD; Peters, DPC; Pillsbury, FC; Rassweiler, A; Schmitt, RJ; Sharma, S</t>
  </si>
  <si>
    <t>Bestelmeyer, Brandon T.; Ellison, Aaron M.; Fraser, William R.; Gorman, Kristen B.; Holbrook, Sally J.; Laney, Christine M.; Ohman, Mark D.; Peters, Debra P. C.; Pillsbury, Finn C.; Rassweiler, Andrew; Schmitt, Russell J.; Sharma, Sapna</t>
  </si>
  <si>
    <t>Analysis of abrupt transitions in ecological systems</t>
  </si>
  <si>
    <t>ECOSPHERE</t>
  </si>
  <si>
    <t>alternative states; Bouteloua eriopoda; desert grassland; krill; leading indicators; Nyctiphanes simplex; Pachythyone rubra; penguins; Pygoscelis; regime shifts; sea cucumbers; thresholds</t>
  </si>
  <si>
    <t>ANTARCTIC PENINSULA REGION; ALTERNATIVE STABLE STATES; SEA-ICE; CLIMATE-CHANGE; CATASTROPHIC SHIFTS; POPULATION-CHANGES; MARINE ECOSYSTEMS; COMMUNITY STATES; THRESHOLDS; DYNAMICS</t>
  </si>
  <si>
    <t>The occurrence and causes of abrupt transitions, thresholds, or regime shifts between ecosystem states are of great concern and the likelihood of such transitions is increasing for many ecological systems. General understanding of abrupt transitions has been advanced by theory, but hindered by the lack of a common, accessible, and data-driven approach to characterizing them. We apply such an approach to 30-60 years of data on environmental drivers, biological responses, and associated evidence from pelagic ocean, coastal benthic, polar marine, and semi-arid grassland ecosystems. Our analyses revealed one case in which the response (krill abundance) linearly tracked abrupt changes in the driver (Pacific Decadal Oscillation), but abrupt transitions detected in the three other cases (sea cucumber abundance, penguin abundance, and black grama grass production) exhibited hysteretic relationships with drivers (wave intensity, sea-ice duration, and amounts of monsoonal rainfall, respectively) through a variety of response mechanisms. The use of a common approach across these case studies illustrates that: the utility of leading indicators is often limited and can depend on the abruptness of a transition relative to the lifespan of responsive organisms and observation intervals; information on spatiotemporal context is useful for comparing transitions; and ancillary information from associated experiments and observations aids interpretation of response-driver relationships. The understanding of abrupt transitions offered by this approach provides information that can be used to manage state changes</t>
  </si>
  <si>
    <t>[Bestelmeyer, Brandon T.; Peters, Debra P. C.; Pillsbury, Finn C.] New Mexico State Univ, USDA ARS Jornada Expt Range, Las Cruces, NM 88003 USA; [Ellison, Aaron M.] Harvard Univ, Harvard Forest, Petersham, MA 01366 USA; [Fraser, William R.; Gorman, Kristen B.] Polar Oceans Res Grp, Sheridan, MT 59749 USA; [Gorman, Kristen B.] Simon Fraser Univ, Dept Biol Sci, Burnaby, BC V5A 1S6, Canada; [Holbrook, Sally J.; Schmitt, Russell J.] Univ Calif Santa Barbara, Dept Ecol Evolut &amp; Marine Biol, Santa Barbara, CA 93106 USA; [Laney, Christine M.] Univ Texas El Paso, Environm Sci &amp; Engn Program, El Paso, TX 79968 USA; [Ohman, Mark D.] Univ Calif San Diego, Scripps Inst Oceanog, La Jolla, CA 92093 USA; [Holbrook, Sally J.; Rassweiler, Andrew; Schmitt, Russell J.] Univ Calif Santa Barbara, Inst Marine Sci, Santa Barbara, CA 93106 USA; [Sharma, Sapna] Univ Wisconsin, Ctr Limnol, Madison, WI 53706 USA</t>
  </si>
  <si>
    <t>New Mexico State University; United States Department of Agriculture (USDA); Harvard University; Simon Fraser University; University of California System; University of California Santa Barbara; University of Texas System; University of Texas El Paso; University of California System; University of California San Diego; Scripps Institution of Oceanography; University of California System; University of California Santa Barbara; University of Wisconsin System; University of Wisconsin Madison</t>
  </si>
  <si>
    <t>Bestelmeyer, BT (corresponding author), New Mexico State Univ, USDA ARS Jornada Expt Range, MSC 3JER Box 30003, Las Cruces, NM 88003 USA.</t>
  </si>
  <si>
    <t>bbestelm@nmsu.edu</t>
  </si>
  <si>
    <t>Ohman, Mark D/C-8763-2009; Laney, Christine/B-7867-2010</t>
  </si>
  <si>
    <t>Ohman, Mark D/0000-0001-8136-3695; Laney, Christine/0000-0002-4944-2083; Gorman, Kristen B./0000-0002-0258-9264; Sharma, Sapna/0000-0003-4571-2768; Rassweiler, Andrew/0000-0002-8760-3888</t>
  </si>
  <si>
    <t>NSF LTER [08-23101]; Harvard University [06-20443]; New Mexico State University [06-18210]; UC San Diego [04-17616]; UC Santa Barbara [06-20276]; University of Wisconsin [08-22700]; NSF [08-32652]; Natural Sciences and Engineering Research Council of Canada (NSERC); Directorate For Geosciences [1026851] Funding Source: National Science Foundation; Directorate For Geosciences; Division Of Ocean Sciences [1236905] Funding Source: National Science Foundation; Division Of Environmental Biology; Direct For Biological Sciences [0822700] Funding Source: National Science Foundation; Division Of Ocean Sciences [1026851] Funding Source: National Science Foundation; Office of Polar Programs (OPP); Directorate For Geosciences [0823101] Funding Source: National Science Foundation</t>
  </si>
  <si>
    <t>NSF LTER(National Science Foundation (NSF)); Harvard University; New Mexico State University; UC San Diego; UC Santa Barbara; University of Wisconsin; NSF(National Science Foundation (NSF)); Natural Sciences and Engineering Research Council of Canada (NSERC)(Natural Sciences and Engineering Research Council of Canada (NSERC)); Directorate For Geosciences(National Science Foundation (NSF)NSF - Directorate for Geosciences (GEO)); Directorate For Geosciences; Division Of Ocean Sciences(National Science Foundation (NSF)NSF - Directorate for Geosciences (GEO)); Division Of Environmental Biology; Direct For Biological Sciences(National Science Foundation (NSF)NSF - Directorate for Biological Sciences (BIO)); Division Of Ocean Sciences(National Science Foundation (NSF)NSF - Directorate for Geosciences (GEO)); Office of Polar Programs (OPP); Directorate For Geosciences(National Science Foundation (NSF)NSF - Directorate for Geosciences (GEO))</t>
  </si>
  <si>
    <t>Support for this work was provided by NSF LTER awards to the Ecosystems Center of the Marine Biological Laboratory at Woods Hole (08-23101), Harvard University (06-20443), New Mexico State University (06-18210), UC San Diego (04-17616), UC Santa Barbara (06-20276), the University of Wisconsin (08-22700), an NSF contract to the LTER Network Office at the University of New Mexico (08-32652), and the Natural Sciences and Engineering Research Council of Canada (NSERC). The LTER EcoTrends project, the LTER Network Office, and Laurie Chiasson at Harvard Forest supported the data synthesis efforts. The California Current System data were collected in part with the assistance of A. Townsend (Scripps Institution of Oceanography Pelagic Invertebrates Collection) and the late E. Brinton. Collection of the Southern California Rocky Reef data prior to 2000 was supported by NSF awards to RJS and SJH. The Jornada Experimental Range data collection and synthesis was supported by staff of the USDA Agricultural Research Service. The authors thank Ben Baiser, Audrey Barker-Plotkin, Elizabeth Crone, Elizabeth Farnsworth, David Foster, Brian Hall, Dave Orwig, Sydne Record, Kristina Stinson, and Jack Williams for helpful discussions and comments on early versions of the manuscript.</t>
  </si>
  <si>
    <t>2150-8925</t>
  </si>
  <si>
    <t>Ecosphere</t>
  </si>
  <si>
    <t>10.1890/ES11-00216.1</t>
  </si>
  <si>
    <t>V30JC</t>
  </si>
  <si>
    <t>WOS:000208811300001</t>
  </si>
  <si>
    <t>Bakermans, C; Skidmore, M</t>
  </si>
  <si>
    <t>Bakermans, Corien; Skidmore, Mark</t>
  </si>
  <si>
    <t>Microbial respiration in ice at subzero temperatures (-4°C to-33°C)</t>
  </si>
  <si>
    <t>VOSTOK ACCRETION ICE; BASAL ICE; LAKE VOSTOK; ANTARCTIC ICE; GLACIAL ICE; SP NOV.; CORE; GREENLAND; MICROORGANISMS; BACTERIA</t>
  </si>
  <si>
    <t>The habitability of icy environments may be limited by low temperature, low nutrient concentrations, high solute concentrations and the physical ice matrix. The basal ice of ice sheets and glaciers contains sediments that may be a source of nutrients for microbial activity. Here we quantify microbial respiration and active cell populations of Antarctic glacial isolates Paenisporosarcina sp. B5 and Chryseobacterium sp. V3519-10 in laboratory ices with abundant nutrients at temperatures from -4 degrees C to -33 degrees C. At all temperatures, initial high rates of metabolism were followed by lower rates suggestive of a non-reproductive metabolic state such as maintenance or dormancy. Metabolism was sustained by viable cells as quantified via culturability, CTC reduction and LIVE/DEAD staining. Respiration rates based on active cell populations did not correspond to rates representative of reproductive growth from the literature, but suggested lower levels of metabolism. Our data demonstrated that bacteria actively respired acetate in polycrystalline ice with abundant nutrients despite low temperatures and the physical ice matrix. Our results suggest that the debris-rich basal ice that exists at temperatures just below the freezing point and underlies portions of both the Greenland and Antarctic ice sheets represents a significant potential habitat for metabolically active microbial communities.</t>
  </si>
  <si>
    <t>[Bakermans, Corien; Skidmore, Mark] Montana State Univ, Dept Earth Sci, Bozeman, MT 59717 USA</t>
  </si>
  <si>
    <t>Montana State University System; Montana State University Bozeman</t>
  </si>
  <si>
    <t>Skidmore, Mark L/I-4317-2018</t>
  </si>
  <si>
    <t>Bakermans, Corien/0000-0002-3471-2570</t>
  </si>
  <si>
    <t>NSF-EAR [0522567]; NSF-EPSCoR; Direct For Social, Behav &amp; Economic Scie; Divn Of Social and Economic Sciences [0522567] Funding Source: National Science Foundation</t>
  </si>
  <si>
    <t>NSF-EAR(National Science Foundation (NSF)); NSF-EPSCoR; Direct For Social, Behav &amp; Economic Scie; Divn Of Social and Economic Sciences(National Science Foundation (NSF)NSF - Directorate for Social, Behavioral &amp; Economic Sciences (SBE))</t>
  </si>
  <si>
    <t>This research was funded by NSF-EAR 0522567 award to M. S. M. S and C. B. acknowledge support from NSF-EPSCoR. We thank T. Brox, S. Montross and B. Christner for helpful discussions during the course of research. B. Christner provided comments on an earlier draft of the manuscript.</t>
  </si>
  <si>
    <t>10.1111/j.1758-2229.2011.00298.x</t>
  </si>
  <si>
    <t>WOS:000297148800018</t>
  </si>
  <si>
    <t>Antony, R; Mahalinganathan, K; Thamban, M; Nair, S</t>
  </si>
  <si>
    <t>Antony, Runa; Mahalinganathan, K.; Thamban, Meloth; Nair, Shanta</t>
  </si>
  <si>
    <t>Organic Carbon in Antarctic Snow: Spatial Trends and Possible Sources</t>
  </si>
  <si>
    <t>ENVIRONMENTAL SCIENCE &amp; TECHNOLOGY</t>
  </si>
  <si>
    <t>SURFACE SNOW; EAST ANTARCTICA; DOME-C; MATTER; PHOTOCHEMISTRY; FORMALDEHYDE; ATMOSPHERE; ABUNDANCE; AEROSOLS; EXCHANGE</t>
  </si>
  <si>
    <t>Organic carbon records in Antarctic snow are sparse despite the fact that it is of great significance to global carbon dynamics, snow photochemistry, and air-snow exchange processes. Here, surface snow total organic carbon (TOC) along with sea-salt Na+, dust, and microbial load of two geographically distinct traverses in East Antarctica are presented, viz. Princess Elizabeth Land (PEL, coast to 180 km inland, Indian Ocean sector) and Dronning Maud Land (DML, similar to 110-300 km inland, Atlantic Ocean sector). TOC ranged from 88 +/- 4 to 928 +/- 21 mu g L-1 in PEL and 13 +/- 1 to 345 +/- 6 mu g L-1 in DML. TOC exhibited considerable spatial variation with significantly higher values in the coastal samples (p &lt; 0.001), but regional variation was insignificant within the two transects beyond 100 km (p &gt; 0.1). Both distance from the sea and elevation influenced TOC concentrations. TOC also showed a strong positive correlation with sea-salt Na+ (p &lt; 0.001). In addition to marine contribution, in situ microorganisms accounted for 365 and 320 ng carbon L-1 in PEL and DML, respectively. Correlation with dust suggests that crustal contribution of organic carbon was marginal. Though TOC was predominantly influenced by marine sources associated with sea-spray aerosols, local microbial contributions were significant in distant locations having minimal sea-spray input.</t>
  </si>
  <si>
    <t>[Antony, Runa; Mahalinganathan, K.; Thamban, Meloth] Natl Ctr Antarctic &amp; Ocean Res, Vasco Da Gama 403804, Goa, India; [Nair, Shanta] Natl Inst Oceanog, Panaji 403004, Goa, India</t>
  </si>
  <si>
    <t>Ministry of Earth Sciences (MoES) - India; National Centre for Polar and Ocean Research (NCPOR); Council of Scientific &amp; Industrial Research (CSIR) - India; CSIR - National Institute of Oceanography (NIO)</t>
  </si>
  <si>
    <t>Antony, R (corresponding author), Natl Ctr Antarctic &amp; Ocean Res, Vasco Da Gama 403804, Goa, India.</t>
  </si>
  <si>
    <t>runa@ncaor.org</t>
  </si>
  <si>
    <t>Thamban, Meloth/0000-0003-3379-8189; Kanthanathan, Mahalinganathan/0000-0003-3407-3972; Antony, Runa/0000-0003-4829-4207</t>
  </si>
  <si>
    <t>Ministry of Earth Science; NCAOR</t>
  </si>
  <si>
    <t>The authors thank the Ministry of Earth Science and Director, NCAOR for support. Many thanks to Dr. Rahul Mohan for extending the facility for SEM and to Sahina Gazi for the analysis. Thanks are also due to Sunaina Wadekar for Coulter Counter measurements, Trupti S. Naik for ion chromatography measurements, and Ashlesha Saxena for help with ArcGis. The authors are grateful to Prof. P. Buford Price and Dr. C. T. Achuthankutty for reviewing the manuscript and improving the contents. Abstract photo credit K. Mahalinganathan. This is NCAOR publication no. 34/2011.</t>
  </si>
  <si>
    <t>0013-936X</t>
  </si>
  <si>
    <t>1520-5851</t>
  </si>
  <si>
    <t>ENVIRON SCI TECHNOL</t>
  </si>
  <si>
    <t>Environ. Sci. Technol.</t>
  </si>
  <si>
    <t>10.1021/es203512t</t>
  </si>
  <si>
    <t>852UJ</t>
  </si>
  <si>
    <t>WOS:000297382700020</t>
  </si>
  <si>
    <t>Helidoniotis, F; Haddon, M; Tuck, G; Tarbath, D</t>
  </si>
  <si>
    <t>Helidoniotis, Fay; Haddon, Malcolm; Tuck, Geoff; Tarbath, David</t>
  </si>
  <si>
    <t>The relative suitability of the von Bertalanffy, Gompertz and inverse logistic models for describing growth in blacklip abalone populations (Haliotis rubra) in Tasmania, Australia</t>
  </si>
  <si>
    <t>FISHERIES RESEARCH</t>
  </si>
  <si>
    <t>von Bertalanffy; Gompertz; Abalone growth; Information theory; Inverse logistic model</t>
  </si>
  <si>
    <t>INDIVIDUAL VARIABILITY; MOLLUSCA; SIZE</t>
  </si>
  <si>
    <t>Three candidate, non-nested, growth models (von Bertalanffy, Gompertz and inverse logistic) were fitted to multiple samples of tag-recapture data (n = 27 samples) to determine the best statistical model for blacklip abalone (Halioris rubra) populations in Tasmania, Australia. Wild populations of blacklip abalone were sampled for growth data using tag-recapture methods. The best statistical model was identified for each sample using Akaike's Information Criteria and Akaike weights to measure the relative statistical fit. Using these criteria, the best fitting model was the inverse logistic for 21 of the 27 samples, both the von Bertalanffy and the Gompertz models were the best fitting model in three samples each. When the inverse logistic was the best fitting model it was the best unambiguously, as indicated by the high Akaike weight values (generally w(i) &gt; 0.8; 0.65-1.0). In contrast, when either the von Bertalanffy or the Gompertz growth models were statistically optimal, the highest Akaike weights ranged between 0.15 and 0.44 across both models. We conclude that the use of either the von Bertalanffy or Gompertz growth models in the assessment of Tasmanian blacklip abalone would be statistically sub-optimal and may mislead assessments of Tasmanian abalone stocks. The inverse logistic model can be considered as a good candidate growth model for other fished invertebrate stocks. (C) 2011 Elsevier B.V. All rights reserved.</t>
  </si>
  <si>
    <t>[Helidoniotis, Fay; Tarbath, David] Univ Tasmania, Inst Marine &amp; Antarctic Studies, Hobart, Tas 7001, Australia; [Helidoniotis, Fay; Haddon, Malcolm; Tuck, Geoff] CSIRO, Marine &amp; Atmospher Res, Hobart, Tas 7001, Australia</t>
  </si>
  <si>
    <t>Helidoniotis, F (corresponding author), Univ Tasmania, Inst Marine &amp; Antarctic Studies, Private Bag 49, Hobart, Tas 7001, Australia.</t>
  </si>
  <si>
    <t>Helidoniotis, Fay/A-1725-2012; Tuck, Geoff/E-2356-2012</t>
  </si>
  <si>
    <t>Haddon, Malcolm/0000-0001-6971-7585; Tuck, Geoff/0000-0002-3640-6147</t>
  </si>
  <si>
    <t>University of Tasmania; CSIRO/UTAS; Fisheries Research Development Corporation [FRDC 2007/020]</t>
  </si>
  <si>
    <t>University of Tasmania; CSIRO/UTAS(Commonwealth Scientific &amp; Industrial Research Organisation (CSIRO)); Fisheries Research Development Corporation</t>
  </si>
  <si>
    <t>This work is part of a Ph.D. project at the University of Tasmania. The first author would like to thank the University of Tasmania for providing a UTAS Scholarship and the CSIRO/UTAS Quantitative Marine Science program for an incremental scholarship. The second author was partly funded through a Fisheries Research Development Corporation grant (FRDC 2007/020). The authors acknowledge the senior scientific officers for organizing the field work that produced the dataset used in this study; Dr Warwick Nash, Dr Rick Officer and Dr Craig Mundy. The authors also acknowledge the technical staff employed by the Tasmanian Aquaculture and Fisheries Institute. The authors would like to thank Dr Neil Klaer, Dr Paige Eveson, and three anonymous reviewers for providing comments that improved the manuscript.</t>
  </si>
  <si>
    <t>0165-7836</t>
  </si>
  <si>
    <t>1872-6763</t>
  </si>
  <si>
    <t>FISH RES</t>
  </si>
  <si>
    <t>Fish Res.</t>
  </si>
  <si>
    <t>10.1016/j.fishres.2011.08.005</t>
  </si>
  <si>
    <t>847UY</t>
  </si>
  <si>
    <t>WOS:000296999200003</t>
  </si>
  <si>
    <t>Blagoveshchenskaya, NF; Borisova, TD; Rietveld, MT; Yeoman, TK; Wright, DM; Rother, M; Lühr, H; Mishin, EV; Roth, C</t>
  </si>
  <si>
    <t>Blagoveshchenskaya, N. F.; Borisova, T. D.; Rietveld, M. T.; Yeoman, T. K.; Wright, D. M.; Rother, M.; Luehr, H.; Mishin, E. V.; Roth, C.</t>
  </si>
  <si>
    <t>Results of Russian experiments dealing with the impact of powerful HF radiowaves on the high-latitude ionosphere using the EISCAT facilities</t>
  </si>
  <si>
    <t>GEOMAGNETISM AND AERONOMY</t>
  </si>
  <si>
    <t>F-REGION; IRREGULARITIES; FIELD; MAGNETOSPHERE; FREQUENCY; TROMSO; WAVES</t>
  </si>
  <si>
    <t>We present the results of complex experiments dealing with the impact of powerful HF radiowaves on the high-latitude ionosphere using the European Incoherent Scatter Scientific Association (EISCAT) facilities. During the ionospheric F-region heating by powerful extraordinary (X-mode) polarized HF radiowaves under the conditions of heating near the critical f (H) frequency f (H) a parts per thousand f (x) F2 of the extraordinary wave of the F2-layer, we were first to detect the excitation of intense artificial small-scale ionospheric irregularities (ASIs), accompanied by electron temperature increases by approximately 50%. The results of coordinated satellite and ground-based observations of the powerful HF radiowave impact on the high-latitude ionosphere are considered. During ionospheric F-region heating by powerful HF radiowaves of ordinary polarization (O-mode) during evening hours, the phenomenon of ion outflow accompanied by electron temperature increases and thermal plasma expansion was revealed. Concurrent DMSP-F15 satellite measurements at a height of about 850 km indicate an O+ ion density increase. The CHAMP satellite observations identified ULF emissions at the modulation frequency (3 Hz) of the powerful HF radiowave, generated during modulated emissions of the powerful HF radiowave of O-polarization and accompanied by a substantial increase in the electron temperature and ASI generation.</t>
  </si>
  <si>
    <t>[Blagoveshchenskaya, N. F.; Borisova, T. D.] Arctic &amp; Antarctic Res Inst, St Petersburg, Russia; [Rietveld, M. T.] EISCAT Sci Assoc, Ramfjordbotn, Norway; [Yeoman, T. K.; Wright, D. M.] Univ Leicester, Leicester, Leics, England; [Rother, M.; Luehr, H.] GeoForschungsZentrum, Potsdam, Germany; [Mishin, E. V.] USAF, Res Lab, Hanscom AFB, MA USA; [Roth, C.] AER Inc, Lexington, MA USA</t>
  </si>
  <si>
    <t>Arctic &amp; Antarctic Research Institute; University of Leicester; Helmholtz Association; Helmholtz-Center Potsdam GFZ German Research Center for Geosciences; United States Department of Defense; United States Air Force; Atmospheric &amp; Environmental Research</t>
  </si>
  <si>
    <t>Blagoveshchenskaya, NF (corresponding author), Arctic &amp; Antarctic Res Inst, St Petersburg, Russia.</t>
  </si>
  <si>
    <t>Blagoveshchenskaya, Nataly/AAE-4093-2022; Yeoman, Timothy k/L-9105-2014; Blagoveshchenskaya, Nataly F./S-4342-2017; Borisova, Tatiana/AAK-7698-2020</t>
  </si>
  <si>
    <t>Blagoveshchenskaya, Nataly/0000-0003-1752-3273; Yeoman, Timothy k/0000-0002-8434-4825; Blagoveshchenskaya, Nataly F./0000-0003-1752-3273; Borisova, Tatiana/0000-0003-1727-5310; MISHIN, EVGENY/0000-0002-3183-0600</t>
  </si>
  <si>
    <t>federal target program Geophysics; STFC [PP/E007929/1] Funding Source: UKRI; Science and Technology Facilities Council [PP/E007929/1] Funding Source: researchfish</t>
  </si>
  <si>
    <t>federal target program Geophysics; STFC(UK Research &amp; Innovation (UKRI)Science &amp; Technology Facilities Council (STFC)); Science and Technology Facilities Council(UK Research &amp; Innovation (UKRI)Science &amp; Technology Facilities Council (STFC))</t>
  </si>
  <si>
    <t>We thank the personnel of the European Incoherent Scatter Scientific Association (EISCAT) for assistance in accomplishing the experiments in Tromso, Norway, and the staff of the University of Leicester, United Kingdom, for maintaining the operation of the system of CUTLASS radars in Finland and Iceland during the experiments. This work was supported by the federal target program Geophysics.</t>
  </si>
  <si>
    <t>0016-7932</t>
  </si>
  <si>
    <t>1555-645X</t>
  </si>
  <si>
    <t>GEOMAGN AERONOMY+</t>
  </si>
  <si>
    <t>Geomagn. Aeron.</t>
  </si>
  <si>
    <t>10.1134/S0016793211080160</t>
  </si>
  <si>
    <t>919BP</t>
  </si>
  <si>
    <t>WOS:000302295900015</t>
  </si>
  <si>
    <t>Holmes, J; Lowe, J; Wolff, E; Srokosz, M</t>
  </si>
  <si>
    <t>Holmes, Jonathan; Lowe, John; Wolff, Eric; Srokosz, Meric</t>
  </si>
  <si>
    <t>Rapid climate change: lessons from the recent geological past</t>
  </si>
  <si>
    <t>rapid climate change; Late Quaternary; thermohaline circulation; meridional overturning circulation; 8.2 ka event; Termination I</t>
  </si>
  <si>
    <t>MERIDIONAL OVERTURNING CIRCULATION; BP COLD EVENT; YOUNGER DRYAS; THERMOHALINE CIRCULATION; ATLANTIC; VARIABILITY; SIMULATION; COLLAPSE; GREENLAND; RECORD</t>
  </si>
  <si>
    <t>Rapid, or abrupt, climate change is regarded as a change in the climate system to a new state following the crossing of a threshold. It generally occurs at a rate exceeding that of the change in the underlying cause. Episodes of rapid climate change abound in the recent geological past (defined here as the interval between the last glacial maximum, dated to approximately 20,000 years ago, and the present). Rapid climate changes are known to have occurred over time periods equal to or even less than a human lifespan: moreover, their effects on the global system are sufficiently large to have had significant societal impacts. The potential for similar events to occur in the future provides an important impetus for investigating the nature and causes of rapid climate change. This paper provides a brief overview of rapid climate change and an introduction to this special issue, which presents results generated by the palaeoclimatic component of the UK Natural Environment Research Council's rapid climate change programme, called RAPID. The papers in the special issue employ palaeoclimatic proxy data-sets obtained from marine, ice core and terrestrial archives to reconstruct rapid climate change during the last glacial cycle, its subsequent termination and the ensuing Holocene interglacial; some papers also report new attempts to match the palaeoclimate data to hypothesised causes through numerical modelling. The results confirm the importance of freshwater forcing in triggering changes in Atlantic meridional overturning circulation (MOC) and the close links between MOC and rapid climate change. While advancing our understanding of these linkages, the RAPID research has highlighted the need for further research in order to elucidate more specific details of the mechanisms involved. (C) 2010 Published by Elsevier B.V.</t>
  </si>
  <si>
    <t>[Holmes, Jonathan] UCL, Environm Change Res Ctr, Dept Geog, London WC1E 6BT, England; [Lowe, John] Royal Holloway Univ London, Dept Geog, Egham TW20 0EX, Surrey, England; [Wolff, Eric] British Antarctic Survey, Cambridge CB3 0ET, England; [Srokosz, Meric] Natl Oceanog Ctr, Southampton SO14 3ZH, Hants, England</t>
  </si>
  <si>
    <t>University of London; University College London; University of London; Royal Holloway University London; UK Research &amp; Innovation (UKRI); Natural Environment Research Council (NERC); NERC British Antarctic Survey; NERC National Oceanography Centre</t>
  </si>
  <si>
    <t>Holmes, J (corresponding author), UCL, Environm Change Res Ctr, Dept Geog, Gower St, London WC1E 6BT, England.</t>
  </si>
  <si>
    <t>J.holmes@ucl.ac.uk; j.lowe@rhul.ac.uk; ewwo@bas.ac.uk; mas@noc.soton.ac.uk</t>
  </si>
  <si>
    <t>Natural Environment Research Council [bas0100024, NER/T/S/2002/00460, NE/C509158/1, noc010012] Funding Source: researchfish; NERC [bas0100024] Funding Source: UKRI</t>
  </si>
  <si>
    <t>10.1016/j.gloplacha.2010.10.005</t>
  </si>
  <si>
    <t>WOS:000297886500001</t>
  </si>
  <si>
    <t>Daley, TJ; Thomas, ER; Holmes, JA; Street-Perrott, FA; Chapman, MR; Tindall, JC; Valdes, PJ; Loader, NJ; Marshall, JD; Wolff, EW; Hopley, PJ; Atkinson, T; Barber, KE; Fisher, EH; Robertson, I; Hughes, PDM; Roberts, CN</t>
  </si>
  <si>
    <t>Daley, Timothy J.; Thomas, Elizabeth R.; Holmes, Jonathan A.; Street-Perrott, F. Alayne; Chapman, Mark R.; Tindall, Julia C.; Valdes, Paul J.; Loader, Neil J.; Marshall, James D.; Wolff, Eric W.; Hopley, Philip J.; Atkinson, Tim; Barber, Keith E.; Fisher, Elizabeth H.; Robertson, Iain; Hughes, Paul D. M.; Roberts, C. Neil</t>
  </si>
  <si>
    <t>The 8200 yr BP cold event in stable isotope records from the North Atlantic region</t>
  </si>
  <si>
    <t>8200; 8.2 ka BP event; palaeoclimate; stable water isotopes; data model comparison; North Atlantic</t>
  </si>
  <si>
    <t>GLACIAL LAKE AGASSIZ; ABRUPT CLIMATE-CHANGE; SEA-ICE; FRESH-WATER; EARLY HOLOCENE; ATMOSPHERIC CIRCULATION; CATASTROPHIC DRAINAGE; SURFACE SALINITY; PRECIPITATION; TEMPERATURE</t>
  </si>
  <si>
    <t>An abrupt cold event ca. 8200 cal.yr BP, is believed to have been caused by the catastrophic release of ice-dammed meltwater from Lake Agassiz and associated disruption of the Atlantic Meridional Overturning Circulation (AMOC). Previous reviews have highlighted both the ideal nature of the 8200 yr event as a target for numerical model validation and the likely geographical restriction of the ensuing cold event to the circum-North Atlantic region but have cited a lack of sufficiently resolved palaeoclimatic records to test this hypothesis. We review the current set of high-resolution stable isotope records from multiple archives (lake, bog, marine and ice cores) in the North Atlantic region for the period 9200-7400 yr BP (present = AD 1950). The isotopic values of terrestrial records are closely linked to isotopic values of palaeoprecipitation. All sites provided evidence for at least one centennial-scale anomaly (beginning similar to 8500-8250 yr BP) that exceeded background variability. No evidence for spatial or temporal transgression of the isotope anomalies was identified, implying that a simultaneous climate signal was observed in the circum-North Atlantic region. Comparison with new simulations using the UK Hadley Centre model HadCM3, which was isotope-enabled to simulate changes in the stable isotope composition of precipitation and forced by freshwater input (hosing) of 5 Sverdrups (Sv) (0.005 km(3)/s), for 1 yr, indicated agreement with the observed decrease in the amplitude of the isotope anomaly with distance from the NW North Atlantic. The model-simulated duration of the event, however, was consistently shorter than that observed in palaeoclimatic records. A review of evidence for forcing additional to the catastrophic release of meltwater from Lake Agassiz (solar variability, sea-ice feedback and longer-term meltwater history) suggested that reduced solar output did not directly coincide with the 8200 yr event, but that a more complex history of meltwater discharges and sea-ice feedback may have conditioned the AMOC for sustained climatic impact. (C) 2011 Elsevier B.V. All rights reserved.</t>
  </si>
  <si>
    <t>[Daley, Timothy J.; Roberts, C. Neil] Univ Plymouth, Sch Geog Earth &amp; Environm Sci, Plymouth PL4 8AA, Devon, England; [Thomas, Elizabeth R.; Wolff, Eric W.] British Antarctic Survey, Nat Environm Res Council, Cambridge CB3 0ET, England; [Holmes, Jonathan A.; Atkinson, Tim] UCL, Environm Change Res Ctr, Dept Geog, London WC1E 6BT, England; [Daley, Timothy J.; Street-Perrott, F. Alayne; Loader, Neil J.; Robertson, Iain] Swansea Univ, Dept Geog, Coll Sci, Swansea SA2 8PP, W Glam, Wales; [Chapman, Mark R.] Univ E Anglia, Sch Environm Sci, Norwich NR4 7TJ, Norfolk, England; [Tindall, Julia C.; Valdes, Paul J.] Univ Bristol, Sch Geog Sci, Bristol BS8 1SS, Avon, England; [Marshall, James D.; Fisher, Elizabeth H.] Univ Liverpool, Dept Earth &amp; Ocean Sci, Liverpool L69 3GP, Merseyside, England; [Hopley, Philip J.] Univ London, Birkbeck Coll, London WC1E 7HX, England; [Barber, Keith E.; Hughes, Paul D. M.] Univ Southampton, Sch Geog, Southampton SO17 1BJ, Hants, England</t>
  </si>
  <si>
    <t>University of Plymouth; UK Research &amp; Innovation (UKRI); Natural Environment Research Council (NERC); NERC British Antarctic Survey; University of London; University College London; Swansea University; University of East Anglia; University of Bristol; University of Liverpool; University of London; Birkbeck University London; University of Southampton</t>
  </si>
  <si>
    <t>Daley, TJ (corresponding author), Univ Plymouth, Sch Geog Earth &amp; Environm Sci, Plymouth PL4 8AA, Devon, England.</t>
  </si>
  <si>
    <t>tim.daley@plymouth.ac.uk</t>
  </si>
  <si>
    <t>Wolff, Eric W/D-7925-2014; Valdes, Paul J/C-4129-2013; Valdes, Paul/T-2004-2019; Marshall, Jim/AAP-1726-2020; Robertson, Iain/H-5327-2012; Thomas, Elizabeth Ruth/ADF-3660-2022; Fisher, Elizabeth/B-8802-2011</t>
  </si>
  <si>
    <t>Wolff, Eric W/0000-0002-5914-8531; Valdes, Paul/0000-0002-1902-3283; Robertson, Iain/0000-0001-7174-4523; Thomas, Elizabeth Ruth/0000-0002-3010-6493; Fisher, Elizabeth/0000-0002-6124-3618; Hughes, Paul/0000-0002-8447-382X; Daley, Tim/0000-0001-5806-7310</t>
  </si>
  <si>
    <t>NERC [NER/T/S/2002/00460]; [NE/C50907/1]; NERC [NE/G019851/1, NRCF010001, bas0100024, NE/G019673/1] Funding Source: UKRI; Natural Environment Research Council [bas0100024, NER/T/S/2002/00460, NE/C509107/1, NRCF010001, NE/G019851/1, NE/G019673/1, NE/B501504/1] Funding Source: researchfish</t>
  </si>
  <si>
    <t>NERC(UK Research &amp; Innovation (UKRI)Natural Environment Research Council (NERC)); ; NERC(UK Research &amp; Innovation (UKRI)Natural Environment Research Council (NERC)); Natural Environment Research Council(UK Research &amp; Innovation (UKRI)Natural Environment Research Council (NERC))</t>
  </si>
  <si>
    <t>The authors acknowledge the support of NERC RAPID grant NER/T/S/2002/00460 to ISOMAP-UK and grant NE/C50907/1. We thank Miles Irving for drafting Fig. 1 and Dmitri Mauquoy for re-analysis of age-depth modelling using radiocarbon age determinations. We thank Wil Marshall for help with data from Lough Avolla. We also thank two anonymous reviewers for their helpful comments in improving this manuscript.</t>
  </si>
  <si>
    <t>10.1016/j.gloplacha.2011.03.006</t>
  </si>
  <si>
    <t>WOS:000297886500013</t>
  </si>
  <si>
    <t>Chung, JK; Jee, G; Lee, CN</t>
  </si>
  <si>
    <t>Chung, Jong-Kyun; Jee, Geonhwa; Lee, Chi-Na</t>
  </si>
  <si>
    <t>Global Positioning System Total Electron Content Variation over King Sejong Station in Antarctic under the Solar Minimum Condition Between 2005 and 2009</t>
  </si>
  <si>
    <t>JOURNAL OF ASTRONOMY AND SPACE SCIENCES</t>
  </si>
  <si>
    <t>global positioning system; total electron content; ionosphere; Weddell Sea anomaly</t>
  </si>
  <si>
    <t>The total electron content (TEC) using global positioning system (GPS) is analyzed to see the characteristics of ionosphere over King Sejong station (KSJ, geographic latitude 62 degrees 13'S, longitude 58 degrees 47'W, corrected geomagnetic latitude 48 degrees S) in Antarctic. The GPS operational ratio during the observational period between 2005 and 2009 is 90.1%. The annual variation of the daily mean TEC decreases from January 2005 to February 2009, but increase from the June 2009. In summer (December-February), the seasonal mean TEC values have the maximum of 26.2 +/- 2.4 TEC unit (TECU) in 2005 and the minimum of 16.5 +/- 2.8 TECU in 2009, and the annual differences decrease from 3.0 TECU (2005-2006) to 1.4 TECU (2008-2009). However, on November 2010, it significantly increases to 22.3 +/- 2.8 TECU which is up to 5.8 TECU compared with 2009 in summer. In winter (June-August), the seasonal mean TEC slightly decreases from 13.7 +/- 4.5 TECU in 2005 to 8.9 +/- 0.6 TECU in 2008, and the annual difference is constantly about 1.6 TECU, and increases to 10.3 +/- 1.8 TECU in 2009. The annual variations of diurnal amplitude show the seasonal features that are scattered in summer and the enhancements near equinoxes are apparent in the whole years. In contrast, the semidiurnal amplitudes show the disturbed annual peaks in winter and its enhancements near equinoxes are unapparent. The diurnal phases are not constant in winter and show near 12 local time (LT). The semidiurnal phases have a seasonal pattern between 00 LT and 06 LT. Consequently, the KSJ GPS TEC variations show the significant semidiurnal variation in summer from December to February under the solar minimum between 2005 and 2009. The feature is considered as the Weddell Sea anomaly of larger night-time electron density than a daytime electron density that has been observed around the Antarctica peninsula.</t>
  </si>
  <si>
    <t>[Chung, Jong-Kyun; Lee, Chi-Na] Korea Astron &amp; Space Sci Inst, Space Sci Div, Daejeon 305348, South Korea; [Jee, Geonhwa] Korea Polar Res Inst, Div Polar Climate Res, Incheon 406840, South Korea</t>
  </si>
  <si>
    <t>Korea Astronomy &amp; Space Science Institute (KASI); Korea Polar Research Institute (KOPRI)</t>
  </si>
  <si>
    <t>Chung, JK (corresponding author), Korea Astron &amp; Space Sci Inst, Space Sci Div, Daejeon 305348, South Korea.</t>
  </si>
  <si>
    <t>jkchung@kasi.re.kr</t>
  </si>
  <si>
    <t>Chunbg, Jong-Kyun/AAI-9934-2020</t>
  </si>
  <si>
    <t>Korea Polar Research Institute [PP11030]</t>
  </si>
  <si>
    <t>Korea Polar Research Institute(Korea Polar Research Institute of Marine Research Placement (KOPRI))</t>
  </si>
  <si>
    <t>This work was supported by a research grant at the Korea Polar Research Institute (PP11030). We thank the overwintering team having worked in KSJ station for their efforts to operate the GPS site.</t>
  </si>
  <si>
    <t>KOREAN SPACE SCIENCE SOC</t>
  </si>
  <si>
    <t>134 SINCHON-DONG, SEODAEMUN-GU, SEOUL, 120-749, SOUTH KOREA</t>
  </si>
  <si>
    <t>2093-5587</t>
  </si>
  <si>
    <t>2093-1409</t>
  </si>
  <si>
    <t>J ASTRON SPACE SCI</t>
  </si>
  <si>
    <t>J. Astron. Space Sci.</t>
  </si>
  <si>
    <t>10.5140/JASS.2011.28.4.305</t>
  </si>
  <si>
    <t>VB7TL</t>
  </si>
  <si>
    <t>WOS:000417261900008</t>
  </si>
  <si>
    <t>Zhang, J; Marshall, KE; Westwood, JT; Clark, MS; Sinclair, BJ</t>
  </si>
  <si>
    <t>Zhang, Jian; Marshall, Katie E.; Westwood, J. Timothy; Clark, Melody S.; Sinclair, Brent J.</t>
  </si>
  <si>
    <t>Divergent transcriptomic responses to repeated and single cold exposures in Drosophila melanogaster</t>
  </si>
  <si>
    <t>JOURNAL OF EXPERIMENTAL BIOLOGY</t>
  </si>
  <si>
    <t>cold tolerance; microarray; chilling injury; stress proteins; immune response</t>
  </si>
  <si>
    <t>CHILLING-INJURY; OXIDATIVE STRESS; FREEZE TOLERANCE; GENE; RESISTANCE; RECOVERY; SHOCK; PATHWAYS; SURVIVAL; MUSCLE</t>
  </si>
  <si>
    <t>Insects in the field are exposed to multiple bouts of cold, and there is increasing evidence that the fitness consequences of repeated cold exposure differ from the impacts of a single cold exposure. We tested the hypothesis that different kinds of cold exposure (in this case, single short, prolonged and repeated cold exposure) would result in differential gene expression. We exposed 3 day old adult female wild-type Drosophila melanogaster (Diptera: Drosophilidae) to -0.5 degrees C for a single 2 h exposure, a single 10 h exposure, or five 2 h exposures on consecutive days, and extracted RNA after 6 h of recovery. Global gene expression was quantified using an oligonucleotide microarray and validated with real-time PCR using different biological replicates. We identified 76 genes upregulated in response to multiple cold exposure, 69 in response to prolonged cold exposure and 20 genes upregulated in response to a single short cold exposure, with a small amount of overlap between treatments. Three genes - Turandot A, Hephaestus and CG11374 - were upregulated in response to all three cold exposure treatments. Key functional groups upregulated include genes associated with muscle structure and function, the immune response, stress response, carbohydrate metabolism and egg production. We conclude that cold exposure has wide-ranging effects on gene expression in D. melanogaster and that increased duration or frequency of cold exposure has impacts different to those of a single short cold exposure. This has important implications for extrapolating laboratory studies of insect overwintering that are based on only a single cold exposure.</t>
  </si>
  <si>
    <t>[Zhang, Jian; Marshall, Katie E.; Sinclair, Brent J.] Univ Western Ontario, Dept Biol, London, ON N6A 5B7, Canada; [Westwood, J. Timothy] Univ Toronto, Dept Biol, Canadian Drosophila Microarray Ctr, Mississauga, ON L5L 1C6, Canada; [Clark, Melody S.] NERC, British Antarctic Survey, Cambridge CB1 9XU, England</t>
  </si>
  <si>
    <t>Western University (University of Western Ontario); University of Toronto; University Toronto Mississauga; UK Research &amp; Innovation (UKRI); Natural Environment Research Council (NERC); NERC British Antarctic Survey</t>
  </si>
  <si>
    <t>Sinclair, BJ (corresponding author), Univ Western Ontario, Dept Biol, London, ON N6A 5B7, Canada.</t>
  </si>
  <si>
    <t>bsincla7@uwo.ca</t>
  </si>
  <si>
    <t>Marshall, Katie E/A-8200-2013; Sinclair, Brent J/C-6133-2012; Clark, Melody/D-7371-2014</t>
  </si>
  <si>
    <t>Marshall, Katie/0000-0002-6991-4957; Sinclair, Brent/0000-0002-8191-9910; Clark, Melody/0000-0002-3442-3824</t>
  </si>
  <si>
    <t>Natural Sciences and Engineering Research Council of Canada (NSERC); Canadian Foundation for Innovation; Natural Environment Research Council (NERC); Natural Environment Research Council [bas0100025] Funding Source: researchfish; NERC [bas0100025] Funding Source: UKRI</t>
  </si>
  <si>
    <t>Natural Sciences and Engineering Research Council of Canada (NSERC)(Natural Sciences and Engineering Research Council of Canada (NSERC)); Canadian Foundation for Innovation(Canada Foundation for Innovation);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</si>
  <si>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supported by the Natural Sciences and Engineering Research Council of Canada (NSERC) Discovery grants (to J.T.W. and B.J.S.), the Canadian Foundation for Innovation (to B.J.S.) and by Natural Environment Research Council (NERC) core funds to the BIOREACH programme at British Antarctic Survey (to M.S.C.).</t>
  </si>
  <si>
    <t>COMPANY BIOLOGISTS LTD</t>
  </si>
  <si>
    <t>BIDDER BUILDING, STATION RD, HISTON, CAMBRIDGE CB24 9LF, ENGLAND</t>
  </si>
  <si>
    <t>0022-0949</t>
  </si>
  <si>
    <t>1477-9145</t>
  </si>
  <si>
    <t>J EXP BIOL</t>
  </si>
  <si>
    <t>J. Exp. Biol.</t>
  </si>
  <si>
    <t>10.1242/jeb.059535</t>
  </si>
  <si>
    <t>Biology</t>
  </si>
  <si>
    <t>Life Sciences &amp; Biomedicine - Other Topics</t>
  </si>
  <si>
    <t>845FA</t>
  </si>
  <si>
    <t>WOS:000296807200023</t>
  </si>
  <si>
    <t>Salleh, S; McMinn, A</t>
  </si>
  <si>
    <t>Salleh, Sazlina; McMinn, Andrew</t>
  </si>
  <si>
    <t>THE EFFECTS OF TEMPERATURE ON THE PHOTOSYNTHETIC PARAMETERS AND RECOVERY OF TWO TEMPERATE BENTHIC MICROALGAE, AMPHORA CF. COFFEAEFORMIS AND COCCONEIS CF. SUBLITTORALIS (BACILLARIOPHYCEAE)</t>
  </si>
  <si>
    <t>JOURNAL OF PHYCOLOGY</t>
  </si>
  <si>
    <t>benthic microalgae; photosynthesis; recovery; temperate; temperature</t>
  </si>
  <si>
    <t>RAPID LIGHT CURVES; II D1 PROTEIN; CHLOROPHYLL FLUORESCENCE; XANTHOPHYLL-CYCLE; DUNALIELLA-TERTIOLECTA; ENERGY-DISSIPATION; QUANTUM YIELD; DIATOMS; PHOTOINHIBITION; MICROPHYTOBENTHOS</t>
  </si>
  <si>
    <t>Temperature and irradiance are the most important factors affecting marine benthic microalgal photosynthetic rates in temperate intertidal areas. Two temperate benthic diatoms species, Amphora cf. coffeaeformis (C. Agardh) Kutz. and Cocconeis cf. sublittoralis Hendey, were investigated to determine how their photosynthesis responded to temperatures ranging from 5 degrees C to 50 degrees C after short-term exposure (1 h) to a range of irradiance levels (0, 500, and 1,100 mu mol photons . m(-2) s(-1)). Significant differences were observed between the temperature responses of maximum relative electron transport rate (rETRmax), photoacclimation index (E-k), photosynthetic efficiency (alpha), and effective quantum yield (Delta F/F-m') in both species. A. coffeaeformis had a greater tolerance to higher temperatures than C. sub-littoralis, with nonphotochemical quenching (NPQ) activated at temperatures of 45 degrees C and 50 degrees C. C. sublittoralis, however, demonstrated a more rapid rate of recovery at ambient temperatures. Temperatures between 10 degrees C and 20 degrees C were determined to be optimal for photosynthesis for both species. High temperatures and irradiances caused a greater decrease in Delta F/F-m, values. These results suggest that the effects of temperature are species specific and that short-term exposure to adverse temperature slows the recovery process, which subsequently leads to photoinhibition.</t>
  </si>
  <si>
    <t>[Salleh, Sazlina; McMinn, Andrew] Univ Tasmania, Inst Marine &amp; Antarctic Studies, Hobart, Tas 7001, Australia</t>
  </si>
  <si>
    <t>Salleh, S (corresponding author), Univ Sains Malaysia, Ctr Policy Res &amp; Int Studies, Minden Penang 11800, Malaysia.</t>
  </si>
  <si>
    <t>sazlina@usm.my</t>
  </si>
  <si>
    <t>Salleh, Sazlina/I-1150-2012; McMinn, Andrew/A-9910-2008</t>
  </si>
  <si>
    <t>Salleh, Sazlina/0000-0002-8789-3387;</t>
  </si>
  <si>
    <t>University of Tasmania; Universiti Sains Malaysia</t>
  </si>
  <si>
    <t>University of Tasmania; Universiti Sains Malaysia(Universiti Sains Malaysia)</t>
  </si>
  <si>
    <t>We thank University of Tasmania and Universiti Sains Malaysia for the logistic and financial support, and Pier van der Merve and Andrew Martin for their feedback on the manuscript. This study forms part of the PhD thesis of S. Salleh.</t>
  </si>
  <si>
    <t>0022-3646</t>
  </si>
  <si>
    <t>1529-8817</t>
  </si>
  <si>
    <t>J PHYCOL</t>
  </si>
  <si>
    <t>J. Phycol.</t>
  </si>
  <si>
    <t>10.1111/j.1529-8817.2011.01079.x</t>
  </si>
  <si>
    <t>Plant Sciences; Marine &amp; Freshwater Biology</t>
  </si>
  <si>
    <t>859MM</t>
  </si>
  <si>
    <t>WOS:000297880500020</t>
  </si>
  <si>
    <t>Jenkins, A</t>
  </si>
  <si>
    <t>Jenkins, Adrian</t>
  </si>
  <si>
    <t>Convection-Driven Melting near the Grounding Lines of Ice Shelves and Tidewater Glaciers</t>
  </si>
  <si>
    <t>THERMOHALINE CIRCULATION; OCEAN INTERACTION; TURBULENT HEAT; MASS-TRANSFER; WEDDELL SEA; SHEET; ANTARCTICA; MODEL; BASE; ACCELERATION</t>
  </si>
  <si>
    <t>Subglacial meltwater draining along the bed of fast-flowing, marine-terminating glaciers emerges at the grounding line, where the ice either goes afloat to form an ice shelf or terminates in a calving face. The input of freshwater to the ocean provides a source of buoyancy and drives convective motion alongside the ice-ocean interface. This process is modeled using the theory of buoyant plumes that has previously been applied to the study of the larger-scale circulation beneath ice shelves. The plume grows through entrainment of ocean waters, and the heat brought into the plume as a result drives melting at the ice ocean interface. The equations are nondimensionalized by using scales appropriate for the region where the subglacial drainage. rather than the subsequent addition of meltwater, supplies the majority of the buoyancy forcing. It is found that the melt rate within this region can be approximated reasonably well by a function that is linear in ocean temperature, has a cube root dependence on the flux of subglacial meltwater. and has a complex dependency on the slope of the ice ocean interface. The model is used to investigate variability in melting induced by changes in both ocean temperature and subglacial discharge for a number of realistic examples of ice shelves and tidewater glaciers. The results show how warming ocean waters and increasing subglacial drainage both generate increases in melting near the grounding line.</t>
  </si>
  <si>
    <t>Jenkins, A (corresponding author), British Antarctic Survey, Nat Environm Res Council, Madingley Rd, Cambridge CB3 0ET, England.</t>
  </si>
  <si>
    <t>ajen@bas.ac.uk</t>
  </si>
  <si>
    <t>Jenkins, Adrian/IUN-2406-2023</t>
  </si>
  <si>
    <t>Jenkins, Adrian/0000-0002-9117-0616</t>
  </si>
  <si>
    <t>NERC [bas0100028] Funding Source: UKRI; Natural Environment Research Council [bas0100028] Funding Source: researchfish</t>
  </si>
  <si>
    <t>10.1175/JPO-D-11-03.1</t>
  </si>
  <si>
    <t>WOS:000298830700002</t>
  </si>
  <si>
    <t>Roquet, F; Wunsch, C; Madec, G</t>
  </si>
  <si>
    <t>Roquet, Fabien; Wunsch, Carl; Madec, Gurvan</t>
  </si>
  <si>
    <t>On the Patterns of Wind-Power Input to the Ocean Circulation</t>
  </si>
  <si>
    <t>ENERGY INPUT; GENERAL-CIRCULATION; WORLD OCEAN; MODEL</t>
  </si>
  <si>
    <t>Pathways of wind-power input into the ocean general circulation are analyzed using Ekman theory. Direct rates of wind work can be calculated through the wind stress acting on the surface geostrophic flow. However, because that energy is transported laterally in the Ekman layer, the injection into the geostrophic interior is actually controlled by Ekman pumping, with a pattern determined by the wind curl rather than the wind itself. Regions of power injection into the geostrophic interior are thus generally shifted poleward compared to regions of direct wind-power input, most notably in the Southern Ocean, where on average energy enters the interior 10 degrees south of the Antarctic Circumpolar Current core. An interpretation of the wind-power input to the interior is proposed, expressed as a downward flux of pressure work. This energy flux is a measure of the work done by the Ekman pumping against the surface elevation pressure, helping to maintain the observed anomaly of sea surface height relative to the global-mean sea level.</t>
  </si>
  <si>
    <t>[Roquet, Fabien; Wunsch, Carl] MIT, Dept Earth Atmospher &amp; Planetary Sci, Cambridge, MA 02139 USA; [Madec, Gurvan] Lab Oceanog Dynam &amp; Climatol, Paris, France</t>
  </si>
  <si>
    <t>Roquet, F (corresponding author), MIT, Dept Earth Atmospher &amp; Planetary Sci, Cambridge, MA 02139 USA.</t>
  </si>
  <si>
    <t>roquet@mit.edu</t>
  </si>
  <si>
    <t>Roquet, Fabien/N-3221-2019; madec, gurvan/E-7825-2010; Roquet, Fabien/D-4848-2013</t>
  </si>
  <si>
    <t>Roquet, Fabien/0000-0003-1124-4564; madec, gurvan/0000-0002-6447-4198;</t>
  </si>
  <si>
    <t>National Ocean Partnership Program (NOPP); NASA</t>
  </si>
  <si>
    <t>National Ocean Partnership Program (NOPP); NASA(National Aeronautics &amp; Space Administration (NASA))</t>
  </si>
  <si>
    <t>This work was greatly helped by numerous conversations with Raffaele Ferrari. We also thank Gael Forget, Patrick Heimbach, Jean-Michel Campin, and Matthew Mazloff for their help to carry out diagnostics. This work was supported by the National Ocean Partnership Program (NOPP) through funding of NASA to the ECCO-GODAE Consortium.</t>
  </si>
  <si>
    <t>10.1175/JPO-D-11-024.1</t>
  </si>
  <si>
    <t>WOS:000298830700005</t>
  </si>
  <si>
    <t>DeVries, T; Primeau, F</t>
  </si>
  <si>
    <t>DeVries, Tim; Primeau, Francois</t>
  </si>
  <si>
    <t>Dynamically and Observationally Constrained Estimates of Water-Mass Distributions and Ages in the Global Ocean</t>
  </si>
  <si>
    <t>SOUTHERN-OCEAN; WORLD OCEAN; ATMOSPHERIC CO2; ADJOINT METHOD; VENTILATION; MODEL; CIRCULATION; TRANSPORT; EXPORT; DEEP</t>
  </si>
  <si>
    <t>A data-constrained ocean circulation model is used to characterize the distribution of water masses and their ages in the global ocean. The model is constrained by the time-averaged temperature, salinity, and radiocarbon distributions in the ocean, as well as independent estimates of the mean sea surface height and sea surface heat and freshwater fluxes. The data-constrained model suggests that the interior ocean is Ventilated primarily by water masses forming in the Southern Ocean. Southern Ocean waters, including those waters forming in the Antarctic and subantarctic regions, make up about 55% of the interior ocean volume and an even larger percentage of the deep-ocean volume. In the deep North Pacific. the ratio of Southern Ocean to North Atlantic waters is almost 3:1. Approximately 65% of interior ocean waters make first contact with the atmosphere in the Southern Ocean, further emphasizing the central role played by the Southern Ocean in the regulation of the earth's climate. Results of the age analysis suggest that the mean ventilation age of deep waters is greater than 1000 yr throughout most of the Indian and Pacific Oceans, reaching a maximum of about 1400-1500 yr in the middepth North Pacific. The mean time for deep waters to be reexposed at the surface also reaches a maximum of about 1400-1500 yr in the deep North Pacific. Together these findings suggest that the deep North Pacific can be characterized as a holding pen of stagnant and recirculating waters.</t>
  </si>
  <si>
    <t>[DeVries, Tim] Univ Calif Los Angeles, Dept Atmospher &amp; Ocean Sci, Los Angeles, CA 90095 USA; [Primeau, Francois] Univ Calif Irvine, Dept Earth Syst Sci, Irvine, CA USA</t>
  </si>
  <si>
    <t>University of California System; University of California Los Angeles; University of California System; University of California Irvine</t>
  </si>
  <si>
    <t>DeVries, T (corresponding author), Univ Calif Los Angeles, Dept Atmospher &amp; Ocean Sci, Los Angeles, CA 90095 USA.</t>
  </si>
  <si>
    <t>tdevries@atmos.ucla.edu</t>
  </si>
  <si>
    <t>; Primeau, Francois/A-7310-2011</t>
  </si>
  <si>
    <t>DeVries, Tim/0000-0002-7771-9430; Primeau, Francois/0000-0001-7452-9415</t>
  </si>
  <si>
    <t>CNES; NSF [OCE-0726871, OCE-0928395]; Directorate For Geosciences; Division Of Ocean Sciences [0928395] Funding Source: National Science Foundation</t>
  </si>
  <si>
    <t>CNES(Centre National D'etudes Spatiales); NSF(National Science Foundation (NSF)); Directorate For Geosciences; Division Of Ocean Sciences(National Science Foundation (NSF)NSF - Directorate for Geosciences (GEO))</t>
  </si>
  <si>
    <t>The authors thank Carl Wunsch and Jake Gebbie for their constructive reviews of the manuscript. We would also like to thank comments on an early version of this manuscript by Mark Holzer. We thank all the scientists whose work went into constructing the World Ocean Atlas and GLODAP databases. We also thank Matthias Heinkenschloss for making his MATLAB optimization routines publicly available. MDT_CNES-CLS09 was produced by CLS Space Oceanography Division and distributed by AVISO, with support from CNES (http://www.aviso.oceanobs.com/). Funding for this research was provided by NSF Grants OCE-0726871 and OCE-0928395.</t>
  </si>
  <si>
    <t>10.1175/JPO-D-10-05011.1</t>
  </si>
  <si>
    <t>Green Submitted, Bronze, Green Published</t>
  </si>
  <si>
    <t>WOS:000298830700008</t>
  </si>
  <si>
    <t>Fanning, CM; Hervé, F; Pankhurst, RJ; Rapela, CW; Kleiman, LE; Yaxley, GM; Castillo, P</t>
  </si>
  <si>
    <t>Fanning, C. Mark; Herve, Francisco; Pankhurst, Robert J.; Rapela, Carlos W.; Kleiman, Laura E.; Yaxley, Greg M.; Castillo, Paula</t>
  </si>
  <si>
    <t>Lu-Hf isotope evidence for the provenance of Permian detritus in accretionary complexes of western Patagonia and the northern Antarctic Peninsula region</t>
  </si>
  <si>
    <t>JOURNAL OF SOUTH AMERICAN EARTH SCIENCES</t>
  </si>
  <si>
    <t>Zircon; Hf isotopes; Permian; Provenance; Patagonia; Antarctic Peninsula</t>
  </si>
  <si>
    <t>MIERS BLUFF FORMATION; U-PB; LIVINGSTON-ISLAND; GONDWANA MARGIN; BASEMENT; AGE; GEOCHRONOLOGY; MAGMATISM; BASIN; ARCHIPELAGO</t>
  </si>
  <si>
    <t>Lu-Hf isotope data are presented for dated Permian zircon grains from six samples of the latest Palaeozoic to Jurassic low-grade metasedimentary rocks of western Patagonia and the northern Antarctic Peninsula, as well as from potential source rocks in the North Patagonian Massif. The results for the metasedimentary rocks yield epsilon(Hf) values mostly between -15 and +4 (130 analyses), with a dominant range (more than 85%) of -6 to +1, indicating provenance from Permian magmatic rocks that incorporated continental crust with a significant residence time. Other zircon grains record more negative epsilon(Hf) values indicating derivation from yet more mature crustal sources. Permian subvolcanic granites in the North Patagonian massif appear to be the closest large source area and dated zircon grains from eight samples of these granites yield initial of epsilon(Hf) values of -12 to +4 (45 measurements), 84% of which fall between -6 and +1, the range shown by the metasediments. However, the North Patagonian massif also contains some more juvenile Permian-Carboniferous components not seen in the metasediments, so that this may not be the primary or unique source. These granites are considered to represent the southernmost extension of the Choiyoi igneous province, which contains abundant Permian rhyolites that crop Out on the eastern side of the Andes in central Argentina, for which unpublished Hf isotope data yield a very similar range to that of the metasediments. The widespread nature of the Choiyoi volcanic rocks and the predominance of Permian zircon could make this a more favoured source for the detrital grains. Hf isotope data reinforce the uniformity of the provenance of the turbidite detrital zircons and confirm the Choiyoi igneous province and the Permian granitic rocks of the North Patagonian Massif as feasible sources. They further confirm the dominantly crustal origin of the Permian magmas. A source region involving mixing of, for example, crustal materials of Panafrican/Brasiliano and Grenvillian ages, together with a minor but significant subduction-related magmatic input, is an isotopically feasible explanation and is broadly consistent with the provenance of pre-Permian crust in this region, but the proportions of such a mixture must have remained relatively constant. This supports the proposal that recently recognised but widespread Permian magmatism in Patagonia represents voluminous crustal melting in response to subducted slab break-off. The results are also consistent with the premise that the Antarctic Peninsula and southern Patagonia were closely located from Permian to Jurassic times, receiving detritus from the same source. (C) 2011 Elsevier Ltd. All rights reserved.</t>
  </si>
  <si>
    <t>[Fanning, C. Mark; Yaxley, Greg M.] Australian Natl Univ, Res Sch Earth Sci, Canberra, ACT, Australia; [Herve, Francisco; Castillo, Paula] Univ Chile, Dept Geol, Santiago, Chile; [Rapela, Carlos W.] Ctr Invest Geol, La Plata, Buenos Aires, Argentina; [Kleiman, Laura E.] Comis Nacl Energia Atom, RA-1419 Buenos Aires, DF, Argentina; [Herve, Francisco] Univ Andres Bello, Escuela Ciencias Tierra, Santiago, Chile</t>
  </si>
  <si>
    <t>Australian National University; Universidad de Chile; Comision Nacional de Energia Atomica (CNEA); Universidad Andres Bello</t>
  </si>
  <si>
    <t>Fanning, CM (corresponding author), Australian Natl Univ, Res Sch Earth Sci, Canberra, ACT, Australia.</t>
  </si>
  <si>
    <t>mark.fanning@anu.edu.au; fherve@cec.uchile.cl; rjpankhurst@nigl.nerc.com; crapela@cig.museo.unlp.edu.ar; kleiman@cnea.gov.ar; greg.yaxley@anu.edu.au; paucasti@ing.uchile.cl</t>
  </si>
  <si>
    <t>Herve, Francisco/HDO-6628-2022; Yaxley, Greg/A-1167-2008; Fanning, Christopher Mark/I-6449-2016</t>
  </si>
  <si>
    <t>Yaxley, Greg/0000-0003-0445-8812; Fanning, Christopher Mark/0000-0003-3331-3145</t>
  </si>
  <si>
    <t>Fondecyt [1050431, 1095099]; Instituto Antartico Chileno (INACH); Natural Environment Research Council [nigl010001] Funding Source: researchfish; NERC [nigl010001] Funding Source: UKRI</t>
  </si>
  <si>
    <t>Fondecyt(Comision Nacional de Investigacion Cientifica y Tecnologica (CONICYT)CONICYT FONDECYT); Instituto Antartico Chileno (INACH); Natural Environment Research Council(UK Research &amp; Innovation (UKRI)Natural Environment Research Council (NERC)); NERC(UK Research &amp; Innovation (UKRI)Natural Environment Research Council (NERC))</t>
  </si>
  <si>
    <t>Fondecyt Projects 1050431 and 1095099 and Anillo de Investigacion Antartico ARTG-04 from PBCT (CONICYT). Instituto Antartico Chileno (INACH) supported Diego Morata and Elisa Ramirez who collected the sample from Punta Spring during the Chilean Antarctic Scientific Expedition (ECA) in 1999. Captains Conrado Alvarez Jr. and Sr. took us safely to remote areas in the Patagonian archipelago in the yachts Foam and Penguin, the latter sunk in 2009. We acknowledge the detailed reviews by three anonymous referees that helped to improve the original text.</t>
  </si>
  <si>
    <t>0895-9811</t>
  </si>
  <si>
    <t>J S AM EARTH SCI</t>
  </si>
  <si>
    <t>J. South Am. Earth Sci.</t>
  </si>
  <si>
    <t>10.1016/j.jsames.2011.03.007</t>
  </si>
  <si>
    <t>867OY</t>
  </si>
  <si>
    <t>WOS:000298464900018</t>
  </si>
  <si>
    <t>Franzke, C; Woollings, T; Martius, O</t>
  </si>
  <si>
    <t>Franzke, Christian; Woollings, Tim; Martius, Olivia</t>
  </si>
  <si>
    <t>Persistent Circulation Regimes and Preferred Regime Transitions in the North Atlantic</t>
  </si>
  <si>
    <t>JOURNAL OF THE ATMOSPHERIC SCIENCES</t>
  </si>
  <si>
    <t>ZONAL MEAN FLOW; PLANETARY WAVE DYNAMICS; WEATHER REGIMES; CRITICAL REEXAMINATION; ATMOSPHERIC BLOCKING; POLEWARD PROPAGATION; NONLINEAR SIGNATURES; MULTIPLE EQUILIBRIA; ENSEMBLE PREDICTION; LIFE-CYCLES</t>
  </si>
  <si>
    <t>The persistent regime behavior of the eddy-driven jet stream over the North Atlantic is investigated. The North Atlantic jet stream variability is characterized by the latitude of the maximum lower tropospheric wind speed of the 40-yr ECMWF Re-Analysis (ERA-40) data for the period 1 December 1957-28 February 2002. A hidden Markov model (HMM) analysis reveals that the jet stream exhibits three persistent regimes that correspond to northern, southern, and central jet states. The regime states are closely related to the North Atlantic Oscillation and the eastern Atlantic teleconnection pattern. The regime states are associated with distinct changes in the storm tracks and the frequency of occurrence of cyclonic and anticyclonic Rossby wave breaking. Three preferred regime transitions are identified, namely, southern to central jet, northern to southern jet, and central to northern jet. The preferred transitions can be interpreted as a preference for poleward propagation of the jet, but with the southern jet state entered via a dramatic shift from the northern state. Evidence is found that wave breaking is involved in two of the three preferred transitions (northern to southern jet and central to northern jet transitions). The predictability characteristics and the interannual variability in the frequency of occurrence of regimes are also discussed.</t>
  </si>
  <si>
    <t>[Franzke, Christian] British Antarctic Survey, Cambridge CB3 0ET, England; [Woollings, Tim] Univ Reading, Dept Meteorol, Reading, Berks, England; [Martius, Olivia] Univ Bern, Oeschger Ctr Climate Change Res, Bern, Switzerland; [Martius, Olivia] Univ Bern, Inst Geog, Bern, Switzerland</t>
  </si>
  <si>
    <t>UK Research &amp; Innovation (UKRI); Natural Environment Research Council (NERC); NERC British Antarctic Survey; University of Reading; University of Bern; University of Bern</t>
  </si>
  <si>
    <t>Franzke, C (corresponding author), British Antarctic Survey, High Cross,Madingley Rd, Cambridge CB3 0ET, England.</t>
  </si>
  <si>
    <t>chan1@bas.ac.uk</t>
  </si>
  <si>
    <t>Franzke, Christian/A-6191-2012</t>
  </si>
  <si>
    <t>Franzke, Christian/0000-0003-4111-1228; Martius, Olivia/0000-0002-8645-4702; Woollings, Tim/0000-0002-5815-9079; Franzke, Christian/0000-0002-8084-3256</t>
  </si>
  <si>
    <t>The Natural Environment Research Council; Natural Environment Research Council [NE/E012744/1, bas0100026] Funding Source: researchfish; NERC [NE/E012744/1, bas0100026] Funding Source: UKRI</t>
  </si>
  <si>
    <t>The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</si>
  <si>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Adam Monahan and two anonymous reviewers for their comments, which helped to improve an earlier version of this manuscript. This study is part of the British Antarctic Survey Polar Science for Planet Earth Programme. It was funded by The Natural Environment Research Council. We thank ECMWF for providing the ERA-40 reanalysis data.</t>
  </si>
  <si>
    <t>0022-4928</t>
  </si>
  <si>
    <t>1520-0469</t>
  </si>
  <si>
    <t>J ATMOS SCI</t>
  </si>
  <si>
    <t>J. Atmos. Sci.</t>
  </si>
  <si>
    <t>10.1175/JAS-D-11-046.1</t>
  </si>
  <si>
    <t>863YY</t>
  </si>
  <si>
    <t>Bronze, Green Published, Green Accepted</t>
  </si>
  <si>
    <t>WOS:000298205400001</t>
  </si>
  <si>
    <t>Stanish, LF; Nemergut, DR; McKnight, DM</t>
  </si>
  <si>
    <t>Stanish, Lee F.; Nemergut, Diana R.; McKnight, Diane M.</t>
  </si>
  <si>
    <t>Hydrologic processes influence diatom community composition in Dry Valley streams</t>
  </si>
  <si>
    <t>JOURNAL OF THE NORTH AMERICAN BENTHOLOGICAL SOCIETY</t>
  </si>
  <si>
    <t>diatoms; streams; Antarctica; hydrology; community ecology; ecological indicators</t>
  </si>
  <si>
    <t>GLACIAL MELTWATER STREAM; JAMES-ROSS-ISLAND; HYPORHEIC ZONE; MICROBIAL MATS; FINE-STRUCTURE; TAYLOR VALLEY; VICTORIA LAND; ANTARCTICA; GENUS; BIODIVERSITY</t>
  </si>
  <si>
    <t>Our paper describes the ecological controls on algal-mat diatom communities in the dynamic stream ecosystems of the McMurdo Dry Valleys in Antarctica. Dry Valley diatom communities are relatively diverse, and nearly 1/2 of the taxa found in these mats are considered endemic. Diatom community composition was examined in 5 streams in Taylor Valley during a 15-y cooling period that included a discrete flood event. Two hydrologic variables, total annual discharge and historical variation in discharge, gave the most parsimonious model of among-stream and interannual variation in diatom communities. Algal-mat biomass and chlorophyll a concentrations decreased after the flood, which occurred during the 2001/2002 summer season. Most algal-mat diatom communities recovered quickly after the flood. However, Green Creek, a relatively high-flow stream with low historical variation in discharge, appears to have experienced a persistent diatom community shift toward increased relative abundance of small, generalist species. Diatom relative biovolume, a proxy for the size of diatoms within a sample, was negatively correlated with stream flow, such that higher-discharge streams contained greater relative abundances of smaller diatoms than lower-flow streams. Therefore, diatom size may play a role in determining the distribution of a species in these streams and may be useful for monitoring environmental changes. Our study demonstrates the importance of understanding factors affecting ecosystem resilience, especially in polar regions, which are experiencing rapid climate changes.</t>
  </si>
  <si>
    <t>[Stanish, Lee F.; Nemergut, Diana R.] Univ Colorado, Environm Studies Program, Inst Arctic &amp; Alpine Res, Boulder, CO 80309 USA; [McKnight, Diane M.] Univ Colorado, Dept Civil &amp; Environm Engn, Inst Arctic &amp; Alpine Res, Boulder, CO 80309 USA</t>
  </si>
  <si>
    <t>University of Colorado System; University of Colorado Boulder; University of Colorado System; University of Colorado Boulder</t>
  </si>
  <si>
    <t>Stanish, LF (corresponding author), Univ Colorado, Environm Studies Program, Inst Arctic &amp; Alpine Res, 1560 30th St,Campus Box 450, Boulder, CO 80309 USA.</t>
  </si>
  <si>
    <t>lee.stanish@colorado.edu; diana.nemergut@colorado.edu; diane.mcknight@colorado.edu</t>
  </si>
  <si>
    <t>MCKNIGHT, DIANE/0000-0002-4171-1533</t>
  </si>
  <si>
    <t>MCMLTER [OPP-9211773, OPP-9810219, OPP-0096250]; National Science Foundation [0839020]; Division Of Ocean Sciences; Directorate For Geosciences [0839020] Funding Source: National Science Foundation</t>
  </si>
  <si>
    <t>MCMLTER; National Science Foundation(National Science Foundation (NSF)); Division Of Ocean Sciences; Directorate For Geosciences(National Science Foundation (NSF)NSF - Directorate for Geosciences (GEO))</t>
  </si>
  <si>
    <t>Our analysis was carried out on samples collected by many researchers affiliated with the MCMLTER over the past 2 decades. Funding was generously provided by the MCMLTER (OPP-9211773, OPP-9810219, OPP-0096250) and National Science Foundation Antarctic Organisms and Ecosystems Program Award #0839020. Raytheon Polar Services Company and PHI Helicopters provided essential logistic and transportation support during field campaigns. We give many thanks to Stephen Juggins, Adam Heathcote, Brett Melbourne, Teresa Legg, and Antonio Gonzalez-Pena for critical comments and assistance with data analyses.</t>
  </si>
  <si>
    <t>NORTH AMER BENTHOLOGICAL SOC</t>
  </si>
  <si>
    <t>LAWRENCE</t>
  </si>
  <si>
    <t>1041 NEW HAMSPHIRE STREET, LAWRENCE, KS 66044 USA</t>
  </si>
  <si>
    <t>0887-3593</t>
  </si>
  <si>
    <t>J N AM BENTHOL SOC</t>
  </si>
  <si>
    <t>J. N. Am. Benthol. Soc.</t>
  </si>
  <si>
    <t>10.1899/11-008.1</t>
  </si>
  <si>
    <t>864EA</t>
  </si>
  <si>
    <t>WOS:000298218600015</t>
  </si>
  <si>
    <t>Gallego, A; Panning, MP; Russo, RM; Comte, D; Mocanu, VI; Murdie, RE; Vandecar, JC</t>
  </si>
  <si>
    <t>Gallego, A.; Panning, M. P.; Russo, R. M.; Comte, D.; Mocanu, V. I.; Murdie, R. E.; Vandecar, J. C.</t>
  </si>
  <si>
    <t>Azimuthal anisotropy in the Chile Ridge subduction region retrieved from ambient noise</t>
  </si>
  <si>
    <t>LITHOSPHERE</t>
  </si>
  <si>
    <t>OFQUI FAULT ZONE; SOUTHERN CHILE; SEISMIC ANISOTROPY; TRIPLE JUNCTION; WAVE PROPAGATION; SLAB WINDOWS; BENEATH; DEFORMATION; PATAGONIA; PACIFIC</t>
  </si>
  <si>
    <t>In the southern Andes, the oblique convergence of the Nazca plate and the subduction of an active oceanic ridge represent two major tectonic features driving deformation of the forearc in the overriding continental plate, and the relative effects of these two mechanisms in the stress field have been a subject of debate. North of the Chile triple junction, oblique subduction of the Nazca plate is associated with the Liquie-Ofqui fault zone, an similar to 1000-km-long strike-slip fault that is partitioning the stress and deformation in the forearc. South of the Chile triple junction, the Antarctic plate converges normal to the trench, and several ridge segments have been colliding with the overriding plate since 14 Ma. Proposed effects of the collision include episodes of uplift, extension, and formation of a forearc sliver. Using ambient seismic noise recorded by the Chile Ridge Subduction Project seismic network, we retrieved azimuthal anisotropy from inversion of Rayleigh wave group velocity in the 6-12 s period range, mostly sensitive to crustal depths. North of the Chile triple junction in the forearc region, our results show a fast velocity for azimuthal anisotropy oriented subparallel to the Liquie-Ofqui fault zone. South of the Chile triple junction, anisotropy is higher, and fast velocity measurements present clockwise rotation south of the subducted ridge and counterclockwise rotation north of the ridge. These results suggest the presence of two main domains of deformation: one with structures formed during oblique convergence of the Nazca plate north of the Chile triple junction and the other with structures formed during normal convergence of the Antarctic plate, coupled with collision of the Chile Ridge south of the Chile triple junction. Low velocities and high anisotropy over the subducted Chile Ridge and slab window could be an indication of anomalously high thermal conditions, yielding a more plastic deformation compared with the north, where conditions are more cold and rigid.</t>
  </si>
  <si>
    <t>[Gallego, A.; Panning, M. P.; Russo, R. M.] Univ Florida, Dept Geol Sci, Gainesville, FL 32611 USA; [Comte, D.] Univ Chile, Dept Geofis, Santiago, Chile; [Mocanu, V. I.] Univ Bucharest, Dept Geophys, RO-7139 Bucharest 1, Romania; [Murdie, R. E.] St Ives Gold Mine, Gold Fields Australia, Kambalda, WA 6442, Australia; [Vandecar, J. C.] Carnegie Inst Washington, DTM, Washington, DC 20015 USA</t>
  </si>
  <si>
    <t>State University System of Florida; University of Florida; Universidad de Chile; University of Bucharest; Carnegie Institution for Science</t>
  </si>
  <si>
    <t>Gallego, A (corresponding author), Univ Florida, Dept Geol Sci, POB 112120,241 Williamson Hall, Gainesville, FL 32611 USA.</t>
  </si>
  <si>
    <t>agallego75@gmail.com; mpanning@ufl.edu; rrusso@ufl.edu; dcomte@dgf.uchile.cl; victor.mocanu@g.unibuc.ro; ruth.murdie@goldfields.com.au; jvandecar@hotmail.com</t>
  </si>
  <si>
    <t>Russo, Raymond/JDD-8127-2023; COMTE, DIANA/H-2593-2013; Panning, Mark/B-3805-2011</t>
  </si>
  <si>
    <t>Russo, Raymond/0000-0001-5737-2049; Panning, Mark/0000-0002-2041-3190; VanDecar, John/0000-0003-3671-4294</t>
  </si>
  <si>
    <t>U.S. National Science Foundation [EAR-0126244]; CONICYT-CHILE [1050367]</t>
  </si>
  <si>
    <t>U.S. National Science Foundation(National Science Foundation (NSF)); CONICYT-CHILE(Comision Nacional de Investigacion Cientifica y Tecnologica (CONICYT))</t>
  </si>
  <si>
    <t>This work would not have been possible without the help of the following people: Umberto Fuenzalida, Hernan Marilao, and Carmen Gloria of the Universidad de Chile; Juan Fica, Claudio Manzur, Carlos Llautureo, Corporacion Nacional Forestal de Chile (CONAF); Monica Retamal Maturana, Banco Estado; Carabineros de Chile del Region de Aysen; Armada de Chile; Cuerpo Militar de Trabajo del Ejercito de Chile, Cmdte. Roldan, Maj. Wellkner; Luis Miranda Chiguay, Alcaldes de Aysen, Melinka, Rio Ibanez, Lago Verde; Ejercito de Chile; Carlos Feliu Ruiz, Aeronautica de Chile; Don Luis Hidalgo, Automotriz Varona; Don Gustavo Lopez y Hostal Bon; Mike Fort, Noel Barstow, Bruce Beaudoin, Jim Fowler of IRIS PASSCAL; Juan Gallardo, Axel Hernandez, Hernan Aguilar, Jose Geicha Nauto, Tripulacion de LM Petrel IV (CONAF); Gilles Rigaud, Aurelia Rigaud, Valerie Clouard, Lorena Palacio et Morgane; Eduardo Moscoso; Don Raul Hernandez, Fundo Los Nirres; Sergio Mirando Contreras (Melinka); Victor Figueroa, Escuela Carlos Condell, Calete Andrade, Puerto Aguirre; Enrique Alcalde (Cochrane); Luis Levin (Bahia Murta); Baterias GAMI (Puerto Montt); Mauricio Zambrano L. (Coyhaique Centro de Llamadas); Rolando Burgos and Roselia Delgado, Fachinal; Aladin Jara, Gobernacion de Chile Chico; Rolando Toloza, Ministerio Obras Publicas; Mark and Sra. Knipreth, Heart of the Andes Lodge; Heraldo Zapata Rivera, Ramon Villegas, Omar Tapia Vidal, Jorge Oyarzun Inostroza, Tripulacion de El Aleph; Sandalio Munoz, Fundo La Pedregosa; Don Cristian Brautigam; and the many, many people of Region XI, Aysen, who helped us enthusiastically and unstintingly and without whom this work would have been impossible. We thank Eric Nelson for his data included in our Figure 8 and anonymous reviewers for their constructive comments. This work was supported by U.S. National Science Foundation grant EAR-0126244 and CONICYT-CHILE grant 1050367.</t>
  </si>
  <si>
    <t>1941-8264</t>
  </si>
  <si>
    <t>LITHOSPHERE-US</t>
  </si>
  <si>
    <t>Lithosphere</t>
  </si>
  <si>
    <t>10.1130/L139.1</t>
  </si>
  <si>
    <t>Geochemistry &amp; Geophysics; Geology</t>
  </si>
  <si>
    <t>863BT</t>
  </si>
  <si>
    <t>WOS:000298138500003</t>
  </si>
  <si>
    <t>Peck, LS</t>
  </si>
  <si>
    <t>Peck, Lloyd S.</t>
  </si>
  <si>
    <t>Organisms and responses to environmental change</t>
  </si>
  <si>
    <t>MARINE GENOMICS</t>
  </si>
  <si>
    <t>Climate change; Gene; Ecosystem; Physiology; Rate of change; Scale</t>
  </si>
  <si>
    <t>CLIMATE-CHANGE; ECOLOGICAL RELEVANCE; TEMPERATURE LIMITS; THERMAL TOLERANCE; SOUTHERN-OCEAN; PHYSIOLOGY; ADAPTATION; IMPACTS; MODELS; VULNERABILITY</t>
  </si>
  <si>
    <t>There is great concern currently over environmental change and the biotic responses, actual or potential, to that change. There is also great concern over biodiversity and the observed losses to date. However, there has been little focus on the diversity of potential responses that organisms can make, and how this would influence both the focus of investigation and conservation efforts. Here emphasis is given to broad scale approaches, from gene to ecosystem and where a better understanding of diversity of potential response is needed. There is a need for the identification of rare, key or unique genomes and physiologies that should be made priorities for conservation because of their importance to global biodiversity. The new discipline of conservation physiology is one aspect of the many ways in which organismal responses to environmental variability and change can be investigated, but wider approaches are needed. Environmental change, whether natural or human induced occurs over a very wide range of scales, from nanometres to global and seconds to millennia. The processes involved in responses also function over a wide range of scales, from the molecular to the ecosystem. Organismal responses to change should be viewed in these wider frameworks. Within this overall framework the rate of change of an environmental variable dictates which biological process will be most important in the success or failure of the response. Taking this approach allows an equation to be formulated that allows the likely survival of future change to be estimated: Ps = (f(PF) x f(GM) x f(NP) x f(F) x f (D)xf(RA)) / (Delta Ex f(C)x f(PR) x F(HS)), where Ps = Probability of survival; PF = Physiological flexibility; GM = Gene pool modification rate; NP = number in population; F = Fitness; D = Dispersal capability; RA = Resource availability; Delta E = rate of change of the environment; C = Competition; PR = Predation and parasitism; HS = Habitat separation. Functions (f) are used here to denote that factors may interact and respond in a non-linear fashion. (C) 2011 Published by Elsevier B.V.</t>
  </si>
  <si>
    <t>Peck, LS (corresponding author), British Antarctic Survey, Madingley Rd, Cambridge CB3 0ET, England.</t>
  </si>
  <si>
    <t>l.peck@bas.ac.uk</t>
  </si>
  <si>
    <t>1874-7787</t>
  </si>
  <si>
    <t>1876-7478</t>
  </si>
  <si>
    <t>MAR GENOM</t>
  </si>
  <si>
    <t>Mar. Genom.</t>
  </si>
  <si>
    <t>10.1016/j.margen.2011.07.001</t>
  </si>
  <si>
    <t>Genetics &amp; Heredity; Marine &amp; Freshwater Biology</t>
  </si>
  <si>
    <t>867IN</t>
  </si>
  <si>
    <t>WOS:000298448200001</t>
  </si>
  <si>
    <t>Igarashi, M; Nakai, Y; Motizuki, Y; Takahashi, K; Motoyama, H; Makishima, K</t>
  </si>
  <si>
    <t>Igarashi, Makoto; Nakai, Yoichi; Motizuki, Yuko; Takahashi, Kazuya; Motoyama, Hideaki; Makishima, Kazuo</t>
  </si>
  <si>
    <t>Dating of the Dome Fuji shallow ice core based on a record of volcanic eruptions from AD 1260 to AD 2001</t>
  </si>
  <si>
    <t>POLAR SCIENCE</t>
  </si>
  <si>
    <t>Ice core; Dating; Volcanic eruption record; Non-sea-salt sulfate; Antarctica</t>
  </si>
  <si>
    <t>EXPLOSIVE VOLCANISM; EAST ANTARCTICA; CHEMICAL STRATIGRAPHY; BYRD-STATION; SNOW; VARIABILITY; AMUNDSENISEN; HISTORY; PROJECT</t>
  </si>
  <si>
    <t>We measured the concentration of non-sea-salt sulfate (nssSO(4)(2-)) in the Dome Fuji shallow ice core (Antarctica) from the surface to 40 m depth with the aim of dating the core with reference to the record of volcanic eruptions. Three huge spikes related to large-scale volcanic eruptions were detected at depths of 12.5, 29.9, and 38.8 m, correlated to the eruptions of Tambora (AD 1815), Kuwae (AD 1452) and an unknown event (AD 1259), respectively. We identified another nine nssSO(4)(2-) spikes related to accurately dated eruption events. The shallow ice core was dated from AD 1260 to AD 2001 based on these 12 eruption events and the assumption of constant annual snow accumulation in the periods between eruption events. The results yield a maximum correction of similar to 20 years compared with the dating proposed in a previous study. The annual accumulation varied within +/-similar to 15% of the average water equivalent value over the study period (25.5 mm). (C) 2011 Elsevier B.V. and NIPR. All rights reserved.</t>
  </si>
  <si>
    <t>[Igarashi, Makoto; Motoyama, Hideaki] Natl Inst Polar Res, Tachikawa, Tokyo 1908518, Japan; [Nakai, Yoichi; Motizuki, Yuko; Takahashi, Kazuya] RIKEN, Nishina Ctr, Wako, Saitama 3510198, Japan; [Motoyama, Hideaki] Grad Univ Adv Studies SOKENDAI, Tachikawa, Tokyo 1908518, Japan; [Makishima, Kazuo] Univ Tokyo, Sch Sci, Dept Phys, Bunkyo Ku, Tokyo 1130033, Japan</t>
  </si>
  <si>
    <t>Research Organization of Information &amp; Systems (ROIS); National Institute of Polar Research (NIPR) - Japan; RIKEN; Graduate University for Advanced Studies - Japan; University of Tokyo</t>
  </si>
  <si>
    <t>Motoyama, H (corresponding author), Natl Inst Polar Res, 10-3 Midori Cho, Tachikawa, Tokyo 1908518, Japan.</t>
  </si>
  <si>
    <t>makoto_igarashi0126@yahoo.co.jp; motoyama@nipr.ac.jp</t>
  </si>
  <si>
    <t>Nakai, Yoichi/D-6190-2017; Takahashi, kazuyat/U-3232-2018</t>
  </si>
  <si>
    <t>Takahashi, kazuyat/0000-0002-5104-2601</t>
  </si>
  <si>
    <t>Japan Society for the Promotion of Science (JSPS) [20241007]; Grants-in-Aid for Scientific Research [20241007]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</si>
  <si>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</si>
  <si>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Ms. T. Kobayashi of the National Institute of Polar Research (Japan) for help in chemical analyses of ice core samples, and members of the 42nd Japanese Antarctic Research Expedition for their kind assistance in ice core drilling at Dome Fuji Station, Antarctica. This research was supported in part by a Grant-in-Aid for Scientific Research (A) 20241007(P.I. S. Fujita) from the Japan Society for the Promotion of Science (JSPS).</t>
  </si>
  <si>
    <t>1873-9652</t>
  </si>
  <si>
    <t>1876-4428</t>
  </si>
  <si>
    <t>POLAR SCI</t>
  </si>
  <si>
    <t>Polar Sci.</t>
  </si>
  <si>
    <t>10.1016/j.polar.2011.08.001</t>
  </si>
  <si>
    <t>V33ZZ</t>
  </si>
  <si>
    <t>WOS:000209058000002</t>
  </si>
  <si>
    <t>Himeno, T; Kanao, M; Ogata, Y</t>
  </si>
  <si>
    <t>Himeno, Tetsuto; Kanao, Masaki; Ogata, Yosihiko</t>
  </si>
  <si>
    <t>Statistical analysis of seismicity in a wide region around the 1998 Mw 8.1 Balleny Islands earthquake in the Antarctic Plate</t>
  </si>
  <si>
    <t>Seismicity; Antarctic Plate; Balleny earthquake; Detection rate; ETAS model</t>
  </si>
  <si>
    <t>POINT-PROCESS MODELS; MARCH 25</t>
  </si>
  <si>
    <t>A large earthquake (Mw 8.1) that occurred off the North Coast of the Antarctic continent near the Balleny Islands on 25 March 1998 was the largest intra-plate earthquake ever recorded in the Antarctic Plate. The earthquake hypocenter catalog for this area shows a marked change in seismicity following the main shock in a large area around the Balleny aftershock region. However, the earthquake catalog includes many aftershocks and is affected by a variable detection rate. To overcome these limitations, we applied statistical models and methods, including Gutenberg-Richter's magnitude frequency distribution, the Epidemic-Type Aftershock Sequences (ETAS) model, and the space-time ETAS model, thereby enabling calculation of the change in detection rate. The results show a change in the spatial pattern of background seismicity over a large region after the 1998 event. (C) 2011 Elsevier B.V. and NIPR. All rights reserved.</t>
  </si>
  <si>
    <t>[Himeno, Tetsuto] Res Org Informat &amp; Syst, Transdisciplinary Res Intergrat Ctr, Minato Ku, Tokyo 1050001, Japan; [Kanao, Masaki] Natl Inst Polar Res, Dept Earth Sci, Tachikawa, Tokyo 1908518, Japan; [Ogata, Yosihiko] Inst Stat Math, Tachikawa, Tokyo 1908562, Japan</t>
  </si>
  <si>
    <t>Research Organization of Information &amp; Systems (ROIS); Research Organization of Information &amp; Systems (ROIS); National Institute of Polar Research (NIPR) - Japan; Research Organization of Information &amp; Systems (ROIS); Institute of Statistical Mathematics (ISM) - Japan</t>
  </si>
  <si>
    <t>Himeno, T (corresponding author), Res Org Informat &amp; Syst, Transdisciplinary Res Intergrat Ctr, Minato Ku, Kamiyacho Cent Pl 2F,4-3-13 Toranomon, Tokyo 1050001, Japan.</t>
  </si>
  <si>
    <t>himeno.tetsuto@nipr.ac.jp</t>
  </si>
  <si>
    <t>Himeno, Tetsuto/0000-0002-5979-9027</t>
  </si>
  <si>
    <t>Function and Induction Research Project of the Transdisciplinary Research Integration Center, Research Organization of Information and Systems, Japan; Grants-in-Aid for Scientific Research [23240039] Funding Source: KAKEN</t>
  </si>
  <si>
    <t>Function and Induction Research Project of the Transdisciplinary Research Integration Center, Research Organization of Information and Systems, Japan; Grants-in-Aid for Scientific Research(Ministry of Education, Culture, Sports, Science and Technology, Japan (MEXT)Japan Society for the Promotion of ScienceGrants-in-Aid for Scientific Research (KAKENHI))</t>
  </si>
  <si>
    <t>This research was supported by the Function and Induction Research Project of the Transdisciplinary Research Integration Center, Research Organization of Information and Systems, Japan.</t>
  </si>
  <si>
    <t>10.1016/j.polar.2011.08.002</t>
  </si>
  <si>
    <t>WOS:000209058000003</t>
  </si>
  <si>
    <t>Okuda, M; Imura, S; Tanemura, M</t>
  </si>
  <si>
    <t>Okuda, Masaki; Imura, Satoshi; Tanemura, Masaharu</t>
  </si>
  <si>
    <t>Microtopographic properties of sparse moss vegetation in the Antarctic polar desert</t>
  </si>
  <si>
    <t>Colonization; Bare ground; Topographic attributes; Mixed models; Continental Antarctica</t>
  </si>
  <si>
    <t>The effect of topography on moss vegetation is examined to clarify the processes that affect the colonization of polar deserts on continental Antarctica. Data on the presence of the mosses Bryum pseudotriquetrum and Pottia heimii, and relative altitude were recorded. The altitude measurements were used to infer the underlying topographical attributes of the substrate in the study plots. Specifically, the local distribution of moss plants was clarified using the topographical attributes to construct generalized linear mixed models (GLMMs). The models suggested that steep slopes and convex microhabitats within areas of concave general relief (at the plot scale 4 x 4 m) promoted the establishment of moss. This correspondence to general relief was more apparent for B. pseudotriquetrum than for P. heimii. Among the study plots, general relief was found to be an important determinant of the precise spatial distribution of B. pseudotriquetrum. The standard surface estimated using the robust methods presented in this study is shown to be more accurate for describing moss distribution than the prevailing least-squares method. (C) 2011 Elsevier B.V. and NIPR. All rights reserved.</t>
  </si>
  <si>
    <t>[Okuda, Masaki; Tanemura, Masaharu] Grad Univ Adv Studies SOKENDAI, Dept Stat Sci, Tachikawa, Tokyo 1908652, Japan; [Imura, Satoshi] Grad Univ Adv Studies SOKENDAI, Dept Polar Sci, Tachikawa, Tokyo 1908518, Japan; [Imura, Satoshi] Natl Inst Polar Res, Tachikawa, Tokyo 1908518, Japan; [Tanemura, Masaharu] Inst Stat Math, Tachikawa, Tokyo 1908652, Japan</t>
  </si>
  <si>
    <t>Graduate University for Advanced Studies - Japan; Graduate University for Advanced Studies - Japan; Research Organization of Information &amp; Systems (ROIS); National Institute of Polar Research (NIPR) - Japan; Research Organization of Information &amp; Systems (ROIS); Institute of Statistical Mathematics (ISM) - Japan</t>
  </si>
  <si>
    <t>Okuda, M (corresponding author), Inst Stat Math, Risk Anal Res Ctr, 10-3 Midori Cho, Tachikawa, Tokyo 1908652, Japan.</t>
  </si>
  <si>
    <t>okudam@gakushikai.jp</t>
  </si>
  <si>
    <t>10.1016/j.polar.2011.10.001</t>
  </si>
  <si>
    <t>WOS:000209058000004</t>
  </si>
  <si>
    <t>Bauch, D; van der Loeff, MR; Andersen, N; Torres-Valdes, S; Bakker, K; Abrahamsen, EP</t>
  </si>
  <si>
    <t>Bauch, Dorothea; van der Loeff, Michiel Rutgers; Andersen, Nils; Torres-Valdes, Sinhue; Bakker, Karel; Abrahamsen, E. Povl</t>
  </si>
  <si>
    <t>Origin of freshwater and polynya water in the Arctic Ocean halocline in summer 2007</t>
  </si>
  <si>
    <t>SEA-ICE; SIBERIAN SHELF; RIVER RUNOFF; FRAM STRAIT; LAPTEV SEA; SURFACE; DEEP; CIRCULATION; TRANSPORTS; DELTA-O-18</t>
  </si>
  <si>
    <t>Extremely low summer sea-ice coverage in the Arctic Ocean in 2007 allowed extensive sampling and a wide quasi-synoptic hydrographic and delta O-18 dataset could be collected in the Eurasian Basin and the Makarov Basin up to the Alpha Ridge and the East Siberian continental margin. With the aim of determining the origin of freshwater in the halocline, fractions of river water and sea-ice meltwater in the upper 150 m were quantified by a combination of salinity and delta O-18 in the Eurasian Basin. Two methods, applying the preformed phosphate concentration (PO*) and the nitrate-to-phosphate ratio (N/P), were compared to further differentiate the marine fraction into Atlantic and Pacific-derived contributions. While PO*-based assessments systematically underestimate the contribution of Pacific-derived waters, N/P-based calculations overestimate Pacific-derived waters within the Transpolar Drift due to denitrification in bottom sediments at the Laptev Sea continental margin. Within the Eurasian Basin a west to east oriented front between net melting and production of sea-ice is observed. Outside the Atlantic regime dominated by net sea-ice melting, a pronounced layer influenced by brines released during sea-ice formation is present at about 30-50 m water depth with a maximum over the Lomonosov Ridge. The geographically distinct definition of this maximum demonstrates the rapid release and transport of signals from the shelf regions in discrete pulses within the Transpolar Drift. The ratio of sea-ice derived brine influence and river water is roughly constant within each layer of the Arctic Ocean halocline. The correlation between brine influence and river water reveals two clusters that can be assigned to the two main mechanisms of sea-ice formation within the Arctic Ocean. Over the open ocean or in polynyas at the continental slope where relatively small amounts of river water are found, sea-ice formation results in a linear correlation between brine influence and river water at salinities of about 32-34. In coastal polynyas in the shallow regions of the Laptev Sea and southern Kara Sea, sea-ice formation transports river water into the shelfs bottom layer due to the close proximity to the river mouths. This process therefore results in waters that form a second linear correlation between brine influence and river water at salinities of about 30-32. Our study indicates which layers of the Arctic Ocean halocline are primarily influenced by sea-ice formation in coastal polynyas and which layers are primarily influenced by sea-ice formation over the open ocean. Accordingly we use the ratio of sea-ice derived brine influence and river water to link the maximum in brine influence within the Transpolar Drift with a pulse of shelf waters from the Laptev Sea that was likely released in summer 2005. (C) 2011 Elsevier Ltd. All rights reserved.</t>
  </si>
  <si>
    <t>[Bauch, Dorothea] Univ Kiel IFM GEOMAR, Leibniz Inst Marine Sci, D-24148 Kiel, Germany; [Bauch, Dorothea] Mainz Acad, IFM GEOMAR, Mainz, Germany; [van der Loeff, Michiel Rutgers] Alfred Wegener Inst AWI, D-27570 Bremerhaven, Germany; [Andersen, Nils] Univ Kiel, Leibniz Lab, D-24118 Kiel, Germany; [Torres-Valdes, Sinhue] Natl Oceanog Ctr NOC, Southampton SO14 3ZH, Hants, England; [Bakker, Karel] NIOZ Royal Netherlands Inst Sea Res, Texel, Netherlands; [Abrahamsen, E. Povl] British Antarctic Survey, Cambridge CB3 0ET, England</t>
  </si>
  <si>
    <t>Helmholtz Association; GEOMAR Helmholtz Center for Ocean Research Kiel; University of Kiel; Helmholtz Association; Alfred Wegener Institute, Helmholtz Centre for Polar &amp; Marine Research; University of Kiel; NERC National Oceanography Centre; Utrecht University; Royal Netherlands Institute for Sea Research (NIOZ); UK Research &amp; Innovation (UKRI); Natural Environment Research Council (NERC); NERC British Antarctic Survey</t>
  </si>
  <si>
    <t>Bauch, D (corresponding author), Univ Kiel IFM GEOMAR, Leibniz Inst Marine Sci, Wischhofstr 1-3, D-24148 Kiel, Germany.</t>
  </si>
  <si>
    <t>dbauch@ifm-geomar.de; Michiel.Rutgers.v.d.Loeff@awi.de; nandersen@leibniz.uni-kiel.de; sinhue@noc.ac.uk; karel.bakker@nioz.nl; epab@bas.ac.uk</t>
  </si>
  <si>
    <t>Abrahamsen, Povl/B-2140-2008; Torres Valdés, Sinhué/A-1435-2013; Torres-Valdés, Sinhué/O-6436-2019</t>
  </si>
  <si>
    <t>Abrahamsen, Povl/0000-0001-5924-5350; Torres Valdés, Sinhué/0000-0003-2749-4170; Torres-Valdés, Sinhué/0000-0003-2749-4170; Bauch, Dorothea/0000-0002-1419-9714; Rutgers van der Loeff, Michiel/0000-0003-1393-3742</t>
  </si>
  <si>
    <t>German Research Foundation (DFG) [SP526/3]; Natural Environment Research Council (UK) through the Arctic Synoptic Basin-wide Oceanography (ASBO) IPY consortium; NERC [noc010009, bas0100028, NE/D006201/1] Funding Source: UKRI; Natural Environment Research Council [NE/D006201/1, bas0100028, noc010009] Funding Source: researchfish</t>
  </si>
  <si>
    <t>German Research Foundation (DFG)(German Research Foundation (DFG)); Natural Environment Research Council (UK) through the Arctic Synoptic Basin-wide Oceanography (ASBO) IPY consortium; NERC(UK Research &amp; Innovation (UKRI)Natural Environment Research Council (NERC)); Natural Environment Research Council(UK Research &amp; Innovation (UKRI)Natural Environment Research Council (NERC))</t>
  </si>
  <si>
    <t>This work was funded by the German Research Foundation (DFG) under Grant SP526/3.; We are grateful to crews of RV Polarstern and RV Viktor Buynitskiy, Elena Dobrotina, who did the sampling on VB07, Anna Schmidt and Robert Spielhagen, who did the sampling on P507, and colleagues for support with sampling and in providing hydrographic data. We also thank Benjamin Rabe and two constructive reviewers who helped to improve the manuscript. D.B. was funded under DFG Grant SP526/3. S.T.V. and E.P.A. were funded by the Natural Environment Research Council (UK) through the Arctic Synoptic Basin-wide Oceanography (ASBO) IPY consortium grant.</t>
  </si>
  <si>
    <t>10.1016/j.pocean.2011.07.017</t>
  </si>
  <si>
    <t>WOS:000298202000009</t>
  </si>
  <si>
    <t>Roberts, AP; Rohling, EJ; Grant, KM; Larrasoaña, JC; Liu, QS</t>
  </si>
  <si>
    <t>Roberts, Andrew P.; Rohling, Eelco J.; Grant, Katharine M.; Larrasoana, Juan C.; Liu, Qingsong</t>
  </si>
  <si>
    <t>Atmospheric dust variability from Arabia and China over the last 500,000 years</t>
  </si>
  <si>
    <t>QUATERNARY SCIENCE REVIEWS</t>
  </si>
  <si>
    <t>Aeolian dust; Climate; Radiative perturbation; Glacial; Interglacial</t>
  </si>
  <si>
    <t>MINERAL AEROSOLS; GLACIAL CYCLES; DESERT DUST; ICE-CORE; CLIMATE; SEA; OCEAN; IRON; TIMESCALE; FLUX</t>
  </si>
  <si>
    <t>Atmospheric mineral dust aerosols affect Earth's radiative balance and are an important climate forcing and feedback mechanism. Dust is argued to have played an important role in past natural climate changes through glacial cycles, yet temporal and spatial dust variability remain poorly constrained, with scientific understanding of uncertainties associated with radiative perturbations due to mineral dust classified as very low. To advance understanding of the dust cycle, we present a high-resolution dust record from the Red Sea, sourced principally from Arabia, with a precise chronology relative to global sea level/ice volume variability. Our record correlates well with a high-resolution Asian dust record from the Chinese Loess Plateau. Importing our age model from the Red Sea to the Chinese Loess Plateau provides a first detailed millennial-scale age model for the Chinese loess, which has been notoriously difficult to date at this resolution and provides a basis for inter-regional correlation of Chinese dust records. We observe a high baseline of dust emissions from Arabia and China, even through interglacials, with strong superimposed millennial-scale variability. Conversely, the distal EPICA Dome C Antarctic ice core record, which is widely used to calculate the radiative impact of dust variations, appears biased to sharply delineated glacial/interglacial contrasts. Calculations based on this Antarctic dust record will therefore overestimate the radiative contrast of atmospheric dust loadings on glacial/interglacial timescales. Additional differences between Arabian/Asian and circum-Saharan records reveal that climate models could be improved by avoiding 'global mean' dust considerations and instead including large-scale regions with different dust source variability. (C) 2011 Elsevier Ltd. All rights reserved.</t>
  </si>
  <si>
    <t>[Roberts, Andrew P.; Rohling, Eelco J.; Grant, Katharine M.; Larrasoana, Juan C.; Liu, Qingsong] Univ Southampton, Natl Oceanog Ctr, Sch Ocean &amp; Earth Sci, Southampton SO14 3ZH, Hants, England</t>
  </si>
  <si>
    <t>University of Southampton; NERC National Oceanography Centre</t>
  </si>
  <si>
    <t>Roberts, AP (corresponding author), Australian Natl Univ, Res Sch Earth Sci, GPO Box 4, Canberra, ACT 0200, Australia.</t>
  </si>
  <si>
    <t>andrew.roberts@anu.edu.au</t>
  </si>
  <si>
    <t>Rohling, Eelco J/B-9736-2008; Roberts, Andrew P/E-6422-2010; Liu, Qingsong/AAK-4672-2020; Larrasoana, Juan C./O-1350-2013</t>
  </si>
  <si>
    <t>Rohling, Eelco J/0000-0001-5349-2158; Larrasoana, Juan Cruz/0000-0003-4568-631X; Grant, Katharine/0000-0003-4299-5504; Roberts, Andrew P./0000-0003-0566-8117</t>
  </si>
  <si>
    <t>UK Natural Environment Research Council [NE/C003152/1, NE/H004424/1, NE/E01531X/1]; NERC [NE/E01531X/1, NE/E015905/1, bosc01001, NE/H004424/1] Funding Source: UKRI; Natural Environment Research Council [NE/H004424/1, NE/E01531X/1, NE/C003152/1, NE/E015905/1, bosc01001]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</si>
  <si>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</si>
  <si>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contributes to UK Natural Environment Research Council projects NE/C003152/1, NE/H004424/1 and NE/E01531X/1.</t>
  </si>
  <si>
    <t>0277-3791</t>
  </si>
  <si>
    <t>QUATERNARY SCI REV</t>
  </si>
  <si>
    <t>Quat. Sci. Rev.</t>
  </si>
  <si>
    <t>10.1016/j.quascirev.2011.09.007</t>
  </si>
  <si>
    <t>863YK</t>
  </si>
  <si>
    <t>WOS:000298204000001</t>
  </si>
  <si>
    <t>Roberts, SJ; Hodgson, DA; Sterken, M; Whitehouse, PL; Verleyen, E; Vyverman, W; Sabbe, K; Balbo, A; Bentley, MJ; Moreton, SG</t>
  </si>
  <si>
    <t>Roberts, Stephen J.; Hodgson, Dominic A.; Sterken, Mieke; Whitehouse, Pippa L.; Verleyen, Elie; Vyverman, Wim; Sabbe, Koen; Balbo, Andrea; Bentley, Michael J.; Moreton, Steven G.</t>
  </si>
  <si>
    <t>Geological constraints on glacio-isostatic adjustment models of relative sea-level change during deglaciation of Prince Gustav Channel, Antarctic Peninsula</t>
  </si>
  <si>
    <t>Sea-level; Ice sheets; Deglaciation; Holocene; Palaeolimnology; Antarctica; Satellite-gravity measurements; GRACE satellite</t>
  </si>
  <si>
    <t>SOUTH-SHETLAND-ISLANDS; JAMES-ROSS-ISLAND; RADIOCARBON AGE CALIBRATION; ICE-SHEET; LATE PLEISTOCENE; MELTING HISTORY; LAKE-SEDIMENTS; CLIMATE; MAXIMUM; RETREAT</t>
  </si>
  <si>
    <t>The recent disintegration of Antarctic Peninsula ice shelves, and the associated accelerated discharge and retreat of continental glaciers, has highlighted the necessity of quantifying the current rate of Antarctic ice mass loss and the regional contributions to future sea-level rise. Observations of present day ice mass change need to be corrected for ongoing glacial isostatic adjustment, a process which must be constrained by geological data. However, there are relatively little geological data on the geometry, volume and melt history of the Antarctic Peninsula Ice Sheet (APIS) after Termination 1, and during the Holocene so the glacial isostatic correction remains poorly constrained. To address this we provide field constraints on the timing and rate of APIS deglaciation, and changes in relative sea-level (RSL) for the north-eastern Antarctic Peninsula based on geomorphological evidence of former marine limits, and radiocarbon-dated marine-freshwater transitions from a series of isolation basins at different altitudes on Beak Island. Relative sea-level fell from a maximum of c. 15 m above present at c. 8000 cal yr BP, at a rate of 3.91 mm yr(-1) declining to c. 2.11 mm yr(-1) between c. 6900-2900 cal yr BP, 1.63 mm yr(-1) between c. 2900-1800 cal yr BP, and finally to 0.29 mm yr(-1) during the last c. 1800 years. The new Beak Island RSL curve improves the spatial coverage of RSL data in the Antarctic. It is in broad agreement with some glacio-isostatic adjustment models applied to this location, and with work undertaken elsewhere on the Antarctic Peninsula. These geological and RSL constraints from Beak Island imply significant thinning of the north-eastern APIS by the early Holocene. Further, they provide key data for the glacial isostatic correction required by satellite-derived gravity measurements of contemporary ice mass loss, which can be used to better assess the future contribution of the APIS to rising sea-levels. (C) 2011 Elsevier Ltd. All rights reserved.</t>
  </si>
  <si>
    <t>[Roberts, Stephen J.; Hodgson, Dominic A.; Balbo, Andrea] British Antarctic Survey, Nat Environm Res Council, Cambridge CB3 0ET, England; [Sterken, Mieke; Verleyen, Elie; Vyverman, Wim; Sabbe, Koen] Univ Ghent, Lab Protistol &amp; Aquat Ecol, B-9000 Ghent, Belgium; [Whitehouse, Pippa L.; Bentley, Michael J.] Univ Durham, Dept Geog, Durham DH1 3LE, England; [Moreton, Steven G.] Nat Environm Res Council Radiocarbon Facil, E Kilbride, Lanark, Scotland</t>
  </si>
  <si>
    <t>UK Research &amp; Innovation (UKRI); Natural Environment Research Council (NERC); NERC British Antarctic Survey; Ghent University; Durham University; UK Research &amp; Innovation (UKRI); Natural Environment Research Council (NERC); NERC British Geological Survey</t>
  </si>
  <si>
    <t>Hodgson, DA (corresponding author), British Antarctic Survey, Nat Environm Res Council, Madingley Rd, Cambridge CB3 0ET, England.</t>
  </si>
  <si>
    <t>daho@bas.ac.uk</t>
  </si>
  <si>
    <t>Moreton, Steven G/C-2373-2009; Bentley, Michael J/F-7386-2011</t>
  </si>
  <si>
    <t>Moreton, Steven G/0000-0002-8030-2433; Bentley, Michael J/0000-0002-2048-0019; Balbo, Andrea Luca/0000-0002-3906-375X; Roberts, Stephen/0000-0003-3407-9127; Whitehouse, Pippa/0000-0002-9092-3444</t>
  </si>
  <si>
    <t>NERC British Antarctic Survey QUATSED; Belgian Science Policy Office; Fund for Scientific Research Flanders, Belgium; Natural Environment Research Council [NRCF010001, bas0100024] Funding Source: researchfish; NERC [bas0100024, NRCF010001] Funding Source: UKRI</t>
  </si>
  <si>
    <t>NERC British Antarctic Survey QUATSED(UK Research &amp; Innovation (UKRI)Natural Environment Research Council (NERC)); Belgian Science Policy Office(Belgian Federal Science Policy Office); Fund for Scientific Research Flanders, Belgium(FWO); Natural Environment Research Council(UK Research &amp; Innovation (UKRI)Natural Environment Research Council (NERC)); NERC(UK Research &amp; Innovation (UKRI)Natural Environment Research Council (NERC))</t>
  </si>
  <si>
    <t>This study was funded by the NERC British Antarctic Survey QUATSED project (led by D.A. Hodgson) and the Belgian Science Policy Office project HOLANT (led by W. Vyverman). E. Verleyen is a postdoctoral research fellow of the Fund for Scientific Research Flanders, Belgium. Peter Fretwell assisted with processing the GPS data. Andy Lole is thanked for his assistance in the field. The British Antarctic Survey and the captain and crew of the HMS Endurance and 815 Naval Air Squadron provided logistic support. We thank Maarten Blaauw and Christopher Bronk-Ramsey for their help with CLAM and OXCAL-related questions and Erik Ivins, Philippe Huybrechts and Richard Peltier for providing their models.</t>
  </si>
  <si>
    <t>1873-457X</t>
  </si>
  <si>
    <t>10.1016/j.quascirev.2011.09.009</t>
  </si>
  <si>
    <t>WOS:000298204000005</t>
  </si>
  <si>
    <t>Johnson, JS; Bentley, MJ; Roberts, SJ; Binnie, SA; Freeman, SPHT</t>
  </si>
  <si>
    <t>Johnson, Joanne S.; Bentley, Michael J.; Roberts, Stephen J.; Binnie, Steven A.; Freeman, Stewart P. H. T.</t>
  </si>
  <si>
    <t>Holocene deglacial history of the northeast Antarctic Peninsula - A review and new chronological constraints</t>
  </si>
  <si>
    <t>Cosmogenic isotopes; Deglaciation; Bathymetry; James Ross Island; Antarctica</t>
  </si>
  <si>
    <t>LAST GLACIAL MAXIMUM; JAMES-ROSS-ISLAND; ICE-SHEET RETREAT; EXPOSURE AGES; CLIMATE VARIABILITY; LAKE-SEDIMENTS; SHELF HISTORY; FLOW DYNAMICS; WEDDELL SEA; CALIBRATION</t>
  </si>
  <si>
    <t>The northeast Antarctic Peninsula (NEAP) region is currently showing signs of significant environmental change, evidenced by acceleration of glacial retreat and collapse of both Larsen-A and -B ice shelves within the past 15 years. However, data on the past extent of the eastern margin of the Antarctic Peninsula Ice Sheet (APIS) and its Holocene retreat history are sparse, and hence we cannot yet put the recent changes into a long-term context. In order to investigate the timing of deglaciation, we present 16 new cosmogenic Be-10 surface exposure ages from sites on northern James Ross Island (Cape Lachman, Johnson Mesa and Terrapin Hill) and Seymour Island. The majority of the ages cluster around 6-10 ka, with three significantly older (25-31 ka). We combine these ages with existing terrestrial and marine radiocarbon deglaciation ages, and a compilation of existing swath bathymetry data, to quantify the temporal and spatial character of the regional glacial history. Ice had begun to retreat from the outer shelf by 18.3 ka, reaching Seymour Island by similar to 8 ka. Northern James Ross Island began to deglaciate around the time of the Early Holocene Climatic Optimum (c. 11-9.5 ka). Deglaciation continued, and a transition from grounded to floating ice in Prince Gustav Channel occurred around 8 ka, separating the James Ross Island ice cap from the APIS. This occurred shortly before Prince Gustav Channel ice shelf began to disintegrate at 6.2 ka. Our results suggest there may be a bathymetric control on the spatial pattern of deglaciation in the NEAR (C) 2011 Elsevier Ltd. All rights reserved.</t>
  </si>
  <si>
    <t>[Johnson, Joanne S.; Bentley, Michael J.; Roberts, Stephen J.] British Antarctic Survey, Cambridge CB3 0ET, England; [Bentley, Michael J.] Univ Durham, Dept Geog, Durham DH1 3LE, England; [Binnie, Steven A.] Univ Edinburgh, Inst Geog, Edinburgh EH8 9XP, Midlothian, Scotland; [Freeman, Stewart P. H. T.] Scottish Univ Environm Res Ctr, E Kilbride G75 0QF, Lanark, Scotland</t>
  </si>
  <si>
    <t>UK Research &amp; Innovation (UKRI); Natural Environment Research Council (NERC); NERC British Antarctic Survey; Durham University; University of Edinburgh; Scottish Universities Research &amp; Reactor Center</t>
  </si>
  <si>
    <t>Johnson, JS (corresponding author), British Antarctic Survey, Madingley Rd, Cambridge CB3 0ET, England.</t>
  </si>
  <si>
    <t>jsj@bas.ac.uk</t>
  </si>
  <si>
    <t>Binnie, Steven/M-7507-2015; Freeman, Stewart/AAA-6544-2020; Bentley, Michael J/F-7386-2011</t>
  </si>
  <si>
    <t>Binnie, Steven/0000-0003-0883-0212; Freeman, Stewart/0000-0001-6148-3171; Bentley, Michael J/0000-0002-2048-0019; Johnson, Joanne/0000-0003-4537-4447; Roberts, Stephen/0000-0003-3407-9127</t>
  </si>
  <si>
    <t>Natural Environment Research Council; Natural Environment Research Council [bas0100027] Funding Source: researchfish; NERC [bas0100027]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</si>
  <si>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</si>
  <si>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captain, officers and crew of HMS Endurance for excellent logistical support during fieldwork, and Emma Watcham for assistance with sampling on Seymour Island. We are grateful to Hilary Blagbrough, Elaine McDougall and Mike Tabecki for their technical support, and to Tibor Dunai and Christoph Schnabel for facilitating the sample preparation and AMS analyses. We acknowledge Eugene Domack, John Anderson and Carol Pudsey, who were Principal Investigators for the research cruises on which most of the swath bathymetry data presented here were collected. Rob Larter and Peter Fretwell kindly helped to prepare Fig. 1, and James Smith and Dominic Hodgson assisted with calibrating the radiocarbon ages. Discussion with Robert Arthern, Alastair Graham, Claus-Dieter Hillenbrand, Rob Larter, Hamish Pritchard, John Smellie and David Vaughan improved the manuscript. This paper is published as part of the British Antarctic Survey 'Polar Science for Planet Earth' programme, funded by the Natural Environment Research Council. It contributes to the aims and objectives of the SCAR ACE (Antarctic Climate Evolution) initiative. We thank David Fink and an anonymous reviewer for their constructive comments.</t>
  </si>
  <si>
    <t>27-28</t>
  </si>
  <si>
    <t>10.1016/j.quascirev.2011.10.011</t>
  </si>
  <si>
    <t>877QW</t>
  </si>
  <si>
    <t>WOS:000299198000004</t>
  </si>
  <si>
    <t>Maslin, MA; Ettwein, VJ; Wilson, KE; Guilderson, TP; Burns, SJ; Leng, MJ</t>
  </si>
  <si>
    <t>Maslin, M. A.; Ettwein, V. J.; Wilson, K. E.; Guilderson, T. P.; Burns, S. J.; Leng, M. J.</t>
  </si>
  <si>
    <t>Dynamic boundary-monsoon intensity hypothesis: evidence from the deglacial Amazon River discharge record</t>
  </si>
  <si>
    <t>Amazon Basin; Deglaciation; South American monsoon; Palaeoclimate; Amazon Fan sediment; Bi-polar climate forcing</t>
  </si>
  <si>
    <t>LAST GLACIAL MAXIMUM; INTERTROPICAL CONVERGENCE ZONE; WESTERN TROPICAL ATLANTIC; SEA-SURFACE TEMPERATURE; LATE QUATERNARY; CLIMATE-CHANGE; POLLEN RECORD; ICE-CORE; NORTHEASTERN BRAZIL; ATMOSPHERIC CIRCULATION</t>
  </si>
  <si>
    <t>Glacioeustatic- and temperature-corrected planktonic foraminiferal oxygen isotope (Delta delta O-18) records from ODP Site 942 on the Amazon Fan provide a means of monitoring past changes in the outflow of the Amazon River. This study focuses on the last deglaciation and reveals that during this period there were significant variations in the outflow, which implies large changes in moisture availability in the Amazon Basin. Aridity in the Amazon Basin seems to occur between 20.5 ka (calendar) to 17.0 ka and 13.6 ka to 11 ka. The second arid period correlates with the start of the Antarctic Cold Reversal and aridity continues throughout the Younger Dryas period. We find that the large-scale trends in Amazon River outflow are dissimilar to high-latitude variability in either hemisphere. Instead high-resolution variations correlate with the delta O-18 difference between Greenland and Antarctica ice core temperature records. This suggests a link between Hemispheric temperature gradients and moisture availability over the Amazon. Based on our results and previously published work we present a new testable 'dynamic boundary-monsoon intensity hypothesis', which suggests that tropical moisture is not a simple belt that moves north or south. Rather, the northern and southern boundaries of the South American Summer Monsoon (SASM) are independently dynamic and driven by temperature gradients within their individual hemispheres. The intensity of rainfall within the SASM, however, is driven by precessionally modulated insolation and the resultant convection strength. Combining these two influences produces the dynamic heterogenic changes in the moisture availability observed over tropical South America since the Last Glacial Maximum. (C) 2011 Elsevier Ltd. All rights reserved.</t>
  </si>
  <si>
    <t>[Maslin, M. A.] UCL, Dept Geog, Environm Change Res Ctr, London WC1E 6BT, England; [Guilderson, T. P.] Lawrence Livermore Natl Lab, Ctr Accelerator Mass Spectrometry, Livermore, CA 94550 USA; [Guilderson, T. P.] Univ Calif Santa Cruz, Dept Ocean Sci, Santa Cruz, CA 95064 USA; [Burns, S. J.] Univ Massachusetts, Dept Geosci, Morrill Sci Ctr 233, Amherst, MA 01003 USA; [Leng, M. J.] Univ Leicester, Dept Geol, Leicester LE1 7RH, Leics, England; [Leng, M. J.] British Geol Survey, NERC, Isotope Geosci Lab, Nottingham NG12 5GG, England</t>
  </si>
  <si>
    <t>University of London; University College London; United States Department of Energy (DOE); Lawrence Livermore National Laboratory; University of California System; University of California Santa Cruz; University of Massachusetts System; University of Massachusetts Amherst; University of Leicester; UK Research &amp; Innovation (UKRI); Natural Environment Research Council (NERC); NERC British Geological Survey</t>
  </si>
  <si>
    <t>Maslin, MA (corresponding author), UCL, Dept Geog, Environm Change Res Ctr, Pearson Bldg,Gower St, London WC1E 6BT, England.</t>
  </si>
  <si>
    <t>m.maslin@ucl.ac.uk</t>
  </si>
  <si>
    <t>Burns, Stephen J/H-9419-2013</t>
  </si>
  <si>
    <t>Wilson, Katy/0000-0003-2917-3397; Leng, Melanie/0000-0003-1115-5166; Guilderson, Thomas/0000-0001-9371-7059; Maslin, Mark/0000-0001-9957-3463</t>
  </si>
  <si>
    <t>University College London; Natural Environmental Research Council (NERC); U.S. Department of Energy by the University of California Lawrence Livermore National Laboratory; NERC [nigl010001] Funding Source: UKRI; Natural Environment Research Council [NER/A/S/2001/01160, nigl010001] Funding Source: researchfish</t>
  </si>
  <si>
    <t>University College London; Natural Environmental Research Council (NERC)(UK Research &amp; Innovation (UKRI)Natural Environment Research Council (NERC)); U.S. Department of Energy by the University of California Lawrence Livermore National Laboratory(United States Department of Energy (DOE)); NERC(UK Research &amp; Innovation (UKRI)Natural Environment Research Council (NERC)); Natural Environment Research Council(UK Research &amp; Innovation (UKRI)Natural Environment Research Council (NERC))</t>
  </si>
  <si>
    <t>This work was made possible by the ODP and the efforts of the scientific party and crew of ODP Leg 155. This work formed part of the doctoral dissertation for VJE, under the supervision and funding of MM at University College London. We would like to thank the three reviewers for their detailed and insightful comments, which greatly improved the manuscript. We would like to thank Reviewer 1 for one of the best quotes we have ever received I think Dr. Maslin is violating some of the fundamental laws of climatology. We thank Juliet Ettwein for assistance with sample material collection, Walter Hale for assistance at the IODP Sample Repository in Bremen, Germany, and members of the ECRC (UCL), NIGL, Department of Earth Sciences Cambridge University (Harry Elder-field and Aradhna Tripati) and CAMS (LLNL) especially Connie Weyhenmeyer for assistance with sample preparation and measurement. This research was supported by various grants from Natural Environmental Research Council (NERC). Radiocarbon analyses at CAMS were performed under the auspices of the U.S. Department of Energy by the University of California Lawrence Livermore National Laboratory.</t>
  </si>
  <si>
    <t>10.1016/j.quascirev.2011.10.007</t>
  </si>
  <si>
    <t>WOS:000299198000007</t>
  </si>
  <si>
    <t>Jung, J; Yeom, J; Kim, J; Han, J; Lim, HS; Park, H; Hyun, S; Park, W</t>
  </si>
  <si>
    <t>Jung, Jaejoon; Yeom, Jinki; Kim, Jisun; Han, Jiwon; Lim, Hyoun Soo; Park, Hyun; Hyun, Seunghun; Park, Woojun</t>
  </si>
  <si>
    <t>Change in gene abundance in the nitrogen biogeochemical cycle with temperature and nitrogen addition in Antarctic soils</t>
  </si>
  <si>
    <t>RESEARCH IN MICROBIOLOGY</t>
  </si>
  <si>
    <t>Ammonia-oxidizing archaea; Ammonia-oxidizing bacteria; Climate change; Nitrification; Denitrification; Nitrous oxide</t>
  </si>
  <si>
    <t>AMMONIA-OXIDIZING BACTERIA; DENITRIFYING BACTERIA; NITRITE REDUCTASE; PCR PRIMERS; ARCHAEA; DIVERSITY; COMMUNITY; DENITRIFICATION; NITRIFICATION; MONOOXYGENASE</t>
  </si>
  <si>
    <t>The microbial community (bacterial, archaeal, and fungi) and eight genes involved in the nitrogen biogeochemical cycle (nifH, nitrogen fixation; bacterial and archaeal amoA, ammonia oxidation; narG, nitrate reduction; nirS, nirK, nitrite reduction; norB, nitric oxide reduction; and nosZ, nitrous oxide reduction) were quantitatively assessed in this study, via real-time PCR with DNA extracted from three Antarctic soils. Interestingly, AOB amoA was found to be more abundant than AOA amoA in Antarctic soils. The results of microcosm studies revealed that the fungal and archaeal communities were diminished in response to warming temperatures (10 degrees C) and that the archaeal community was less sensitive to nitrogen addition, which suggests that those two communities are well-adapted to colder temperatures. AOA amoA and norB genes were reduced with warming temperatures. The abundance of only the nifH and nirK genes increased with both warming and the addition of nitrogen. NirS-type denitrifying bacteria outnumbered NirK-type denitrifiers regardless of the treatment used. Interestingly, dramatic increases in both NirS and NirK-types denitrifiers were observed with nitrogen addition. NirK types increase with warming, but NirS-type denitrifiers tend to be less sensitive to warming. Our findings indicated that the Antarctic microbial nitrogen cycle could be dramatically altered by temperature and nitrogen, and that warming may be detrimental to the ammonia-oxidizing archaeal community. To the best of our knowledge, this is the first report to investigate genes associated with each process of the nitrogen biogeochemical cycle in an Antarctic terrestrial soil environment. (C) 2011 Institut Pasteur. Published by Elsevier Masson SAS. All rights reserved.</t>
  </si>
  <si>
    <t>[Jung, Jaejoon; Yeom, Jinki; Kim, Jisun; Han, Jiwon; Hyun, Seunghun; Park, Woojun] Korea Univ, Dept Environm Sci &amp; Ecol Engn, Seoul 136713, South Korea; [Lim, Hyoun Soo; Park, Hyun] Korea Polar Res Inst, Inchon 406840, South Korea</t>
  </si>
  <si>
    <t>Korea University; Korea Polar Research Institute (KOPRI); Korea Institute of Ocean Science &amp; Technology (KIOST)</t>
  </si>
  <si>
    <t>Park, W (corresponding author), Korea Univ, Dept Environm Sci &amp; Ecol Engn, Anam Dong 5Ga, Seoul 136713, South Korea.</t>
  </si>
  <si>
    <t>wpark@korea.ac.kr</t>
  </si>
  <si>
    <t>Lim, Hyoun Soo/AAC-5499-2022; HYUN, SEUNGHUN/KAM-6088-2024</t>
  </si>
  <si>
    <t>Lim, Hyoun Soo/0000-0002-2489-4470; Hyun, Seunghun/0000-0001-8806-5834; Park, Hyun/0000-0002-8055-2010; Yeom, Jinki/0000-0002-5332-2658</t>
  </si>
  <si>
    <t>KOPRI</t>
  </si>
  <si>
    <t>KOPRI(Korea Polar Research Institute of Marine Research Placement (KOPRI))</t>
  </si>
  <si>
    <t>This research was supported by a grant from the Polar Academy Program (PAP), KOPRI.</t>
  </si>
  <si>
    <t>0923-2508</t>
  </si>
  <si>
    <t>1769-7123</t>
  </si>
  <si>
    <t>RES MICROBIOL</t>
  </si>
  <si>
    <t>Res. Microbiol.</t>
  </si>
  <si>
    <t>10.1016/j.resmic.2011.07.007</t>
  </si>
  <si>
    <t>871FE</t>
  </si>
  <si>
    <t>WOS:000298722500005</t>
  </si>
  <si>
    <t>Arakaki, N; Alveal, K; Ramírez, ME; Fredericq, S</t>
  </si>
  <si>
    <t>Arakaki, Natalia; Alveal, Krisler; Eliana Ramirez, Maria; Fredericq, Suzanne</t>
  </si>
  <si>
    <t>The genus Callophyllis (Kallymeniaceae, Rhodophyta) from the central-south Chilean coast (33° to 41° S), with the description of two new species</t>
  </si>
  <si>
    <t>REVISTA CHILENA DE HISTORIA NATURAL</t>
  </si>
  <si>
    <t>Callophyllis; Chile; Kallymeniaceae; rbcL; Rhodophyta; systematics</t>
  </si>
  <si>
    <t>SYSTEMATICS; GIGARTINACEAE</t>
  </si>
  <si>
    <t>The taxonomic status of the species in the genus Callophyllis Kutzing (Kallymeniaceae, Rhodophyta) from central-south Chile (33 degrees to 41 degrees S) is examined on the basis of morphological and molecular evidence. Of the four species originally cited for central Chile, C. variegata, C. pinnata, C. atrosanguinea and C. laciniata, only the presence of C. variegata has been confirmed in this study. C. pinnata reported from Chile is found to be different from C. pinnata described from California, and it is here newly described as C. concepcionensis sp. nov. C. atrosanguinea from southern Chile (including C. linguata from the Antarctic Peninsula) is distinct from the species called C. atrosanguinea from central-south Chile, the latter which is here described as C. macrostiolata sp. nov. C. variegata, C. concepcionensis and C. macrostiolata are distinguished from one another by their external habit, the nature and distribution of their cystocarps, and the female reproductive morphology. Comparative rbcL sequence analysis corroborates the distinction of these taxa from central-south Chile and their relationships to other species worldwide.</t>
  </si>
  <si>
    <t>[Arakaki, Natalia; Alveal, Krisler] Univ Concepcion, Fac Ciencias Nat &amp; Oceanog, Concepcion, Chile; [Eliana Ramirez, Maria] Museo Nacl Hist Nat, Santiago, Chile; [Arakaki, Natalia; Fredericq, Suzanne] Univ Louisiana Lafayette, Lafayette, LA 70504 USA</t>
  </si>
  <si>
    <t>Universidad de Concepcion; University of Louisiana Lafayette</t>
  </si>
  <si>
    <t>Arakaki, N (corresponding author), Univ Concepcion, Fac Ciencias Nat &amp; Oceanog, Casilla 160-C, Concepcion, Chile.</t>
  </si>
  <si>
    <t>natyarakaki@yahoo.com</t>
  </si>
  <si>
    <t>Arakaki Makishi, Natalia Cristina/0000-0002-7543-3500</t>
  </si>
  <si>
    <t>University of Concepcion [PI 96-112-036-1.0]; NSF [DEB-0743024, DEB-0919508, DEB-0936855]; Division Of Environmental Biology; Direct For Biological Sciences [0937978, 0743024] Funding Source: National Science Foundation; Division Of Environmental Biology; Direct For Biological Sciences [0919508, 1045690] Funding Source: National Science Foundation</t>
  </si>
  <si>
    <t>University of Concepcion; NSF(National Science Foundation (NSF)); Division Of Environmental Biology; Direct For Biological Sciences(National Science Foundation (NSF)NSF - Directorate for Biological Sciences (BIO)); Division Of Environmental Biology; Direct For Biological Sciences(National Science Foundation (NSF)NSF - Directorate for Biological Sciences (BIO))</t>
  </si>
  <si>
    <t>We thank Gloria Collantes (University of Valparaiso, Chile), Bruno de Reviers (National Museum of Natural History, Paris), Patrick Martone (Stanford University), and all the collectors listed in Table I for providing specimens used in this study. This research was funded by a University of Concepcion grant (PI 96-112-036-1.0), and NSF DEB-0743024, DEB-0919508 and DEB-0936855 to SE</t>
  </si>
  <si>
    <t>SOC BIOLGIA CHILE</t>
  </si>
  <si>
    <t>SANTIAGO</t>
  </si>
  <si>
    <t>CASILLA 16164, SANTIAGO 9, CHILE</t>
  </si>
  <si>
    <t>0716-078X</t>
  </si>
  <si>
    <t>0717-6317</t>
  </si>
  <si>
    <t>REV CHIL HIST NAT</t>
  </si>
  <si>
    <t>Rev. Chil. Hist. Nat.</t>
  </si>
  <si>
    <t>10.4067/S0716-078X2011000400002</t>
  </si>
  <si>
    <t>907CY</t>
  </si>
  <si>
    <t>WOS:000301396600002</t>
  </si>
  <si>
    <t>Hill, PW; Farrell, M; Roberts, P; Farrar, J; Grant, H; Newsham, KK; Hopkins, DW; Bardgett, RD; Jones, DL</t>
  </si>
  <si>
    <t>Hill, Paul W.; Farrell, Mark; Roberts, Paula; Farrar, John; Grant, Helen; Newsham, Kevin K.; Hopkins, David W.; Bardgett, Richard D.; Jones, Davey L.</t>
  </si>
  <si>
    <t>Soil- and enantiomer-specific metabolism of amino acids and their peptides by Antarctic soil microorganisms</t>
  </si>
  <si>
    <t>SOIL BIOLOGY &amp; BIOCHEMISTRY</t>
  </si>
  <si>
    <t>Oligopeptide; Isomer; Dissolved organic nitrogen; DON; Carbon cycling; Mineralization; C-14; Permafrost</t>
  </si>
  <si>
    <t>ALANINE RACEMASE; ORGANIC NITROGEN; MINERALIZATION; RESPIRATION; GROWTH; CARBON; ASSIMILATION; RACEMIZATION; DIPEPTIDES; CHEMISTRY</t>
  </si>
  <si>
    <t>Most nitrogen (N) enters many Arctic and Antarctic soil ecosystems as protein. Soils in these polar environments frequently contain large stocks of proteinaceous organic matter, which has decomposed slowly due to low temperatures. In addition to proteins, considerable quantities of D-amino acids and their peptides enter soil from bacteria and lengthy residence times can lead to racemisation of L-amino acids in stored proteins. It has been predicted that climate warming in polar environments will lead to increased rates of soil organic N turnover (i.e. amino acids and peptides of both enantiomers). However, our understanding of organic N breakdown in these soils is very limited. To address this, we tested the influence of chain length and enantiomeric composition on the rate of breakdown of amino acids and peptides in three contrasting tundra soils formed under the grass, moss or lichen-dominated primary producer communities of Signy Island in the South Orkney Islands. Both D- and L-enantiomers of the amino acid monomer were rapidly mineralized to CO2 at rates in line with those found for L-amino acids in many other terrestrial ecosystems. In all three soils, L-peptides were decomposed faster than their amino acid monomer, suggesting a different route of microbial assimilation and catabolism. D-peptides followed the same mineralization pattern as L-peptides in the two contrasting soils under grass and lichens, but underwent relatively slow decomposition in the soil underneath moss, which was similar to the soil under the grass. We conclude that the decomposition of peptides of L-amino acids may be widely conserved amongst soil microorganisms, whereas the decomposition of peptides of D-amino acids may be altered by subtle differences between soils. We further conclude that intense competition exists in soil microbial communities for the capture of both peptides and amino acids produced from protein breakdown. (C) 2011 Elsevier Ltd. All rights reserved.</t>
  </si>
  <si>
    <t>[Hill, Paul W.; Farrell, Mark; Roberts, Paula; Farrar, John; Jones, Davey L.] Bangor Univ, Environm Ctr Wales, Bangor LL57 2UW, Gwynedd, Wales; [Farrell, Mark; Bardgett, Richard D.] Univ Lancaster, Lancaster Environm Ctr, Lancaster LA1 4YQ, England; [Farrell, Mark] CSIRO Land &amp; Water, PMB2, Glen Osmond, SA 5064, Australia; [Grant, Helen] Lancaster Environm Ctr, Life Sci Mass Spectrometry Facility, Lancaster LA1 4AP, England; [Newsham, Kevin K.] British Antarctic Survey, Ecosyst Programme, Nat Environm Res Council, Cambridge CB3 OET, England; [Hopkins, David W.] Heriot Watt Univ, Sch Life Sci, Edinburgh EH14 4AS, Midlothian, Scotland</t>
  </si>
  <si>
    <t>Bangor University; Lancaster University; Commonwealth Scientific &amp; Industrial Research Organisation (CSIRO); Lancaster University; UK Research &amp; Innovation (UKRI); Natural Environment Research Council (NERC); NERC British Antarctic Survey; Heriot Watt University</t>
  </si>
  <si>
    <t>Hill, PW (corresponding author), Bangor Univ, Environm Ctr Wales, Bangor LL57 2UW, Gwynedd, Wales.</t>
  </si>
  <si>
    <t>p.w.hill@bangor.ac.uk</t>
  </si>
  <si>
    <t>jones, davey/C-7411-2011; Hill, Paul W/C-2944-2013; Farrell, Mark/C-3676-2011; Jones, Davey/AAD-6037-2020; Roberts, Paula/B-4564-2011</t>
  </si>
  <si>
    <t>jones, davey/0000-0002-1482-4209; Farrell, Mark/0000-0003-4562-2738; Hopkins, David/0000-0003-0953-8643</t>
  </si>
  <si>
    <t>UK Natural Environment Research Council [AFI8/08]; NERC [NE/D00893X/1, NE/E013732/1, lsmsf010003, bas0100025] Funding Source: UKRI; Natural Environment Research Council [lsmsf010003, ceh010023, NE/D00893X/1, NE/E013732/1, bas0100025] Funding Source: researchfish</t>
  </si>
  <si>
    <t>We thank Paul Torode for assistance with fieldwork, Sergio Favero-Longo for lichen identification, Gareth Williams, Francis Guyver, Agnese Bitozzi and Darren Rowlands for analytical assistance, and British Antarctic Survey staff who are too numerous to mention by name. Thanks to Phil Hobbs of North Wyke Research for GC-MS analysis. Special thanks to Jonathan Roberts. This work was funded by UK Natural Environment Research Council grant AFI8/08.</t>
  </si>
  <si>
    <t>0038-0717</t>
  </si>
  <si>
    <t>SOIL BIOL BIOCHEM</t>
  </si>
  <si>
    <t>Soil Biol. Biochem.</t>
  </si>
  <si>
    <t>10.1016/j.soilbio.2011.08.006</t>
  </si>
  <si>
    <t>Soil Science</t>
  </si>
  <si>
    <t>848WB</t>
  </si>
  <si>
    <t>WOS:000297084700007</t>
  </si>
  <si>
    <t>Jian, LK; Russell, CT; Luhmann, JG</t>
  </si>
  <si>
    <t>Jian, L. K.; Russell, C. T.; Luhmann, J. G.</t>
  </si>
  <si>
    <t>Comparing Solar Minimum 23/24 with Historical Solar Wind Records at 1 AU</t>
  </si>
  <si>
    <t>SOLAR PHYSICS</t>
  </si>
  <si>
    <t>CORONAL MASS EJECTIONS; HELIOSPHERIC CURRENT SHEET; MAGNETIC-FIELD; STREAM INTERACTIONS; INTERPLANETARY; EVOLUTION; PLASMA; HOLES; PARAMETER; PRESSURE</t>
  </si>
  <si>
    <t>Based on the variations of sunspot numbers, we choose a 1-year interval at each solar minimum from the beginning of the acquisition of solar wind measurements in the ecliptic plane and at 1 AU. We take the period of July 2008 -aEuro parts per thousand June 2009 to represent the solar minimum between Solar Cycles 23 and 24. In comparison with the previous three minima, this solar minimum has the slowest, least dense, and coolest solar wind, and the weakest magnetic field. As a result, the solar wind dynamic pressure, dawn-dusk electric field, and geomagnetic activity during this minimum are the weakest among the four minima. The weakening trend had already appeared during solar minimum 22/23, and it may continue into the next solar minimum. During this minimum, the galactic cosmic ray intensity reached the highest level in the space age, while the number of solar energetic proton events and the ground level enhancement events were the least. Using solar wind measurements near the Earth over 1995 -aEuro parts per thousand 2009, we have surveyed and characterized the large-scale solar wind structures, including fast-slow stream interaction regions (SIRs), interplanetary coronal mass ejections (ICMEs), and interplanetary shocks. Their solar cycle variations over the 15 years are studied comprehensively. In contrast with the previous minimum, we find that there are more SIRs and they recur more often during this minimum, probably because more low- and mid-latitude coronal holes and active regions emerged due to the weaker solar polar field than during the previous minimum. There are more shocks during this solar minimum, probably caused by the slower fast magnetosonic speed of the solar wind. The SIRs, ICMEs, and shocks during this minimum are generally weaker than during the previous minimum, but did not change as much as did the properties of the undisturbed solar wind.</t>
  </si>
  <si>
    <t>[Jian, L. K.; Russell, C. T.] Univ Calif Los Angeles, Inst Geophys &amp; Planetary Phys, Los Angeles, CA 90095 USA; [Luhmann, J. G.] Univ Calif Berkeley, Space Sci Lab, Berkeley, CA 94720 USA</t>
  </si>
  <si>
    <t>University of California System; University of California Los Angeles; University of California System; University of California Berkeley</t>
  </si>
  <si>
    <t>Jian, LK (corresponding author), Univ Calif Los Angeles, Inst Geophys &amp; Planetary Phys, Los Angeles, CA 90095 USA.</t>
  </si>
  <si>
    <t>jlan@igpp.ucla.edu</t>
  </si>
  <si>
    <t>Jian, Lan/B-4053-2010; Russell, Christopher/E-7745-2012</t>
  </si>
  <si>
    <t>Jian, Lan/0000-0002-6849-5527; Russell, Christopher/0000-0003-1639-8298</t>
  </si>
  <si>
    <t>NASA [NAS5-03131]</t>
  </si>
  <si>
    <t>NASA(National Aeronautics &amp; Space Administration (NASA))</t>
  </si>
  <si>
    <t>This work is supported by NASA's STEREO program through Grant NAS5-03131 administered by University of California, Berkeley. The OMNI data are obtained from the GSFC/SPDF OM-NIWeb interface at http://omniweb.gsfc.nasa.gov. We thank all the PIs who provided the data to the OMNI data set and all the people who constructed and maintained the OMNI data. We have used the Wind plasma and magnetic field data to identify large-scale solar wind structures. We thank the MIT and Goddard plasma team (A.J. Lazarus and K.W. Ogilvie), 3DP plasma team (R.P.Lin), and the magnetometer team (R.P.Lepping) for making these data available. We have incorporated ACE data in this study. We are grateful to the PIs of the plasma analyzer (D.J. McComas) and the magnetometer (C.W. Smith) for making these data publicly available. We acknowledge the Wilcox Solar Observatory for providing the data of solar polar field strength and the HCS inclination. We thank the cosmic ray station of the University of Oulu and Sodankyla Geophysical Observatory for providing the cosmic ray data. We thank Nick Arge for providing the coefficients needed for the PFSS model. We are grateful to the Australian Antarctic Data Center for providing the data base of cosmic ray GLE events.</t>
  </si>
  <si>
    <t>0038-0938</t>
  </si>
  <si>
    <t>1573-093X</t>
  </si>
  <si>
    <t>SOL PHYS</t>
  </si>
  <si>
    <t>Sol. Phys.</t>
  </si>
  <si>
    <t>10.1007/s11207-011-9737-2</t>
  </si>
  <si>
    <t>873ER</t>
  </si>
  <si>
    <t>WOS:000298864400018</t>
  </si>
  <si>
    <t>Lazzara, MA; Coletti, A; Diedrich, BL</t>
  </si>
  <si>
    <t>Lazzara, Matthew A.; Coletti, Alex; Diedrich, Benjamin L.</t>
  </si>
  <si>
    <t>The possibilities of polar meteorology, environmental remote sensing, communications and space weather applications from Artificial Lagrange Orbit</t>
  </si>
  <si>
    <t>ADVANCES IN SPACE RESEARCH</t>
  </si>
  <si>
    <t>Artificial Lagrange Orbit; Solar sail; Remote sensing; Space weather; Polar meteorology; Satellite composite</t>
  </si>
  <si>
    <t>The ability to observe meteorological events in the polar regions of the Earth from satellite celebrated an anniversary, with the launch of TIROS-I in a pseudo-polar orbit on 1 April 1960. Yet, after 50 years, polar orbiting satellites are still the best view of the polar regions of the Earth. The luxuries of geostationary satellite orbit including rapid scan operations, feature tracking, and atmospheric motion vectors (or cloud drift winds), are enjoyed only by the middle and tropical latitudes or perhaps only cover the deep polar regions in the case of satellite derived winds from polar orbit. The prospect of a solar sailing satellite system in an Artificial Lagrange Orbit (ALO, also known as pole sitters) offers the opportunity for polar environmental remote sensing, communications, forecasting and space weather monitoring. While there are other orbital possibilities to achieve this goal, an ALO satellite system offers one of the best analogs to the geostationary satellite system for routine polar latitude observations. A summary is given of the current on-going activities using composite satellite imagery over both Arctic and Antarctic regions. The use of both polar orbiting and geostationary satellite imagery together currently provide the best continental and hemispheric view of these regions, and provide an analog for what could be possible from an ALO satellite platform. How the composites are made as well as a brief description of applications is discussed. Potential user applications of environmental remote sensing from an ALO satellite platform are outlined along with critical space weather observations. In addition, the increasing need for communication and data relay in the remote polar-regions is reviewed along with an ALO satellite system potential capability to relay data from other satellite constellations. These current efforts foreshadow only a portion of the possibilities that are desired by the user community. (C) 2011 COSPAR. Published by Elsevier Ltd. All rights reserved.</t>
  </si>
  <si>
    <t>[Lazzara, Matthew A.] Univ Wisconsin, Antarctic Meteorol Res Ctr, Space Sci &amp; Engn Ctr, Madison, WI 53706 USA; [Coletti, Alex] SM Res Corp, Washington, DC 20706 USA; [Diedrich, Benjamin L.] NOAA Satellite &amp; Informat Serv, Off Syst Dev, Silver Spring, MD 20910 USA</t>
  </si>
  <si>
    <t>University of Wisconsin System; University of Wisconsin Madison; National Oceanic Atmospheric Admin (NOAA) - USA</t>
  </si>
  <si>
    <t>Lazzara, MA (corresponding author), Univ Wisconsin, Antarctic Meteorol Res Ctr, Space Sci &amp; Engn Ctr, 1225 W Dayton St, Madison, WI 53706 USA.</t>
  </si>
  <si>
    <t>mattl@ssec.wisc.edu; acoletti@smrcusa.com; ben.diedrich@noaa.gov</t>
  </si>
  <si>
    <t>Coletti, Alex/0000-0002-6263-1831; Lazzara, Matthew/0000-0002-4343-498X</t>
  </si>
  <si>
    <t>National Science Foundation [ANT-0537827, ARC-0713843, ANT-0838834]; Office of Polar Programs (OPP); Directorate For Geosciences [0838834] Funding Source: National Science Foundation</t>
  </si>
  <si>
    <t>National Science Foundation(National Science Foundation (NSF)); Office of Polar Programs (OPP); Directorate For Geosciences(National Science Foundation (NSF)NSF - Directorate for Geosciences (GEO))</t>
  </si>
  <si>
    <t>The authors would like to thank two anonymous reviewers for their helpful comments in improving this manuscript. The authors would like to acknowledge the National Science Foundation Grants #ANT-0537827, #ARC-0713843, and #ANT-0838834 for partial support of this activity. Thanks also to Pat Mulligan at NOAA for her encouragement over the years. The views, opinions, and findings contained in this article are those of the authors and should not be construed as an official National Oceanic and Atmospheric Administration or US Government position, policy, or decision.</t>
  </si>
  <si>
    <t>0273-1177</t>
  </si>
  <si>
    <t>1879-1948</t>
  </si>
  <si>
    <t>ADV SPACE RES</t>
  </si>
  <si>
    <t>Adv. Space Res.</t>
  </si>
  <si>
    <t>10.1016/j.asr.2011.04.026</t>
  </si>
  <si>
    <t>Engineering, Aerospace; Astronomy &amp; Astrophysics; Geosciences, Multidisciplinary; Meteorology &amp; Atmospheric Sciences</t>
  </si>
  <si>
    <t>Engineering; Astronomy &amp; Astrophysics; Geology; Meteorology &amp; Atmospheric Sciences</t>
  </si>
  <si>
    <t>843NY</t>
  </si>
  <si>
    <t>WOS:000296680100019</t>
  </si>
  <si>
    <t>Kiriakoulakis, K; Blackbird, S; Ingels, J; Vanreusel, A; Wolff, GA</t>
  </si>
  <si>
    <t>Kiriakoulakis, Kostas; Blackbird, Sabena; Ingels, Jeroen; Vanreusel, Ann; Wolff, George A.</t>
  </si>
  <si>
    <t>Organic geochemistry of submarine canyons: The Portuguese Margin</t>
  </si>
  <si>
    <t>Portuguese Continental Margin; Organic geochemistry; Submarine canyons; Organic matter preservation; Terrestrial organic matter; Lipid biomarkers</t>
  </si>
  <si>
    <t>EUROPEAN CONTINENTAL-MARGIN; NUMERICAL MODEL COMPARISONS; RECENT SEDIMENT TRANSPORT; WESTERN IBERIAN MARGIN; FATTY-ACIDS; NE ATLANTIC; TAXONOMIC SIGNIFICANCE; ANTARCTIC ZOOPLANKTON; BENTHIC FORAMINIFERA; BALTIMORE CANYON</t>
  </si>
  <si>
    <t>The organic geochemistry of the Portuguese Margin of the North-Eastern Atlantic Ocean reveals a highly heterogeneous environment that is strongly influenced by canyons that incise the continental margin. Suspended particulate organic matter (sPOM) is funnelled through the canyons to the deep sea, particularly in the Nazare Canyon where there are high concentrations of sPOM even at &gt; 2000 m water depth. The nature of the sPOM through the water column varies, with that transported through the canyons having higher contributions of terrestrial organic matter (higher C/N and larger contribution of land plant-derived lipids) than sPOM in overlying waters and close to the seafloor on the adjacent slope. Zooplankton-derived lipids dominate sPOM associated with the upper and lower boundaries of the Mediterranean Overflow Water (MOW similar to 600 and 1500 m, respectively). Canyon sediments are enriched in organic carbon when compared to slope sediments, but sedimentary organic matter also appears to derive from multiple sources and undergoes significant alteration prior to deposition. On the open slope, low sedimentation rates and long oxygen exposure times lead to intensive oxidation of organic matter. (C) 2011 Elsevier Ltd. All rights reserved.</t>
  </si>
  <si>
    <t>[Kiriakoulakis, Kostas; Blackbird, Sabena; Wolff, George A.] Univ Liverpool, Sch Environm Sci, Liverpool L69 3GP, Merseyside, England; [Kiriakoulakis, Kostas] Liverpool John Moores Univ, Sch Nat Sci &amp; Psychol, Liverpool L3 3AF, Merseyside, England; [Ingels, Jeroen; Vanreusel, Ann] Univ Ghent, Dept Marine Biol, B-9000 Ghent, Belgium</t>
  </si>
  <si>
    <t>University of Liverpool; Liverpool John Moores University; Ghent University</t>
  </si>
  <si>
    <t>Wolff, GA (corresponding author), Univ Liverpool, Sch Environm Sci, 4 Brownlow St, Liverpool L69 3GP, Merseyside, England.</t>
  </si>
  <si>
    <t>wolff@liv.ac.uk</t>
  </si>
  <si>
    <t>; Wolff, George/B-7982-2018; Ingels, Jeroen/A-1691-2008</t>
  </si>
  <si>
    <t>Kiriakoulakis, Konstadinos/0000-0002-6136-5332; Blackbird, Sabena/0000-0003-0942-6836; Wolff, George/0000-0002-9380-1039; Ingels, Jeroen/0000-0001-8342-2222</t>
  </si>
  <si>
    <t>EC [GOCE511234, 226354]; HERMES; European Commission</t>
  </si>
  <si>
    <t>EC(European Union (EU)European Commission Joint Research Centre); HERMES(European Union (EU)); European Commission(European Union (EU)European Commission Joint Research Centre)</t>
  </si>
  <si>
    <t>This research was funded by EC contract GOCE511234, the HERMES project, funded by the European Commission's Sixth Framework Programme and the EC FP7 HERMIONE project (Grant No. 226354). We thank the crew, officers and captain of the RRS Charles Darwin, Discovery and James Cook and the technical and scientific shipboard parties. We are also grateful to Drs. Jens Holtvoeth and Elizabeth Fisher for useful discussions and Prof. Richard Pancost and an anonymous reviewer for helpful comments on an earlier version of the manuscript.</t>
  </si>
  <si>
    <t>23-24</t>
  </si>
  <si>
    <t>10.1016/j.dsr2.2011.04.010</t>
  </si>
  <si>
    <t>846VV</t>
  </si>
  <si>
    <t>WOS:000296932200012</t>
  </si>
  <si>
    <t>Hafsteinsdóttir, EG; White, DA; Gore, DB; Stark, SC</t>
  </si>
  <si>
    <t>Hafsteinsdottir, Erla G.; White, Duanne A.; Gore, Damian B.; Stark, Scott C.</t>
  </si>
  <si>
    <t>Products and stability of phosphate reactions with lead under freeze-thaw cycling in simple systems</t>
  </si>
  <si>
    <t>Metal fixation; Freeze-thaw; Lead minerals; Phosphate; Pyromorphite</t>
  </si>
  <si>
    <t>HEAVY-METAL STABILIZATION; IMMOBILIZATION; CHLOROPYROMORPHITE; SOIL; ORTHOPHOSPHATES; PRECIPITATION; SEDIMENTS; REGION; ORIGIN; IMPACT</t>
  </si>
  <si>
    <t>Orthophosphate fixation fixation of metal contaminated soils in environments that undergo freeze thaw cycles is understudied. Freeze thaw cycling potentially influences the reaction rate, mineral chemical stability and physical breakdown of particles during fixation. This study determines what products form when phosphate (triple superphosphate [Ca(H2PO4)(2)] or sodium phosphate [Na3PO4]) reacts with lead (PbSO4 or PbCl2) in simple chemical systems in vitro, and assesses potential changes in formation during freeze-thaw cycles. Systems were subjected to multiple freeze-thaw cycles from +10 degrees C to -20 degrees C and then analysed by X-ray diffractometry. Pyromorphite formed in all systems and was stable over multiple freeze-thaw cycles. Low temperature lead orthophosphate reaction efficiency varied according to both phosphate and lead source; the most time-efficient pyromorphite formation was observed when PbSO4 and Na3PO4 were present together. These findings have implications for the manner in which metal contaminated materials in freezing ground can be treated with phosphate. (C) 2011 Elsevier Ltd. All rights reserved.</t>
  </si>
  <si>
    <t>[Hafsteinsdottir, Erla G.; White, Duanne A.; Gore, Damian B.] Macquarie Univ, Dept Environm &amp; Geog, N Ryde, NSW 2109, Australia; [Stark, Scott C.] Australian Antarctic Div, Dept Sustainabil Environm Water Populat &amp; Communi, Kingston, Tas 7050, Australia</t>
  </si>
  <si>
    <t>Hafsteinsdóttir, EG (corresponding author), Macquarie Univ, Dept Environm &amp; Geog, N Ryde, NSW 2109, Australia.</t>
  </si>
  <si>
    <t>erla.hafsteinsdottir@gmail.com; duanne.white@mq.edu.au; damian.gore@mq.edu.au; scott.stark@aad.gov.au</t>
  </si>
  <si>
    <t>White, Duanne A/E-6919-2012</t>
  </si>
  <si>
    <t>White, Duanne/0000-0003-0740-2072; Gore, Damian/0000-0002-0377-8518</t>
  </si>
  <si>
    <t>Australian Antarctic Division [AAS2937]; Australian Research Council, PANalytical and Veolia Environmental Services [LP0776373]; Australian Research Council [LP0776373] Funding Source: Australian Research Council</t>
  </si>
  <si>
    <t>Australian Antarctic Division; Australian Research Council, PANalytical and Veolia Environmental Services(Australian Research Council); Australian Research Council(Australian Research Council)</t>
  </si>
  <si>
    <t>We thank the Australian Antarctic Division (AAS2937), and the Australian Research Council, PANalytical and Veolia Environmental Services for financial support under Linkage Project LP0776373. The industry sponsors did not contribute to, but have approved, the design, conduct and publication of this research.</t>
  </si>
  <si>
    <t>10.1016/j.envpol.2011.08.026</t>
  </si>
  <si>
    <t>839VJ</t>
  </si>
  <si>
    <t>WOS:000296397300030</t>
  </si>
  <si>
    <t>Lanzarotti, E; Pellizza, L; Bercovich, A; Foti, M; Coria, SH; Vazquez, SC; Ruberto, L; Hernández, EA; Dias, RL; Mac Cormack, WP; Cicero, DO; Smal, C; Nicolas, MF; Vasconcelos, ATR; Marti, MA; Turjanski, AG</t>
  </si>
  <si>
    <t>Lanzarotti, Esteban; Pellizza, Leonardo; Bercovich, Andres; Foti, Marcelo; Coria, Silvia H.; Vazquez, Susana C.; Ruberto, Lucas; Hernandez, Edgardo A.; Dias, Romina L.; Mac Cormack, Walter P.; Cicero, Daniel O.; Smal, Clara; Nicolas, Marisa Fabiana; Ribeiro Vasconcelos, Ana Tereza; Marti, Marcelo A.; Turjanski, Adrian G.</t>
  </si>
  <si>
    <t>Draft Genome Sequence of Bizionia argentinensis, Isolated from Antarctic Surface Water</t>
  </si>
  <si>
    <t>JOURNAL OF BACTERIOLOGY</t>
  </si>
  <si>
    <t>SP-NOV.; FAMILY FLAVOBACTERIACEAE</t>
  </si>
  <si>
    <t>A psychrotolerant marine bacterial strain, designated JUB59(T), was isolated from Antarctic surface seawater and classified as a new species of the genus Bizionia. Here, we present the first draft genome sequence for this genus, which suggests interesting features such as UV resistance, hydrolytic exoenzymes, and nitrogen metabolism.</t>
  </si>
  <si>
    <t>[Coria, Silvia H.; Hernandez, Edgardo A.; Mac Cormack, Walter P.] Inst Antartico Argentino, Buenos Aires, DF, Argentina; [Vazquez, Susana C.; Ruberto, Lucas; Mac Cormack, Walter P.] Univ Buenos Aires, Fac Farm &amp; Bioquim, RA-1113 Buenos Aires, DF, Argentina; [Vazquez, Susana C.; Ruberto, Lucas; Hernandez, Edgardo A.; Dias, Romina L.] Consejo Nacl Invest Cient &amp; Tecn CONICET, Buenos Aires, DF, Argentina; [Lanzarotti, Esteban; Pellizza, Leonardo; Marti, Marcelo A.; Turjanski, Adrian G.] Univ Buenos Aires, Fac Ciencias Exactas &amp; Nat, Dept Quim Inorgan Analit &amp; Quim Fis, INQUIMAE CONICET, Buenos Aires, DF, Argentina; [Lanzarotti, Esteban; Pellizza, Leonardo; Marti, Marcelo A.; Turjanski, Adrian G.] Univ Buenos Aires, Fac Ciencias Exactas &amp; Nat, Dept Quim Biol, Buenos Aires, DF, Argentina; [Bercovich, Andres; Foti, Marcelo] Biosidus SA, Buenos Aires, DF, Argentina; [Cicero, Daniel O.; Smal, Clara] Fdn Inst Leloir, Buenos Aires, DF, Argentina; [Nicolas, Marisa Fabiana; Ribeiro Vasconcelos, Ana Tereza] Lab Nacl Comp Cient, BR-25651075 Quitandinha, Petropolis, Brazil</t>
  </si>
  <si>
    <t>Instituto Antartico Argentino; University of Buenos Aires; Consejo Nacional de Investigaciones Cientificas y Tecnicas (CONICET); Consejo Nacional de Investigaciones Cientificas y Tecnicas (CONICET); University of Buenos Aires; University of Buenos Aires; Leloir Institute; Laboratorio Nacional de Computacao Cientifica (LNCC)</t>
  </si>
  <si>
    <t>Turjanski, AG (corresponding author), Int Guiraldes 2620,Ciudad Univ,C1428EHA, Buenos Aires, DF, Argentina.</t>
  </si>
  <si>
    <t>adrian@qi.fcen.uba.ar</t>
  </si>
  <si>
    <t>Cicero, Daniel/AAV-5203-2021; Vasconcelos, Ana Carolina Souza de/GXW-3453-2022; Vazquez, Susana/AEP-5214-2022; NICOLAS, MARISA FABIANA/H-4930-2019; Vasconcelos, Ana Tereza/I-1011-2012</t>
  </si>
  <si>
    <t>Vazquez, Susana/0000-0002-0760-6254; NICOLAS, MARISA FABIANA/0000-0002-5437-2737; Turjanski, Adrian/0000-0003-2190-137X; Marti, Marcelo/0000-0002-7911-9340; Vasconcelos, Ana Tereza/0000-0002-4632-2086; Ruberto, Lucas Adolfo Mauro/0000-0001-5604-772X; Mac Cormack, Walter/0000-0002-5280-5463</t>
  </si>
  <si>
    <t>Agencia Nacional de Promocion Cientifica y Tecnologica, Argentina [PID-2011-006]; Universidad de Buenos Aires [08-X499]; ANPCYT [06-5203]; Conicet [PIP 01207]</t>
  </si>
  <si>
    <t>Agencia Nacional de Promocion Cientifica y Tecnologica, Argentina(ANPCyT); Universidad de Buenos Aires(University of Buenos Aires); ANPCYT(ANPCyT); Conicet(Consejo Nacional de Investigaciones Cientificas y Tecnicas (CONICET))</t>
  </si>
  <si>
    <t>This work was partially supported by grants from the Agencia Nacional de Promocion Cientifica y Tecnologica, Argentina, PID-2011-006, from Universidad de Buenos Aires 08-X499 to A.G.T., ANPCYT 06-5203 to A.G.T., and Conicet PIP 01207 to M.A.M. and A.G.T. C.S., D.O.C., A.G.T., and M.A.M. are members of CONICET.</t>
  </si>
  <si>
    <t>0021-9193</t>
  </si>
  <si>
    <t>1098-5530</t>
  </si>
  <si>
    <t>J BACTERIOL</t>
  </si>
  <si>
    <t>J. Bacteriol.</t>
  </si>
  <si>
    <t>10.1128/JB.06245-11</t>
  </si>
  <si>
    <t>845AQ</t>
  </si>
  <si>
    <t>WOS:000296795600043</t>
  </si>
  <si>
    <t>Leon, GR; Sandal, GM; Larsen, E</t>
  </si>
  <si>
    <t>Leon, Gloria R.; Sandal, Gro Mjeldheim; Larsen, Eric</t>
  </si>
  <si>
    <t>Human performance in polar environments</t>
  </si>
  <si>
    <t>JOURNAL OF ENVIRONMENTAL PSYCHOLOGY</t>
  </si>
  <si>
    <t>Polar regions; Extreme environments; Expeditioner narrative; Space analog</t>
  </si>
  <si>
    <t>PERSONALITY-CHARACTERISTICS; COPING STRATEGIES; ANTARCTIC WINTER; EXPEDITION; BEHAVIOR; ANALOG; EXPERIENCES; ADJUSTMENT; ADAPTATION; PSYCHOLOGY</t>
  </si>
  <si>
    <t>An overview of the physical, psychological, social, and coping aspects of living and working in polar regions is presented, assessing findings from both expedition teams and work groups. A personal narrative describing the experiences of a polar expeditioner is interspersed in relevant sections to provide a deeper understanding of the challenges of performing in an extreme environment. The application of findings from polar environments as an analog for space missions is discussed. We conclude that further research is needed on the integration of psychosocial and neurobehavioral adaptation. Furthermore, it is important to consider both the positive as well as negative features of living and working in polar and other extreme environments, and develop training strategies and countermeasure tools to optimize performance in these conditions. (C) 2011 Elsevier Ltd. All rights reserved.</t>
  </si>
  <si>
    <t>[Leon, Gloria R.] Univ Minnesota, Dept Psychol, Minneapolis, MN 55455 USA; [Sandal, Gro Mjeldheim] Univ Bergen, Bergen, Norway</t>
  </si>
  <si>
    <t>University of Minnesota System; University of Minnesota Twin Cities; University of Bergen</t>
  </si>
  <si>
    <t>Leon, GR (corresponding author), Univ Minnesota, Dept Psychol, Elliott Hall,75 E River Rd, Minneapolis, MN 55455 USA.</t>
  </si>
  <si>
    <t>leonx003@umn.edu</t>
  </si>
  <si>
    <t>Sandal, Gro Mjeldheim/0000-0001-9017-9654</t>
  </si>
  <si>
    <t>0272-4944</t>
  </si>
  <si>
    <t>1522-9610</t>
  </si>
  <si>
    <t>J ENVIRON PSYCHOL</t>
  </si>
  <si>
    <t>J. Environ. Psychol.</t>
  </si>
  <si>
    <t>10.1016/j.jenvp.2011.08.001</t>
  </si>
  <si>
    <t>Environmental Studies; Psychology, Multidisciplinary</t>
  </si>
  <si>
    <t>Environmental Sciences &amp; Ecology; Psychology</t>
  </si>
  <si>
    <t>841WY</t>
  </si>
  <si>
    <t>WOS:000296547100010</t>
  </si>
  <si>
    <t>Nielsen, SN; Salazar, C</t>
  </si>
  <si>
    <t>Nielsen, Sven N.; Salazar, Christian</t>
  </si>
  <si>
    <t>Eutrephoceras subplicatum (Steinmann, 1895) is a junior synonym of Eutrephoceras dorbignyanum (Forbes in Darwin, 1846) (Cephalopoda, Nautiloidea) from the Maastrichtian Quiriquina Formation of Chile</t>
  </si>
  <si>
    <t>CRETACEOUS RESEARCH</t>
  </si>
  <si>
    <t>Chile; Eutrephoceras; Maastrichtian; Nautilidae; Quiriquina Formation</t>
  </si>
  <si>
    <t>Nautilus subplicatus Steinmann, 1895 is a latest Cretaceous species of nautiloid which is common in southern South America (Chile, Argentina) and the Antarctic Peninsula and which is best assigned to the genus Eutrephoceras Hyatt, 1894. Nautilus dorbignyanus Forbes in Darwin, 1846 and Nautilus valenciennii Hupe in Gay, 1854 are here considered to be senior synonyms which later authors have apparently overlooked. The type material of these two taxa is reillustrated. On the basis of this and additional material it is demonstrated that only a single nautiloid species occurs in the Quiriquina Formation of late Maastrichtian age. For this we propose to use N. dorbignyanus as the oldest available name. (C) 2011 Elsevier Ltd. All rights reserved.</t>
  </si>
  <si>
    <t>[Nielsen, Sven N.] Univ Kiel, Inst Geowissensch, D-24118 Kiel, Germany; [Salazar, Christian] Univ Heidelberg, Inst Geowissensch, INF 234, D-69120 Heidelberg, Germany</t>
  </si>
  <si>
    <t>University of Kiel; Ruprecht Karls University Heidelberg</t>
  </si>
  <si>
    <t>Nielsen, SN (corresponding author), Univ Kiel, Inst Geowissensch, Ludewig Meyn Str 10, D-24118 Kiel, Germany.</t>
  </si>
  <si>
    <t>nielsen@gpi.uni-kiel.de</t>
  </si>
  <si>
    <t>Salazar, Christian/GQQ-3188-2022; Nielsen, Sven N/A-2187-2009</t>
  </si>
  <si>
    <t>Salazar, Christian/0000-0002-9436-4950; Nielsen, Sven N/0000-0003-2064-8050</t>
  </si>
  <si>
    <t>0195-6671</t>
  </si>
  <si>
    <t>CRETACEOUS RES</t>
  </si>
  <si>
    <t>Cretac. Res.</t>
  </si>
  <si>
    <t>10.1016/j.cretres.2011.05.012</t>
  </si>
  <si>
    <t>823IB</t>
  </si>
  <si>
    <t>WOS:000295114600016</t>
  </si>
  <si>
    <t>Strutton, PG; Martz, TR; DeGrandpre, MD; McGillis, WR; Drennan, WM; Boss, E</t>
  </si>
  <si>
    <t>Strutton, Peter G.; Martz, Todd R.; DeGrandpre, Michael D.; McGillis, Wade R.; Drennan, William M.; Boss, Emmanuel</t>
  </si>
  <si>
    <t>Bio-optical observations of the 2004 Labrador Sea phytoplankton bloom</t>
  </si>
  <si>
    <t>PARTICULATE BACKSCATTERING RATIO; CRITICAL DEPTH HYPOTHESIS; NORTH-ATLANTIC; OPTICAL BACKSCATTERING; CALANUS-FINMARCHICUS; PARTICLE COMPOSITION; DEEP-CONVECTION; CHLOROPHYLL-A; SPRING BLOOM; OCEAN</t>
  </si>
  <si>
    <t>A unique time series of moored bio-optical measurements documented the 2004 spring-summer bloom in the southern Labrador Sea. In situ and satellite chlorophyll data show that chlorophyll levels in the 2004 bloom were at the upper end of those typically observed in this region. Satellite chlorophyll and profiling float temperature/salinity data show that the main bloom, which typically peaks in June/July, is often preceded by ephemeral mixed layer shoaling and a lesser, short-lived bloom in May; this was the case ;in 2004. The particulate backscatter to beam attenuation ratio (b(bp)[470 nm]/C-p[660 nm]) showed peaks in the relative abundance of small particles at bloom initiation and during the decline of the bloom, while larger particles dominated during the bloom. Chlorophyll/C-p and b(bp)/chlorophyll were correlated with carbon export and dominated by changes in the pigment per cell associated with lower light levels due to enhanced attenuation of solar radiation during the bloom. An NPZ (nutrients, phytoplankton, zooplankton) model captured the phytoplankton bloom and an early July peak in zooplankton. Moored acoustic Doppler current profiler (ADCP) data showed an additional mid-June peak in zooplankton biomass which was attributed to egg-laying copepods. The data reported here represent one of the few moored time series of C-p, b(bp) and chlorophyll extending over several months in an open ocean region. Interpretation of data sets such as this will become increasingly important as these deployments become more commonplace via ocean observing systems. Moreover, these data contribute to the understanding of biological-physical coupling in a biogeochemically important, yet poorly studied region.</t>
  </si>
  <si>
    <t>[Strutton, Peter G.] Univ Tasmania, Inst Marine &amp; Antarctic Studies, Hobart, Tas 7001, Australia; [Martz, Todd R.] Univ Calif San Diego, Scripps Inst Oceanog, La Jolla, CA 92093 USA; [DeGrandpre, Michael D.] Univ Montana, Dept Chem &amp; Biochem, Missoula, MT 59812 USA; [McGillis, Wade R.] Columbia Univ, Lamont Doherty Earth Observ, Palisades, NY 10964 USA; [Drennan, William M.] Univ Miami, Rosenstiel Sch Marine &amp; Atmospher Sci, Miami, FL 33149 USA; [Boss, Emmanuel] Univ Maine, Sch Marine Sci, Orono, ME 04469 USA</t>
  </si>
  <si>
    <t>University of Tasmania; University of California System; University of California San Diego; Scripps Institution of Oceanography; University of Montana System; University of Montana; Columbia University; University of Miami; University of Maine System; University of Maine Orono</t>
  </si>
  <si>
    <t>Strutton, PG (corresponding author), Univ Tasmania, Inst Marine &amp; Antarctic Studies, Private Bag 129, Hobart, Tas 7001, Australia.</t>
  </si>
  <si>
    <t>peter.strutton@utas.edu.au</t>
  </si>
  <si>
    <t>Boss, Emmanuel/C-5765-2009; Boss, Emmanuel/AAF-2336-2019; Martz, Todd R/A-7704-2012; Strutton, Peter/C-4466-2011</t>
  </si>
  <si>
    <t>Boss, Emmanuel/0000-0002-8334-9595; Strutton, Peter/0000-0002-2395-9471; Martz, Todd/0000-0002-1996-7145; Drennan, William/0000-0003-1708-4311; DeGrandpre, Michael/0000-0003-1969-6709</t>
  </si>
  <si>
    <t>NSF Physical Oceanography; NSF Chemical Oceanography</t>
  </si>
  <si>
    <t>NSF Physical Oceanography(National Science Foundation (NSF)NSF - Directorate for Geosciences (GEO)); NSF Chemical Oceanography(National Science Foundation (NSF)NSF - Directorate for Geosciences (GEO))</t>
  </si>
  <si>
    <t>Mike Rebozo and Joe Gabriele were instrumental in the mooring deployments. Tim Cowles and Chris Wingard at Oregon State University loaned the ECO bio-optical instruments. Charlie Miller suggested readings on Calanus dynamics in the North Atlantic and Mike Behrenfeld read an earlier version of the manuscript. The crew of the Research Vessel Endeavor provided assistance during the deployment and recovery cruises. Wade Carden (Stony Brook University undergraduate) and Marshall Haueter (Oregon State University undergraduate) assisted with sampling and data analysis, respectively. SeaWiFS and MODIS data were provided by the Ocean Biology Processing Group (OBPG) at the NASA Goddard Space Flight Center. Satellite carbon data are disseminated by the Behrenfeld lab (http://www.science.oregonstate.edu/ocean.productivity/). Argo data were provided by the International Argo Project (http://www.argo.ucsd.eduandhttp://argo.jcommops.org). Pete Strutton was funded by NSF Chemical Oceanography, and the mooring deployment was funded by NSF Physical Oceanography.</t>
  </si>
  <si>
    <t>NOV 24</t>
  </si>
  <si>
    <t>C11037</t>
  </si>
  <si>
    <t>10.1029/2010JC006872</t>
  </si>
  <si>
    <t>853JQ</t>
  </si>
  <si>
    <t>WOS:000297422500001</t>
  </si>
  <si>
    <t>Zhang, SC; Sun, M; Li, T; Wang, QH; Hao, JH; Han, Y; Hu, XJ; Zhou, M; Lin, SX</t>
  </si>
  <si>
    <t>Zhang, Si-Cai; Sun, Mi; Li, Tang; Wang, Qi-Hai; Hao, Jian-Hua; Han, Yi; Hu, Xiao-Jian; Zhou, Ming; Lin, Sheng-Xiang</t>
  </si>
  <si>
    <t>Structure Analysis of a New Psychrophilic Marine Protease</t>
  </si>
  <si>
    <t>PSEUDOMONAS-AERUGINOSA; ALKALINE PROTEASE; ENZYMES; METALLOPROTEASE; INSIGHTS</t>
  </si>
  <si>
    <t>A new psychrophilic marine protease was found from a marine bacterium Flavobacterium YS-80 in the Chinese Yellow Sea. The protease is about 49 kD with an isoelectric point about 4.5. It consists of 480 amino acids and is homologous to a psychrophilic alkaline protease (PAP) from an Antarctic Pseudomonas species. The protein was purified from the natural bacterium fermented and crystallized. Its crystal structure (PDB ID 3U1R) was solved at 2.0 A by Molecular Replacement using a model based on PAP, and was refined to a crystallographic Rwork of 0.16 and an Rfree of 0.21. The marine protease consists of a two domain structure with an N-terminal domain including residues 37-264 and a C-terminal domain including residues 265-480. Similar to PAP, the N-terminal domain is responsible for proteolysis and the C-terminal is for stability. His186, His190, His196 and Tyr226 are ligands for the Zn2+ ion in the catalytic center. The enzyme's Tyr226 is closer to the Zn2+ ion than in PAP and it shows a stronger Zn2+_ Tyr-OH bond. There are eight calcium ions in the marine protease molecule and they have significantly shorter bond distances to their ligands compared to their counterparts in all three crystal forms of PAP. On the other hand, the loops in the marine protease are more compact than in PAP. This makes the total structure stable and less flexible, resulting in higher thermo stability. These properties are consistent with the respective environments of the proteases. The structural analysis of this new marine protease provides new information for the study of psychrophilic proteases and is helpful for elucidating the structure-environment adaptation of these enzymes.</t>
  </si>
  <si>
    <t>[Zhang, Si-Cai; Li, Tang; Wang, Qi-Hai; Lin, Sheng-Xiang] Chinese Acad Sci, Struct Biol Lab, Inst Biochem &amp; Cell Biol, Shanghai Inst Biol Sci, Shanghai, Peoples R China; [Sun, Mi; Hao, Jian-Hua] Chinese Acad Fisheries Sci, Yellow Sea Fishery Res Inst, Qingdao, Shandong, Peoples R China; [Han, Yi; Hu, Xiao-Jian; Zhou, Ming; Lin, Sheng-Xiang] CHUL Res Ctr CHUQ, Lab Oncol &amp; Mol Endocrinol, Quebec City, PQ, Canada; [Han, Yi; Hu, Xiao-Jian; Zhou, Ming; Lin, Sheng-Xiang] Univ Laval, Quebec City, PQ, Canada</t>
  </si>
  <si>
    <t>Chinese Academy of Sciences; Center for Excellence in Molecular Cell Science, CAS; Chinese Academy of Fishery Sciences; Yellow Sea Fisheries Research Institute, CAFS; Laval University; Laval University</t>
  </si>
  <si>
    <t>Zhang, SC (corresponding author), Chinese Acad Sci, Struct Biol Lab, Inst Biochem &amp; Cell Biol, Shanghai Inst Biol Sci, Shanghai, Peoples R China.</t>
  </si>
  <si>
    <t>sxlin@crchul.ulaval.ca</t>
  </si>
  <si>
    <t>Li, Tang/Q-5821-2018</t>
  </si>
  <si>
    <t>Li, Tang/0000-0001-6622-9471; Lin, Sheng-Xiang/0000-0001-9149-375X</t>
  </si>
  <si>
    <t>IBCB; SIB; Laboratory of Structural Biology with visiting scientists (IBCB, SIBS); CHUL (CHUQ) Research Center, Quebec, Canada; Chinese Science and Technology Ministry [2005DFA30830]</t>
  </si>
  <si>
    <t>IBCB; SIB; Laboratory of Structural Biology with visiting scientists (IBCB, SIBS); CHUL (CHUQ) Research Center, Quebec, Canada; Chinese Science and Technology Ministry</t>
  </si>
  <si>
    <t>This study has been financially supported by IBCB, SIBS; a collaborative agreement between the Laboratory of Structural Biology with visiting scientists (IBCB, SIBS) and CHUL (CHUQ) Research Center, Quebec, Canada, and by the international collaborative project The study of crystallographic structure and function of marine enzymes (2005DFA30830, Chinese Science and Technology Ministry) between Yellow Sea Fishery Research Institute and CHUL (CHUQ). The funders had no role in study design, data collection and analysis, decision to publish, or preparation of the manuscript.</t>
  </si>
  <si>
    <t>NOV 23</t>
  </si>
  <si>
    <t>e26939</t>
  </si>
  <si>
    <t>10.1371/journal.pone.0026939</t>
  </si>
  <si>
    <t>863KL</t>
  </si>
  <si>
    <t>WOS:000298162000008</t>
  </si>
  <si>
    <t>Kravtsov, S; Kamenkovich, I; Hogg, AM; Peters, JM</t>
  </si>
  <si>
    <t>Kravtsov, Sergey; Kamenkovich, Igor; Hogg, Andrew M.; Peters, John M.</t>
  </si>
  <si>
    <t>On the mechanisms of late 20th century sea-surface temperature trends over the Antarctic Circumpolar Current</t>
  </si>
  <si>
    <t>SOUTHERN ANNULAR MODE; HEMISPHERE CLIMATE-CHANGE; OVERTURNING CIRCULATION; OCEAN CIRCULATION; MESOSCALE EDDIES; PART II; WINDS; PARAMETERIZATION; SIMULATIONS; VARIABILITY</t>
  </si>
  <si>
    <t>The Antarctic Circumpolar Current (ACC), with its associated three-dimensional circulation, plays an important role in global climate. This study concentrates on surface signatures of recent climate change in the ACC region and on mechanisms that control this change. Examination of climate model simulations shows that they match the observed late 20th century sea-surface temperature (SST) trends averaged over this region quite well, despite underestimating the observed surface-wind increases. Such wind increases, however, are expected to lead to significant cooling of the region, contradicting the observed SST trends. Motivated by recent theories of the ACC response to variable wind and radiative forcing, the authors used two idealized models to assess contributions of various dynamical processes to the SST evolution in the region. In particular, a high-resolution channel model of the ACC responds to increasing winds by net surface ACC warming due to enhanced mesoscale turbulence and associated heat transports in the mixed layer. These fluxes, modeled, in a highly idealized fashion, via increased lateral surface mixing in a coarse-resolution hybrid climate model, substantially offset zonally non-uniform surface cooling due to air-sea flux and Ekman-transport anomalies. These results suggest that the combination of these opposing effects must be accounted for when estimating climate response to any external forcing in the ACC region.</t>
  </si>
  <si>
    <t>[Kravtsov, Sergey; Peters, John M.] Univ Wisconsin, Dept Math Sci, Atmospher Sci Grp, Milwaukee, WI 53201 USA; [Kamenkovich, Igor] Univ Miami, RSMAS, MPO, Miami, FL 33149 USA; [Hogg, Andrew M.] Australian Natl Univ, Res Sch Earth Sci, Canberra, ACT 0200, Australia</t>
  </si>
  <si>
    <t>University of Wisconsin System; University of Wisconsin Milwaukee; University of Miami; Australian National University</t>
  </si>
  <si>
    <t>Kravtsov, S (corresponding author), Univ Wisconsin, Dept Math Sci, Atmospher Sci Grp, Milwaukee, WI 53201 USA.</t>
  </si>
  <si>
    <t>kravtsov@uwm.edu</t>
  </si>
  <si>
    <t>Kravtsov, Sergey/ABA-2061-2020; Hogg, Andy McC./A-7553-2011; Hogg, Andy/AAZ-8733-2021; Kamenkovich, Igor/AAG-3451-2019</t>
  </si>
  <si>
    <t>Hogg, Andy McC./0000-0001-5898-7635; Hogg, Andy/0000-0001-5898-7635; Kamenkovich, Igor/0000-0001-6228-5599; Kravtsov, Sergey/0000-0003-3653-9596</t>
  </si>
  <si>
    <t>Office of Science (BER), U.S. Department of Energy (DOE) [DE-FG02-07ER64428]; UWM; NSF [OCE-0749723]; ARC [DP0877824]; Australian Research Council [DP0877824] Funding Source: Australian Research Council</t>
  </si>
  <si>
    <t>Office of Science (BER), U.S. Department of Energy (DOE)(United States Department of Energy (DOE)); UWM; NSF(National Science Foundation (NSF)); ARC(Australian Research Council); Australian Research Council(Australian Research Council)</t>
  </si>
  <si>
    <t>We are grateful to William Dewar, Till Kuhlbrodt, Peter Gent, Frank Bryan and three anonymous reviewers for useful comments on aspects of this work. This research was supported by the Office of Science (BER), U.S. Department of Energy (DOE) grant DE-FG02-07ER64428, as well as by 2009 UWM RGI grant (S. K. and J.M.P.), NSF grant OCE-0749723 (I.K.), and ARC Discovery Project DP0877824 (A.H.). We acknowledge modeling groups, PCMDI, and WCRP's WGCM for their roles in making CMIP3 set available, and DOE for this data set's support. ECMWF ERA-40 data used in this have been obtained from the ECMWF data server.</t>
  </si>
  <si>
    <t>C11034</t>
  </si>
  <si>
    <t>10.1029/2011JC007473</t>
  </si>
  <si>
    <t>853JP</t>
  </si>
  <si>
    <t>WOS:000297422400003</t>
  </si>
  <si>
    <t>Hodgson, DA</t>
  </si>
  <si>
    <t>Hodgson, Dominic A.</t>
  </si>
  <si>
    <t>First synchronous retreat of ice shelves marks a new phase of polar deglaciation</t>
  </si>
  <si>
    <t>PROCEEDINGS OF THE NATIONAL ACADEMY OF SCIENCES OF THE UNITED STATES OF AMERICA</t>
  </si>
  <si>
    <t>ANTARCTIC PENINSULA; ATMOSPHERIC CO2; VARIABILITY</t>
  </si>
  <si>
    <t>British Antarctic Survey, NERC, Cambridge CB3 0ET, England</t>
  </si>
  <si>
    <t>Hodgson, DA (corresponding author), British Antarctic Survey, NERC, Cambridge CB3 0ET, England.</t>
  </si>
  <si>
    <t>Natural Environment Research Council [bas0100024] Funding Source: researchfish; NERC [bas0100024] Funding Source: UKRI</t>
  </si>
  <si>
    <t>NATL ACAD SCIENCES</t>
  </si>
  <si>
    <t>2101 CONSTITUTION AVE NW, WASHINGTON, DC 20418 USA</t>
  </si>
  <si>
    <t>0027-8424</t>
  </si>
  <si>
    <t>P NATL ACAD SCI USA</t>
  </si>
  <si>
    <t>Proc. Natl. Acad. Sci. U. S. A.</t>
  </si>
  <si>
    <t>NOV 22</t>
  </si>
  <si>
    <t>10.1073/pnas.1116515108</t>
  </si>
  <si>
    <t>851DY</t>
  </si>
  <si>
    <t>WOS:000297249800007</t>
  </si>
  <si>
    <t>Antoniades, D; Francus, P; Pienitz, R; St-Onge, G; Vincent, WF</t>
  </si>
  <si>
    <t>Antoniades, Dermot; Francus, Pierre; Pienitz, Reinhard; St-Onge, Guillaume; Vincent, Warwick F.</t>
  </si>
  <si>
    <t>Holocene dynamics of the Arctic's largest ice shelf</t>
  </si>
  <si>
    <t>climate change; glaciology; paleoceanography; geochemistry</t>
  </si>
  <si>
    <t>ELLESMERE-ISLAND; ANTARCTIC PENINSULA; SEA; SEDIMENTS; RECORDS; OCEAN; LAKES; ARCHIPELAGO; EXAMPLES; HISTORY</t>
  </si>
  <si>
    <t>Ice shelves in the Arctic lost more than 90% of their total surface area during the 20th century and are continuing to disintegrate rapidly. The significance of these changes, however, is obscured by the poorly constrained ontogeny of Arctic ice shelves. Here we use the sedimentary record behind the largest remaining ice shelf in the Arctic, the Ward Hunt Ice Shelf (Ellesmere Island, Canada), to establish a long-term context in which to evaluate recent ice-shelf deterioration. Multiproxy analysis of sediment cores revealed pronounced biological and geochemical changes in Disraeli Fiord in response to the formation of the Ward Hunt Ice Shelf and its fluctuations through time. Our results show that the ice shelf was absent during the early Holocene and formed 4,000 years ago in response to climate cooling. Paleoecological data then indicate that the Ward Hunt Ice Shelf remained stable for almost three millennia before a major fracturing event that occurred similar to 1,400 years ago. After reformation similar to 800 years ago, freshwater was a constant feature of Disraeli Fiord until the catastrophic drainage of its epishelf lake in the early 21st century.</t>
  </si>
  <si>
    <t>[Antoniades, Dermot; Francus, Pierre; Pienitz, Reinhard; Vincent, Warwick F.] Univ Laval, Ctr Etud Nord, Quebec City, PQ G1V 0A6, Canada; [Francus, Pierre] Inst Natl Rech Sci Eau Terre &amp; Environm, Quebec City, PQ G1K 9A9, Canada; [Francus, Pierre; St-Onge, Guillaume] GEOTOP Res Ctr, Montreal, PQ H3C 3P8, Canada; [St-Onge, Guillaume] Inst Sci Mer Rimouski, Rimouski, PQ G5L 3A1, Canada</t>
  </si>
  <si>
    <t>Laval University; University of Quebec; Institut national de la recherche scientifique (INRS)</t>
  </si>
  <si>
    <t>Antoniades, D (corresponding author), Univ Republica, Fac Ciencias, Secc Limnol, Igua 4225, Montevideo 11400, Uruguay.</t>
  </si>
  <si>
    <t>dermot.antoniades@cen.ulaval.ca</t>
  </si>
  <si>
    <t>Francus, Pierre/H-3713-2019; Vincent, Warwick/AAH-6152-2019; St-Onge, Guillaume/E-4828-2014; Francus, Pierre/IZD-8849-2023</t>
  </si>
  <si>
    <t>Francus, Pierre/0000-0001-5465-1966; Vincent, Warwick/0000-0001-9055-1938; Francus, Pierre/0000-0001-5465-1966; Antoniades, Dermot/0000-0001-6629-4839; St-Onge, Guillaume/0000-0001-6958-4217</t>
  </si>
  <si>
    <t>Natural Sciences and Engineering Research Council of Canada; Fonds Quebecois de la Recherche sur la Nature et les Technologies; Network of Centres of Excellence of Canada; Canada Research Chairs program</t>
  </si>
  <si>
    <t>Natural Sciences and Engineering Research Council of Canada(Natural Sciences and Engineering Research Council of Canada (NSERC)CGIAR); Fonds Quebecois de la Recherche sur la Nature et les Technologies(FQRNT); Network of Centres of Excellence of Canada; Canada Research Chairs program(Canada Research Chairs)</t>
  </si>
  <si>
    <t>We thank Charles Gobeil, Jean-Pierre Guilbault, and Roberto Quinlan for stimulating discussions; Jean-Francois Helie (GEOTOP) for carbon measurements; and Simon Belt for providing sea-ice biomarker data. D. Sarrazin, J. Tomkins, and E. Bottos assisted in coring operations. Our thanks go to Parks Canada for their support and cooperation as well as to the Polar Continental Shelf Program (Natural Resources Canada) for logistical support. We appreciate the thorough reviews by two anonymous reviewers. This work was supported by the Natural Sciences and Engineering Research Council of Canada, the Fonds Quebecois de la Recherche sur la Nature et les Technologies, the Network of Centres of Excellence of Canada program ArcticNet, and the Canada Research Chairs program. This is a contribution to the Centre d'etudes nordiques (CEN) long-term program Northern Ellesmere Island in the Global Environment (NEIGE) and Polar Continental Shelf Program Contribution 032-11.</t>
  </si>
  <si>
    <t>1091-6490</t>
  </si>
  <si>
    <t>10.1073/pnas.1106378108</t>
  </si>
  <si>
    <t>WOS:000297249800016</t>
  </si>
  <si>
    <t>Cesari, M; Giovannini, I; Bertolani, R; Rebecchi, L</t>
  </si>
  <si>
    <t>Cesari, Michele; Giovannini, Ilaria; Bertolani, Roberto; Rebecchi, Lorena</t>
  </si>
  <si>
    <t>An example of problems associated with DNA barcoding in tardigrades: a novel method for obtaining voucher specimens</t>
  </si>
  <si>
    <t>Tardigrada; Macrobiotus terminalis; cox1; integrative taxonomy</t>
  </si>
  <si>
    <t>MACROBIOTIDAE; EUTARDIGRADA</t>
  </si>
  <si>
    <t>We have in recent papers revealed that an integrative taxonomy approach helps to solve taxonomic problems in tardigrades. However, whole tardigrades are required for DNA work, which leaves no hologenophore voucher specimens with adult morphology. Using a novel methodology for the Tardigrada, we introduce the practice of collecting high quality maximum magnification light microscopy images of recently thawed animals to act as hologenophore voucher specimens of animals later used for DNA barcode sequencing. Within the framework of a DNA barcoding project on tardigrades, we collected a moss sample from the type locality of Macrobiotus terminalis Bertolani &amp; Rebecchi, 1993 (Castelsantangelo, Central Apennines, Italy), a species of the Macrobiotus hufelandi group. Within the moss sample we found several animals and eggs with a morphology that corresponded to the original description of M. terminalis, while others were attributable to Macrobiotus macrocalix Bertolani &amp; Rebecchi, 1993. In this study, molecular (cox1 mtDNA) analyses demonstrated no intraspecific variability in M. terminalis from the type locality but very large interspecific differences when compared with M. macrocalix and GenBank data for other species within the M. hufelandi group. There was also a large difference between our M. terminalis sequences and the GenBank data of a specimen attributed to the same species. The GenBank sequence originated from a population in the Northern Apennines, whose morphology appeared to be like that of the specimens of the locus typicus. This confirmed the importance in utilising material from the type locality for linking molecular data to the species' morphological characters. Our paper underlines the importance of an integrative taxonomy in species diagnoses and demonstrates a scenario where morphological observations alone are not always sufficient. Lastly, this work adds reliable information to the sequence reference library that provides a useful building block for further studies on similar and related tardigrade taxa.</t>
  </si>
  <si>
    <t>[Cesari, Michele; Giovannini, Ilaria; Bertolani, Roberto; Rebecchi, Lorena] Univ Modena &amp; Reggio Emilia, Dept Biol, I-41125 Modena, Italy</t>
  </si>
  <si>
    <t>Universita di Modena e Reggio Emilia</t>
  </si>
  <si>
    <t>Cesari, M (corresponding author), Univ Modena &amp; Reggio Emilia, Dept Biol, Via Campi 213-D, I-41125 Modena, Italy.</t>
  </si>
  <si>
    <t>roberto.bertolani@unimore.it</t>
  </si>
  <si>
    <t>Cesari, Michele/AAS-4964-2020; Rebecchi, Lorena/E-1653-2015</t>
  </si>
  <si>
    <t>Cesari, Michele/0000-0001-8857-3791; Rebecchi, Lorena/0000-0001-5610-806X</t>
  </si>
  <si>
    <t>Fondazione Cassa di Risparmio di Modena (Italy); University of Modena and Reggio Emilia (Italy)</t>
  </si>
  <si>
    <t>We are grateful to Sandra McInnes (British Antarctic Survey, Cambridge, UK) for the English revision of the manuscript and her helpful suggestions and to reviewers for their useful comments. The research is part of the MoDNA project supported by Fondazione Cassa di Risparmio di Modena (Italy) and the University of Modena and Reggio Emilia (Italy) Special thanks to the Laboratory of Sequencing (Labgen), Department of Biomedical Science, University of Modena and Reggio Emilia (Italy) for the sequencing service.</t>
  </si>
  <si>
    <t>250F Marua Road Mt Wellington, AUCKLAND, ST LUKES 1023, NEW ZEALAND</t>
  </si>
  <si>
    <t>NOV 21</t>
  </si>
  <si>
    <t>849YJ</t>
  </si>
  <si>
    <t>WOS:000297161200003</t>
  </si>
  <si>
    <t>Stich, D; Almendros, J; Jiménez, V; Mancilla, F; Carmona, E</t>
  </si>
  <si>
    <t>Stich, Daniel; Almendros, Javier; Jimenez, Vanessa; Mancilla, Flor; Carmona, Enrique</t>
  </si>
  <si>
    <t>Ocean noise triggering of rhythmic long period events at Deception Island volcano</t>
  </si>
  <si>
    <t>ANTARCTICA; SEISMICITY; TREMOR; ALASKA</t>
  </si>
  <si>
    <t>We report on swarms of repeating long-period (LP) events with remarkably periodic occurrence at Deception Island volcano, Antarctica. The LP events show dominant frequencies near 2 Hz and characteristic inter-event times that range from similar to 10 s to similar to 20 s for individual swarms. We observe that LP inter-event times are approximate integer multiples of the dominant periods of the oceanic microseism, indicating a synchronization of LP activity with the phase of ocean noise. We attribute LP periodicity to the coincidence of sustained LP activity in an unstable hydrothermal system and external forcing by ocean noise that introduces periodic pressure variations in volcano fluids. We estimate the volumetric strain change generated by the oceanic microseism at the source location and conclude that strain of order 10(-7) is sufficient to introduce clear periodicity in the LP sequences, and that periodicity increases with increasing strain. Citation: Stich, D., J. Almendros, V. Jimenez, F. Mancilla, and E. Carmona (2011), Ocean noise triggering of rhythmic long period events at Deception Island volcano, Geophys. Res. Lett., 38, L22307, doi: 10.1029/2011GL049671.</t>
  </si>
  <si>
    <t>[Stich, Daniel; Almendros, Javier; Jimenez, Vanessa; Mancilla, Flor; Carmona, Enrique] Univ Granada, Inst Andaluz Geofis, E-18071 Granada, Spain; [Stich, Daniel; Almendros, Javier; Mancilla, Flor] Univ Granada, Dept Fis Teor &amp; Cosmos, E-18071 Granada, Spain</t>
  </si>
  <si>
    <t>University of Granada; University of Granada</t>
  </si>
  <si>
    <t>Stich, D (corresponding author), Univ Granada, Inst Andaluz Geofis, Campus Univ Cartuja S-N, E-18071 Granada, Spain.</t>
  </si>
  <si>
    <t>daniel@iag.ugr.es</t>
  </si>
  <si>
    <t>Stich, Daniel/H-6174-2015; Mancilla, Flor de Lis/AAA-9822-2019; Almendros, Javier/M-2468-2014</t>
  </si>
  <si>
    <t>Stich, Daniel/0000-0001-7178-9887; Mancilla, Flor de Lis/0000-0003-4161-3260; Almendros, Javier/0000-0001-5936-6160; Jimenez, vanessa/0000-0003-3346-9254</t>
  </si>
  <si>
    <t>Spanish Army and Navy, Marine Technology Unit; Spanish Ministry of Science and Innovation [POL2006-08663, CTM2008-03062, CTM2009-08085, CTM2010-11740, CGL2008-01830]; Junta de Andalucia [P09-RNM5100]</t>
  </si>
  <si>
    <t>Spanish Army and Navy, Marine Technology Unit; Spanish Ministry of Science and Innovation(Spanish Government); Junta de Andalucia(Junta de Andalucia)</t>
  </si>
  <si>
    <t>We are grateful to Bernard Chouet and an anonymous reviewer for detailed comments. Data from station JUBA were made available by the Argentinean-Italian Antarctic Seismographic Network (ASAIN). We acknowledge the support of the Spanish Army and Navy, Marine Technology Unit, and remaining institutions involved in the Spanish Antarctic Program. This study was partially funded by projects POL2006-08663, CTM2008-03062, CTM2009-08085, CTM2010-11740 and CGL2008-01830 of the Spanish Ministry of Science and Innovation, and P09-RNM5100 of Junta de Andalucia.</t>
  </si>
  <si>
    <t>NOV 19</t>
  </si>
  <si>
    <t>L22307</t>
  </si>
  <si>
    <t>10.1029/2011GL049671</t>
  </si>
  <si>
    <t>851HI</t>
  </si>
  <si>
    <t>WOS:000297258600004</t>
  </si>
  <si>
    <t>Hassler, B; Daniel, JS; Johnson, BJ; Solomon, S; Oltmans, SJ</t>
  </si>
  <si>
    <t>Hassler, B.; Daniel, J. S.; Johnson, B. J.; Solomon, S.; Oltmans, S. J.</t>
  </si>
  <si>
    <t>An assessment of changing ozone loss rates at South Pole: Twenty-five years of ozonesonde measurements</t>
  </si>
  <si>
    <t>NEAR-ULTRAVIOLET SPECTROSCOPY; ANTARCTIC OZONE; STRATOSPHERIC OZONE; MCMURDO-STATION; AEROSOL; MODEL; VORTEX; HOLE; RECOVERY; PHOTOCHEMISTRY</t>
  </si>
  <si>
    <t>In 2010, 25 years of regular, year-round ozone soundings at South Pole station, Antarctica, were completed. These measurements provide unique information about the seasonality, trends, and variability of ozone depletion in the polar stratosphere at high vertical resolution. Here, we focus on the observed loss rates, and their changes since the measurement series began. The fastest loss rates occur between the end of August and end of September between 50 hPa and 30 hPa. Loss rates at these pressure levels increased by approximately 40% from the late 1980s to the late 1990s and have remained stable within estimated uncertainties since then. To estimate the time frame when a reduction in ozone loss rates will be observable outside the range of dynamical variability at the South Pole, we scale the estimated loss rates to the future projected concentrations of equivalent effective stratospheric chlorine (EESC). If a linear relationship between ozone loss rates and EESC is assumed, we project that a change in lower stratospheric ozone loss rates at South Pole station will be first detectable in the 2017-2021 time period.</t>
  </si>
  <si>
    <t>[Hassler, B.] Univ Colorado, Cooperat Inst Res Environm Sci, Boulder, CO 80309 USA; [Hassler, B.; Daniel, J. S.; Solomon, S.] NOAA, Div Chem Sci, Earth Syst Res Lab, Boulder, CO 80305 USA; [Johnson, B. J.; Oltmans, S. J.] NOAA, Global Monitoring Div, Earth Syst Res Lab, Boulder, CO 80305 USA; [Solomon, S.] Univ Colorado, Dept Atmospher &amp; Ocean Sci, Boulder, CO 80309 USA</t>
  </si>
  <si>
    <t>University of Colorado System; University of Colorado Boulder; National Oceanic Atmospheric Admin (NOAA) - USA; National Oceanic Atmospheric Admin (NOAA) - USA; University of Colorado System; University of Colorado Boulder</t>
  </si>
  <si>
    <t>Hassler, B (corresponding author), Univ Colorado, Cooperat Inst Res Environm Sci, 216 UCB, Boulder, CO 80309 USA.</t>
  </si>
  <si>
    <t>birgit.hassler@noaa.gov</t>
  </si>
  <si>
    <t>Daniel, John S/D-9324-2011; Oltmans, Samuel/AAC-8987-2022; Hassler, Birgit/E-8987-2010</t>
  </si>
  <si>
    <t>Hassler, Birgit/0000-0003-2724-709X</t>
  </si>
  <si>
    <t>NOAA NCDC</t>
  </si>
  <si>
    <t>NOAA NCDC(National Oceanic Atmospheric Admin (NOAA) - USA)</t>
  </si>
  <si>
    <t>Funding for B. Hassler has been provided by the NOAA NCDC Climate Data Record Program. We thank three anonymous reviewers for helpful comments and suggestions. Understanding of ozone loss rates in Antarctica using the South Pole ozonesonde data series was a primary research interest and effort of David Hofmann. From his own early ozonesonde observations in Antarctica to his leadership of the laboratory responsible for the South Pole ozonesonde measurements, he understood the great value of continuous, ongoing observations. This work was initiated with Dave's involvement prior to his death.</t>
  </si>
  <si>
    <t>NOV 18</t>
  </si>
  <si>
    <t>D22301</t>
  </si>
  <si>
    <t>10.1029/2011JD016353</t>
  </si>
  <si>
    <t>851KO</t>
  </si>
  <si>
    <t>WOS:000297268100005</t>
  </si>
  <si>
    <t>Frajka-Williams, E; Cunningham, SA; Bryden, H; King, BA</t>
  </si>
  <si>
    <t>Frajka-Williams, E.; Cunningham, S. A.; Bryden, H.; King, B. A.</t>
  </si>
  <si>
    <t>Variability of Antarctic Bottom Water at 24.5°N in the Atlantic</t>
  </si>
  <si>
    <t>MERIDIONAL OVERTURNING CIRCULATION; HEAT; TRANSPORTS</t>
  </si>
  <si>
    <t>A recent hydrographic section at 24.5 degrees N in the Atlantic and 6 months of observations from a moored array show that Antarctic Bottom Water (AABW), the densest and deepest water mass in the world oceans, has been warming. While Johnson et al. (2008) showed that northward AABW transport at 24.5 degrees N has been declining from 1981 to 2004, suggesting that the lower cell of the overturning circulation could halt in the near future, estimates from the latest hydrographic section in 2010 indicate a partial recovery of northward AABW transport. From 6 months of temperature and salinity observations at a deep moored array at 24-26 degrees N, we find that short-term variability between April and November 2009 is of the same magnitude as the changes observed from hydrographic sections between 1981 and 2004. These observations highlight the possibility that transport changes estimated from hydrographic sections may be aliased by short-term variability. The observed AABW transport variability affects present estimates of the upper meridional overturning circulation by +/-0.4 Sv (1 Sv = 10(6) m(3) s (1)).</t>
  </si>
  <si>
    <t>[Frajka-Williams, E.; Cunningham, S. A.; Bryden, H.; King, B. A.] Univ Southampton, Natl Oceanog Ctr, Southampton SO14 3ZH, Hants, England; [Bryden, H.] Univ Southampton, Sch Ocean &amp; Earth Sci, Southampton, Hants, England</t>
  </si>
  <si>
    <t>University of Southampton; NERC National Oceanography Centre; University of Southampton; NERC National Oceanography Centre</t>
  </si>
  <si>
    <t>Frajka-Williams, E (corresponding author), Univ Southampton, Natl Oceanog Ctr, Waterfront Campus,European Way, Southampton SO14 3ZH, Hants, England.</t>
  </si>
  <si>
    <t>e.frajka-williams@noc.soton.ac.uk; scu@noc.ac.uk; h.bryden@noc.soton.ac.uk; bak@noc.ac.uk</t>
  </si>
  <si>
    <t>Frajka-Williams, Eleanor/H-2415-2011</t>
  </si>
  <si>
    <t>Frajka-Williams, Eleanor/0000-0001-8773-7838; Bryden, Harry/0000-0002-8216-6359</t>
  </si>
  <si>
    <t>Natural Environment Research Council (NERC); National Science Foundation (NSF); National Oceanic and Atmospheric Administration (NOAA); Natural Environment Research Council [noc010012] Funding Source: researchfish</t>
  </si>
  <si>
    <t>Natural Environment Research Council (NERC)(UK Research &amp; Innovation (UKRI)Natural Environment Research Council (NERC)); National Science Foundation (NSF)(National Science Foundation (NSF)); National Oceanic and Atmospheric Administration (NOAA)(National Oceanic Atmospheric Admin (NOAA) - USA); Natural Environment Research Council(UK Research &amp; Innovation (UKRI)Natural Environment Research Council (NERC))</t>
  </si>
  <si>
    <t>The RAPID-WATCH MOC monitoring project is funded by the Natural Environment Research Council (NERC). Data are freely available from http://www.noc.soton.ac.uk/rapidmoc. The MOCHA project is funded by the National Science Foundation (NSF) and National Oceanic and Atmospheric Administration (NOAA). The authors would like to thank W. Johns, S. Elipot, J. J.-M. Hirschi, and L. Juillon for helpful discussions. Special thanks to the captain, crew, and science parties involved in the hydrographic section and RAPID/MOCHA mooring deployment and recovery.</t>
  </si>
  <si>
    <t>NOV 17</t>
  </si>
  <si>
    <t>C11026</t>
  </si>
  <si>
    <t>10.1029/2011JC007168</t>
  </si>
  <si>
    <t>851LL</t>
  </si>
  <si>
    <t>Green Accepted, Green Submitted, Bronze</t>
  </si>
  <si>
    <t>WOS:000297271300003</t>
  </si>
  <si>
    <t>Trasviña, A; Heywood, KJ; Renner, AHH; Thorpe, SE; Thompson, AF; Zamudio, L</t>
  </si>
  <si>
    <t>Trasvina, A.; Heywood, Karen J.; Renner, A. H. H.; Thorpe, S. E.; Thompson, A. F.; Zamudio, L.</t>
  </si>
  <si>
    <t>The impact of high-frequency current variability on dispersion off the eastern Antarctic Peninsula</t>
  </si>
  <si>
    <t>WEDDELL SEA; STOCHASTIC-MODELS; TRANSPORT; CIRCULATION; OCEAN; DRIFTERS; WATERS; SHELF</t>
  </si>
  <si>
    <t>We present observations of high-frequency current variability on the continental shelf and the slope of the Antarctic Peninsula using Lagrangian surface drifters deployed as part of the Antarctic Drifter Experiment: Links to Isobaths and Ecosystems (ADELIE) project. Here we focus on high-frequency processes such as tides and inertial oscillations that are typically smoothed out of large-scale spatially averaged, and/or temporally averaged, observed current fields. We investigate the role that this class of motion plays in the transport of physical or biogeochemical properties. Lateral displacements on the shelf and slope are found to be larger than displacements in deeper waters where tidal currents are negligible. We apply this result in a parameterization of the lateral dispersion during an off-line drifter modeling study. The outcome is an improvement on the modeling of Lagrangian drifting particles compared with a standard random walk scheme.</t>
  </si>
  <si>
    <t>[Trasvina, A.] Ctr Invest Cient &amp; Educ Super Ensenada, Dept Oceanografia Fis, Unidad La Paz, La Paz 23050, Baja California, Mexico; [Heywood, Karen J.] Univ E Anglia, Sch Environm Sci, Norwich NR4 7TJ, Norfolk, England; [Renner, A. H. H.] Fram Ctr, Norwegian Polar Inst, N-9296 Tromso, Norway; [Thompson, A. F.] CALTECH, Div Geol &amp; Planetary Sci, Pasadena, CA 91125 USA; [Thorpe, S. E.] British Antarctic Survey, Nat Environm Res Council, Cambridge CB3 0ET, England; [Zamudio, L.] Florida State Univ, Ctr Ocean &amp; Atmospher Predict Studies, Tallahassee, FL 32306 USA</t>
  </si>
  <si>
    <t>CICESE - Centro de Investigacion Cientifica y de Educacion Superior de Ensenada; University of East Anglia; Norwegian Polar Institute; California Institute of Technology; UK Research &amp; Innovation (UKRI); Natural Environment Research Council (NERC); NERC British Antarctic Survey; State University System of Florida; Florida State University</t>
  </si>
  <si>
    <t>Trasviña, A (corresponding author), Ctr Invest Cient &amp; Educ Super Ensenada, Dept Oceanografia Fis, Unidad La Paz, Miraflores 334 E Muleg &amp; La Paz, La Paz 23050, Baja California, Mexico.</t>
  </si>
  <si>
    <t>trasvi@cicese.mx</t>
  </si>
  <si>
    <t>; Heywood, Karen/L-1757-2016</t>
  </si>
  <si>
    <t>Thorpe, Sally/0000-0002-5193-6955; Renner, Angelika/0000-0002-9997-6366; Heywood, Karen/0000-0001-9859-0026</t>
  </si>
  <si>
    <t>Royal Society [2006/R2]; International Joint Project between Mexico and the United Kingdom; NERC [NE/C50633X/1, NE/E013171/1]; Oceanology Division of CICESE; CICESE Unidad La Paz; SNI; EU; European Commission; University of East Anglia; British Antarctic Survey [MEST-CT-2004-514159]; NERC [bas0100025, NE/C50633X/1, NE/E013171/1] Funding Source: UKRI; Natural Environment Research Council [NE/C50633X/1, bas0100025, NE/E013171/1] Funding Source: researchfish</t>
  </si>
  <si>
    <t>Royal Society(Royal Society); International Joint Project between Mexico and the United Kingdom; NERC(UK Research &amp; Innovation (UKRI)Natural Environment Research Council (NERC)); Oceanology Division of CICESE; CICESE Unidad La Paz; SNI; EU(European Union (EU)); European Commission(European Union (EU)European Commission Joint Research Centre); University of East Anglia; British Antarctic Survey; NERC(UK Research &amp; Innovation (UKRI)Natural Environment Research Council (NERC)); Natural Environment Research Council(UK Research &amp; Innovation (UKRI)Natural Environment Research Council (NERC))</t>
  </si>
  <si>
    <t>This paper is dedicated to the memory of Peter Niiler, who generously provided drifters for this project, and also in recognition of his many contributions. We thank the officers, scientists and crew of the RRS James Clark Ross, cruise JR158, for contributing to the success of the ADELIE project. We also wish to acknowledge the work of three anonymous reviewers. We thank the Royal Society for funding (grant 2006/R2) this International Joint Project between Mexico and the United Kingdom, the NERC Antarctic Funding Initiative for funding the ADELIE project (grant NE/C50633X/1), the Oceanology Division of CICESE and CICESE Unidad La Paz. A. T. is a SNI grant holder. A. H. H. R. was funded by EU Marie Curie Early Stage Training Fellowship in Antarctic Air-Sea-Ice Science by the European Commission Marie Curie Actions at the School of Environmental Sciences, University of East Anglia and the British Antarctic Survey (contract MEST-CT-2004-514159). A. F. T. was supported by a NERC grant (NE/E013171/1). We used the Tide Model Driver Matlab toolbox from Earth &amp; Space Research (ESR; http://www.esr.org/ptm_index.html). HYCOM simulations were performed as part of the Office of Naval Research project Eddy Resolving Global Ocean Prediction Including Tides using challenge and nonchallenge times from the U. S. Department of Defense High Performance Computing Modernization Office on Cray XT5 and IBM P6 computers at the Navy DOD Supercomputing Resource Center, Stennis Space Center.</t>
  </si>
  <si>
    <t>C11024</t>
  </si>
  <si>
    <t>10.1029/2011JC007003</t>
  </si>
  <si>
    <t>WOS:000297271300001</t>
  </si>
  <si>
    <t>Veevers, J</t>
  </si>
  <si>
    <t>Veevers, John</t>
  </si>
  <si>
    <t>GEOPHYSICS Earth's longest fossil rift-valley system</t>
  </si>
  <si>
    <t>NATURE</t>
  </si>
  <si>
    <t>GAMBURTSEV SUBGLACIAL MOUNTAINS; ANTARCTIC ICE-SHEET; EVOLUTION; ZIRCONS; INDIA</t>
  </si>
  <si>
    <t>Macquarie Univ, Dept Earth &amp; Planetary Sci, Sydney, NSW 2109, Australia</t>
  </si>
  <si>
    <t>Macquarie University</t>
  </si>
  <si>
    <t>Veevers, J (corresponding author), Macquarie Univ, Dept Earth &amp; Planetary Sci, Sydney, NSW 2109, Australia.</t>
  </si>
  <si>
    <t>john.veevers@mq.edu.au</t>
  </si>
  <si>
    <t>NATURE PUBLISHING GROUP</t>
  </si>
  <si>
    <t>MACMILLAN BUILDING, 4 CRINAN ST, LONDON N1 9XW, ENGLAND</t>
  </si>
  <si>
    <t>0028-0836</t>
  </si>
  <si>
    <t>Nature</t>
  </si>
  <si>
    <t>10.1038/479304a</t>
  </si>
  <si>
    <t>848OA</t>
  </si>
  <si>
    <t>WOS:000297059700027</t>
  </si>
  <si>
    <t>Ferraccioli, F; Finn, CA; Jordan, TA; Bell, RE; Anderson, LM; Damaske, D</t>
  </si>
  <si>
    <t>Ferraccioli, Fausto; Finn, Carol A.; Jordan, Tom A.; Bell, Robin E.; Anderson, Lester M.; Damaske, Detlef</t>
  </si>
  <si>
    <t>East Antarctic rifting triggers uplift of the Gamburtsev Mountains</t>
  </si>
  <si>
    <t>TRANSANTARCTIC MOUNTAINS; SUBGLACIAL MOUNTAINS; CRUSTAL; STRENGTH; SOUTHERN; DELAMINATION; DEFORMATION; LITHOSPHERE; INTRAPLATE; EVOLUTION</t>
  </si>
  <si>
    <t>The Gamburtsev Subglacial Mountains are the least understood tectonic feature on Earth, because they are completely hidden beneath the East Antarctic Ice Sheet. Their high elevation and youthful Alpine topography, combined with their location on the East Antarctic craton, creates a paradox that has puzzled researchers since the mountains were discovered in 1958(1). The preservation of Alpine topography in the Gamburtsevs(2) may reflect extremely low long-term erosion rates beneath the ice sheet(3), but the mountains' origin remains problematic. Here we present the first comprehensive view of the crustal architecture and uplift mechanisms for the Gamburtsevs, derived from radar, gravity and magnetic data. The geophysical data define a 2,500-km-long rift system in East Antarctica surrounding the Gamburtsevs, and a thick crustal root(4) beneath the range. We propose that the root formed during the Proterozoic assembly of interior East Antarctica (possibly about 1 Gyr ago), was preserved as in some old orogens(5,6) and was rejuvenated during much later Permian (roughly 250 Myr ago) and Cretaceous (roughly 100 Myr ago) rifting. Much like East Africa(7), the interior of East Antarctica is a mosaic of Precambrian provinces affected by rifting processes. Our models show that the combination of rift-flank uplift, root buoyancy and the isostatic response to fluvial and glacial erosion explains the high elevation and relief of the Gamburtsevs. The evolution of the Gamburtsevs demonstrates that rifting and preserved orogenic roots can produce broad regions of high topography in continental interiors without significantly modifying the underlying Precambrian lithosphere.</t>
  </si>
  <si>
    <t>[Ferraccioli, Fausto; Jordan, Tom A.; Anderson, Lester M.] British Antarctic Survey, Cambridge CB3 0ET, England; [Finn, Carol A.] US Geol Survey, Denver, CO 80225 USA; [Bell, Robin E.] Columbia Univ, Lamont Doherty Earth Observ, Palisades, NY 10964 USA; [Damaske, Detlef] Bundesanstalt Geowissensch &amp; Rohstoffe, D-30655 Hannover, Germany</t>
  </si>
  <si>
    <t>UK Research &amp; Innovation (UKRI); Natural Environment Research Council (NERC); NERC British Antarctic Survey; United States Department of the Interior; United States Geological Survey; Columbia University</t>
  </si>
  <si>
    <t>Ferraccioli, F (corresponding author), British Antarctic Survey, Madingley Rd, Cambridge CB3 0ET, England.</t>
  </si>
  <si>
    <t>ffe@bas.ac.uk</t>
  </si>
  <si>
    <t>Finn, Carol A/HKN-9277-2023</t>
  </si>
  <si>
    <t>Finn, Carol A/0000-0002-6178-0405; Ferraccioli, Fausto/0000-0002-9347-4736; Jordan, Tom/0000-0003-2780-1986</t>
  </si>
  <si>
    <t>AGAP International Polar Year; Federal Institute for Geosciences and Resources; Australian Antarctic Division; Natural Environment Research Council [bas0100026] Funding Source: researchfish; Office of Polar Programs (OPP); Directorate For Geosciences [0636883] Funding Source: National Science Foundation; NERC [bas0100026] Funding Source: UKRI</t>
  </si>
  <si>
    <t>AGAP International Polar Year; Federal Institute for Geosciences and Resources; Australian Antarctic Division;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</si>
  <si>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We acknowledge the seven nations involved in the AGAP International Polar Year effort for their major logistical, financial and intellectual support. The US Antarctic Program of the National Science Foundation provided support for the logistics, the development of the instrumentation and data analysis. The Natural Environment Research Council/British Antarctic Survey provided support for deep-field operations, data collection and analysis. The Federal Institute for Geosciences and Resources provided financial support. The Australian Antarctic Division provided support at the AGAP North field camp; the Chinese Antarctic programme and the Alfred Wegner Institute also assisted. We thank all the AGAP project members involved, and in particular M. Studinger, N. Frearson and C. Robinson. C. Ebinger provided an early review and P. Molnar provided discussions. S. Golynsky provided geophysical data over adjacent regions and related discussions. We thank C. Braitenberg for assistance with Lithoflex and R. Buck for providing 2D flexural modelling code. J. J. Veevers provided a review.</t>
  </si>
  <si>
    <t>1476-4687</t>
  </si>
  <si>
    <t>U139</t>
  </si>
  <si>
    <t>10.1038/nature10566</t>
  </si>
  <si>
    <t>WOS:000297059700043</t>
  </si>
  <si>
    <t>Moore, TS; DeGrandpre, MD; Sabine, CL; Hamme, RC; Zappa, CJ; McGillis, WR; Feely, RA; Drennan, WM</t>
  </si>
  <si>
    <t>Moore, T. S.; DeGrandpre, M. D.; Sabine, C. L.; Hamme, R. C.; Zappa, C. J.; McGillis, W. R.; Feely, R. A.; Drennan, W. M.</t>
  </si>
  <si>
    <t>Sea surface pCO2 and O2 in the Southern Ocean during the austral fall, 2008</t>
  </si>
  <si>
    <t>ANTARCTIC CIRCUMPOLAR CURRENT; IRON ENRICHMENT EXPERIMENT; ATLANTIC SECTOR; CARBON-DIOXIDE; CO2; SEAWATER; VARIABILITY; EXCHANGE; WATERS; OXYGEN</t>
  </si>
  <si>
    <t>The physical and biological processes controlling surface mixed layer pCO(2) and O-2 were evaluated using in situ sensors mounted on a Lagrangian drifter deployed in the Atlantic sector of the Southern Ocean (similar to 50 degrees S, similar to 37 degrees W) during the austral fall of 2008. The drifter was deployed three times during different phases of the study. The surface ocean pCO(2) was always less than atmospheric pCO(2) (-50.4 to -76.1 mu atm), and the ocean was a net sink for CO2 with fluxes averaging between 16.2 and 17.8 mmol C m(-2) d(-1). Vertical entrainment was the dominant process controlling mixed layer CO2, with fluxes that were 1.8 to 2.2 times greater than the gas exchange fluxes during the first two drifter deployments, and was 1.7 times greater during the third deployment. In contrast, during the first two deployments the surface mixed layer was always a source of O-2 to the atmosphere, and air-sea gas exchange was the dominant process occurring, with fluxes that were 2.0 to 4.1 times greater than the vertical entrainment flux. During the third deployment O-2 was near saturation the entire deployment and was a small source of O-2 to the atmosphere. Net community production (NCP) was low during this study, with mean fluxes of 3.2 to 6.4 mmol C m(-2) d(-1) during the first deployment and nondetectable (within uncertainty) in the third. During the second deployment the NCP was not separable from lateral advection. Overall, this study indicates that in the early fall the area is a significant sink for atmospheric CO2.</t>
  </si>
  <si>
    <t>[Moore, T. S.; DeGrandpre, M. D.] Univ Montana, Dept Chem &amp; Biochem, Missoula, MT 59812 USA; [Drennan, W. M.] Univ Miami, Rosenstiel Sch Marine &amp; Atmospher Sci, Miami, FL 33149 USA; [Sabine, C. L.] NOAA, Pacific Marine Environm Lab, Seattle, WA 98115 USA; [Hamme, R. C.; Feely, R. A.] Univ Victoria, Sch Earth &amp; Ocean Sci, Victoria, BC V8W 3P6, Canada; [McGillis, W. R.] Columbia Univ, Lamont Doherty Earth Observ, Earth Inst, New York, NY 10964 USA; [Zappa, C. J.] Columbia Univ, Lamont Doherty Earth Observ, Earth Inst, Ocean &amp; Climate Phys Div, Palisades, NY 10964 USA</t>
  </si>
  <si>
    <t>University of Montana System; University of Montana; University of Miami; National Oceanic Atmospheric Admin (NOAA) - USA; University of Victoria; Columbia University; Columbia University</t>
  </si>
  <si>
    <t>Moore, TS (corresponding author), Univ Montana, Dept Chem &amp; Biochem, 32 Campus Dr, Missoula, MT 59812 USA.</t>
  </si>
  <si>
    <t>tommy.moore@umontana.edu; michael.degrandpre@umontana.edu; chris.sabine@noaa.gov; rhamme@uvic.ca; zappa@ldeo.columbia.edu; wrm2102@columbia.edu; richard.a.feely@noaa.gov; wdrennan@rsmas.miami.edu</t>
  </si>
  <si>
    <t>Hamme, Roberta/AAA-4802-2022; Moore, Thomas/AAU-9480-2021; Feely, Richard A./ABI-5740-2020</t>
  </si>
  <si>
    <t>Moore, Thomas/0000-0003-3930-1946; DeGrandpre, Michael/0000-0003-1969-6709; Zappa, Christopher J/0000-0003-0041-2913; Drennan, William/0000-0003-1708-4311</t>
  </si>
  <si>
    <t>NSF [OCE-0726784]; NOAA [NA07OAR4310122]</t>
  </si>
  <si>
    <t>NSF(National Science Foundation (NSF)); NOAA(National Oceanic Atmospheric Admin (NOAA) - USA)</t>
  </si>
  <si>
    <t>We thank Cory Beatty (University of Montana) for technical support and the Captain and crew of the NOAA R/V Ronald H. Brown for cruise logistics. We would also like to thank the four anonymous reviewers for their thoughtful comments. NSF (OCE-0726784) and NOAA (NA07OAR4310122) funded this research.</t>
  </si>
  <si>
    <t>NOV 16</t>
  </si>
  <si>
    <t>C00F11</t>
  </si>
  <si>
    <t>10.1029/2010JC006560</t>
  </si>
  <si>
    <t>851LI</t>
  </si>
  <si>
    <t>WOS:000297271000001</t>
  </si>
  <si>
    <t>Stössel, A; Zhang, ZR; Vihma, T</t>
  </si>
  <si>
    <t>Stoessel, Achim; Zhang, Zhaoru; Vihma, Timo</t>
  </si>
  <si>
    <t>The effect of alternative real-time wind forcing on Southern Ocean sea ice simulations</t>
  </si>
  <si>
    <t>NUMERICAL WEATHER PREDICTION; BOTTOM WATER PRODUCTION; WEDDELL SEA; ANTARCTIC PENINSULA; COASTAL POLYNYAS; KATABATIC WINDS; SURFACE HEAT; MIXED-LAYER; MODEL; VARIABILITY</t>
  </si>
  <si>
    <t>Southern Ocean (SO) sea ice simulations are particularly sensitive to wind forcing. Two real-time wind data sets covering the same period are employed to force SO sea ice in a sea ice-ocean general circulation model. Both data sets are analysis products, featuring the same temporal resolution but differing in their horizontal resolution and their source. Even in simulations where the upper ocean temperature is constrained by satellite-derived sea ice concentration, the sea ice simulations and associated surface buoyancy fluxes reveal pronounced differences along the Antarctic coastline. While the discrepancies cannot unambiguously be related to the different resolution of the wind forcing, their concentration along the coastline is indicative of being related to the representation of orography, such as coastal steep slopes and mountain ranges, including their ruggedness. Along the coast of the Weddell Sea, the net ice production rate increases by about a factor of 3 with the higher-resolution winds. On the other hand, along east Antarctica, the lower-resolution winds result in higher ice production, due to a generally stronger (overestimated) offshore component, presumably related to the smoother orography extending seaward beyond the coastline. This regionally opposite behavior leads to a relatively weak difference in total dense water formation around Antarctica and thus global deep ocean properties and circulation. Overall, the results indicate that long-term climate model projections are likely to be highly sensitive to model resolution in the Antarctic coastal zone.</t>
  </si>
  <si>
    <t>[Stoessel, Achim; Zhang, Zhaoru] Texas A&amp;M Univ, Dept Oceanog, College Stn, TX 77843 USA; [Vihma, Timo] Finnish Meteorol Inst, FI-00101 Helsinki, Finland; [Zhang, Zhaoru] Ocean Univ China, Phys Oceanog Lab, Qingdao, Peoples R China</t>
  </si>
  <si>
    <t>Texas A&amp;M University System; Texas A&amp;M University College Station; Finnish Meteorological Institute; Ocean University of China</t>
  </si>
  <si>
    <t>Stössel, A (corresponding author), Texas A&amp;M Univ, Dept Oceanog, 3146 TAMU, College Stn, TX 77843 USA.</t>
  </si>
  <si>
    <t>astoessel@ocean.tamu.edu</t>
  </si>
  <si>
    <t>LIU, JIALIN/JXN-8034-2024; Li, jiaqi/JOZ-6395-2023; Vihma, Timo/ABC-9771-2020</t>
  </si>
  <si>
    <t>NASA [NNG05GN87G]; Chinese Scholarship Council via Ocean University of China; Finnish Academy of Sciences [128533]</t>
  </si>
  <si>
    <t>NASA(National Aeronautics &amp; Space Administration (NASA)); Chinese Scholarship Council via Ocean University of China; Finnish Academy of Sciences</t>
  </si>
  <si>
    <t>We thank two anonymous reviewers for their valuable criticism and suggestions on the original manuscript. The wind observations are based on the SCAR READER data, archived at the British Antarctic Survey. Thanks are due to Marion M. Stossel for her contribution in setting up the uniformly high-resolution ice-ocean model version. This work was partly funded through NASA grant NNG05GN87G (A. Stossel and Z. Zhang), through a scholarship from the Chinese Scholarship Council via the Ocean University of China (Z. Zhang), and through Finnish Academy of Sciences grant 128533 (T. Vihma and A. Stossel).</t>
  </si>
  <si>
    <t>C11021</t>
  </si>
  <si>
    <t>10.1029/2011JC007328</t>
  </si>
  <si>
    <t>WOS:000297271000006</t>
  </si>
  <si>
    <t>Thomas, ID; King, MA; Bentley, MJ; Whitehouse, PL; Penna, NT; Williams, SDP; Riva, REM; Lavallee, DA; Clarke, PJ; King, EC; Hindmarsh, RCA; Koivula, H</t>
  </si>
  <si>
    <t>Thomas, Ian D.; King, Matt A.; Bentley, Michael J.; Whitehouse, Pippa L.; Penna, Nigel T.; Williams, Simon D. P.; Riva, Riccardo E. M.; Lavallee, David A.; Clarke, Peter J.; King, Edward C.; Hindmarsh, Richard C. A.; Koivula, Hannu</t>
  </si>
  <si>
    <t>Widespread low rates of Antarctic glacial isostatic adjustment revealed by GPS observations</t>
  </si>
  <si>
    <t>WEDDELL SEA EMBAYMENT; ICE-AGE EARTH; SHEET; STABILITY; PENINSULA; MAXIMUM; GRACE; GREENLAND; HISTORY; IMPACT</t>
  </si>
  <si>
    <t>Bedrock uplift in Antarctica is dominated by a combination of glacial isostatic adjustment (GIA) and elastic response to contemporary mass change. Here, we present spatially extensive GPS observations of Antarctic bedrock uplift, using 52% more stations than previous studies, giving enhanced coverage, and with improved precision. We observe rapid elastic uplift in the northern Antarctic Peninsula. After considering elastic rebound, the GPS data suggests that modeled or empirical GIA uplift signals are often over-estimated, particularly the magnitudes of the signal maxima. Our observation that GIA uplift is misrepresented by modeling (weighted root-mean-squares of observation-model differences: 4.9-5.0 mm/yr) suggests that, apart from a few regions where large ice mass loss is occurring, the spatial pattern of secular ice mass change derived from Gravity Recovery and Climate Experiment (GRACE) data and GIA models may be unreliable, and that several recent secular Antarctic ice mass loss estimates are systematically biased, mainly too high. Citation: Thomas, I. D., et al. (2011), Widespread low rates of Antarctic glacial isostatic adjustment revealed by GPS observations, Geophys. Res. Lett., 38, L22302, doi: 10.1029/2011GL049277.</t>
  </si>
  <si>
    <t>[Thomas, Ian D.; King, Matt A.; Penna, Nigel T.; Lavallee, David A.; Clarke, Peter J.] Newcastle Univ, Sch Civil Engn &amp; Geosci, Newcastle Upon Tyne NE1 7RU, Tyne &amp; Wear, England; [Bentley, Michael J.; Whitehouse, Pippa L.] Univ Durham, Dept Geog, Durham DH1 3LE, England; [Williams, Simon D. P.] Natl Oceanog Ctr, Liverpool L3 5DA, Merseyside, England; [Riva, Riccardo E. M.] Delft Univ Technol, Delft Inst Earth Observat &amp; Space Syst, NL-2629 HS Delft, Netherlands; [Lavallee, David A.] David Lavallee Geosci, Katy, TX USA; [King, Edward C.; Hindmarsh, Richard C. A.] British Antarctic Survey, Cambridge CB3 0ET, England; [Koivula, Hannu] Finnish Geodet Inst, FI-02430 Masala, Finland</t>
  </si>
  <si>
    <t>Newcastle University - UK; Durham University; NERC National Oceanography Centre; Delft University of Technology; UK Research &amp; Innovation (UKRI); Natural Environment Research Council (NERC); NERC British Antarctic Survey; The National Land Survey of Finland; Finnish Geospatial Research Institute (FGI)</t>
  </si>
  <si>
    <t>Thomas, ID (corresponding author), Newcastle Univ, Sch Civil Engn &amp; Geosci, Newcastle Upon Tyne NE1 7RU, Tyne &amp; Wear, England.</t>
  </si>
  <si>
    <t>m.a.king@newcastle.ac.uk</t>
  </si>
  <si>
    <t>King, Matt/B-4622-2008; Penna, Nigel T/K-8995-2012; Bentley, Michael J/F-7386-2011; Clarke, Peter John/B-1783-2008; Williams, Simon/C-7214-2011; Koivula, Hannu/AAK-9504-2020; Hindmarsh, Richard/N-1195-2019</t>
  </si>
  <si>
    <t>King, Matt/0000-0001-5611-9498; Bentley, Michael J/0000-0002-2048-0019; Clarke, Peter John/0000-0003-1276-8300; Williams, Simon/0000-0003-4123-4973; Hindmarsh, Richard/0000-0003-1633-2416; Koivula, Hannu/0000-0002-2950-796X; Penna, Nigel/0000-0002-6719-1978; Whitehouse, Pippa/0000-0002-9092-3444; Riva, Riccardo/0000-0002-2042-5669</t>
  </si>
  <si>
    <t>NERC; RCUK; COST action [ES0701]; NERC [bas0100027, NE/E007023/1, NE/F01452X/1, NE/F015526/1, NE/F01550X/1, NE/F01466X/1] Funding Source: UKRI; Natural Environment Research Council [NE/F01550X/1, noc010012, bas0100027, NE/F01452X/1, NE/F015526/1, NE/E007023/1, NE/F01466X/1] Funding Source: researchfish</t>
  </si>
  <si>
    <t>NERC(UK Research &amp; Innovation (UKRI)Natural Environment Research Council (NERC)); RCUK(UK Research &amp; Innovation (UKRI)); COST action(European Cooperation in Science and Technology (COST)); NERC(UK Research &amp; Innovation (UKRI)Natural Environment Research Council (NERC)); Natural Environment Research Council(UK Research &amp; Innovation (UKRI)Natural Environment Research Council (NERC))</t>
  </si>
  <si>
    <t>This work was funded by NERC, an RCUK Academic fellowship to M. A. K. and by COST action ES0701. We thank Frank Wu, Erik Ivins, and W. Richard Peltier for providing their models and the individuals and institutions listed in Table S1 for supplying their GPS data. We thank Eugene Domack, Valentina Barletta, and anonymous referees for their comments.</t>
  </si>
  <si>
    <t>L22302</t>
  </si>
  <si>
    <t>10.1029/2011GL049277</t>
  </si>
  <si>
    <t>851HC</t>
  </si>
  <si>
    <t>WOS:000297258000001</t>
  </si>
  <si>
    <t>Poulsen, AH; Kawaguchi, S; Leppänen, MT; Kukkonen, JVK; Nash, SMB</t>
  </si>
  <si>
    <t>Poulsen, Anita H.; Kawaguchi, So; Leppanen, Matti T.; Kukkonen, Jussi V. K.; Nash, Susan M. Bengtson</t>
  </si>
  <si>
    <t>Altered developmental timing in early life stages of Antarctic krill (Euphausia superba) exposed to p,p′-DDE</t>
  </si>
  <si>
    <t>Persistent organic pollutant (POP); Antarctic krill; Early life stage (ELS) testing; Tissue residue approach (TRA); Polar ecotoxicology; Delayed effects</t>
  </si>
  <si>
    <t>CLAM PISIDIUM-AMNICUM; COMPARATIVE TOXICITY; EMBRYO DEVELOPMENT; DEVELOPMENT TIME; BODY RESIDUES; TOXICOKINETICS; CONTAMINANTS; WATER; DDT; BENZO(A)PYRENE</t>
  </si>
  <si>
    <t>Persistent organic pollutants (POPS) are persistent, toxic and bioaccumulative anthropogenic organic chemicals, capable of undergoing long range environmental transport to remote areas including the Antarctic. p,p'-dichlorodiphenyl dichloroethylene (pp'-DDE) has been identified as a dominant POP accumulating in Antarctic krill (Euphausia superba), which is a key Southern Ocean species. This study examined the developmental toxicity of pp'-DDE via aqueous exposure to Antarctic krill larvae. p,p'-DDE exposure was found to stimulate developmental timing in the first three larval stages of Antarctic krill, while extended monitoring of larvae after a five day exposure period had ended, revealed delayed inhibitory responses during development to the fourth larval stage. Stimulatory responses were observed from the lowest p,p'-DDE body residue tested of 10.1 +/- 3.0 mu mol/kg (3.2 +/- 0.95 mg/kg) preserved wet weight, which is comparable to findings for temperate species and an order of magnitude lower than the exposure level found to cause sublethal behavioural effects in Antarctic krill. The delayed responses included increased mortality, which had doubled in the highest p,p'-DDE treatment (95 +/- 8.9% mortality at 20 mu g/L p,p'-DDE) compared to the solvent control (44 +/- 11% mortality) 2 weeks after end of exposure. Development of surviving metanauplius larvae to calyptopis 1 larvae was delayed by 2 days in p,p'-DDE exposed larvae compared with untreated larvae. Finally, the developmental success of surviving pp'-DDE exposed larvae was reduced by 50 to 75% compared to the solvent control (100% developmental success). The lowest observed effect concentration for all delayed effects was 1 mu g/L, the lowest exposure concentration tested. These findings demonstrate the importance of delayed and indirect effects of toxicant exposure. Further, the findings of this study are important for environmental risk assessment of POPs in the Southern Ocean ecosystem and strongly highlight the significance of developmental endpoints for ecotoxicological testing. (C) 2011 Elsevier B.V. All rights reserved.</t>
  </si>
  <si>
    <t>[Poulsen, Anita H.; Nash, Susan M. Bengtson] Univ Queensland, Natl Res Ctr Environm Toxicol Entox, Brisbane, Qld 4108, Australia; [Kawaguchi, So] Australian Antarctic Div, Kingston, Tas 7050, Australia; [Leppanen, Matti T.; Kukkonen, Jussi V. K.] Univ Eastern Finland, Dept Biol, FIN-80101 Joensuu, Finland; [Nash, Susan M. Bengtson] Griffith Univ, Atmospher Environm Res Ctr, Brisbane, Qld 4111, Australia</t>
  </si>
  <si>
    <t>anita.poulsen@uq.edu.au; so.kawaguchi@aad.gov.au; matti.t.leppanen@uef.fi; jussi.kukkonen@uef.fi; s.bengtsonnash@griffith.edu.au</t>
  </si>
  <si>
    <t>Kukkonen, Jussi/JHV-1650-2023; Poulsen, Anita H/G-2190-2010; Bengtson Nash, Susan/GMX-4611-2022; Bengtson Nash, Susan/I-3942-2015; Kawaguchi, So/N-1795-2017</t>
  </si>
  <si>
    <t>Bengtson Nash, Susan/0000-0001-5928-0850; Bengtson Nash, Susan/0000-0001-5928-0850; Kukkonen, Jussi/0000-0003-3449-6828; Kawaguchi, So/0000-0002-2042-5095</t>
  </si>
  <si>
    <t>The authors thank AAD staff for krill collection and maintenance. The advice of Robert King and Toshihiro Yoshida on larval rearing and technical design was invaluable for this research. We are also grateful to Peter Landrum, Caroline Gaus and Catherine King for stimulating discussions and to two anonymous reviewers for helpful comments. This research was funded by an ARC Discovery grant (DP666891). Entox is a partnership between the University of Queensland and Queensland Health.</t>
  </si>
  <si>
    <t>1879-1026</t>
  </si>
  <si>
    <t>NOV 15</t>
  </si>
  <si>
    <t>10.1016/j.scitotenv.2011.08.056</t>
  </si>
  <si>
    <t>853SA</t>
  </si>
  <si>
    <t>WOS:000297444800013</t>
  </si>
  <si>
    <t>Vihma, T; Tuovinen, E; Savijärvi, H</t>
  </si>
  <si>
    <t>Vihma, Timo; Tuovinen, Eveliina; Savijarvi, Hannu</t>
  </si>
  <si>
    <t>Interaction of katabatic winds and near-surface temperatures in the Antarctic</t>
  </si>
  <si>
    <t>ICE AIR-FLOW; BOUNDARY-LAYER; ADELIE LAND; ON-ICE; SIMULATIONS; CIRCULATION; PERFORMANCE; ADVECTION; CLIMATE; REGIME</t>
  </si>
  <si>
    <t>A two-dimensional mesoscale model was applied to simulate wintertime katabatic winds in the Antarctic coastal region. Simulations were made for a constant slope angle with the slope height varying and for fixed slope heights with the slope angle varying. Thermal wind opposed the katabatic flow near the foot of the slope, but enhanced it over the high plateau. The steeper and higher the slope, the stronger the effect on the plateau. The 2 m potential temperature decreased down the slope toward sea ice, because (1) the katabatic wind resulted in the accumulation of cold near- surface air over the sea ice and the lower parts of the slope, (2) over the flat sea ice zone, the stratification was stronger, and (3) the shallow slope was within the strong surface inversion from over the sea ice. With a slope aspect ratio of 5 m km(-1) and a slope height below 1000 m, 2 m temperature (T-2m) decreased down the slope, but for slope heights of 1500 m and more T-2m increased down the slope. Adiabatic warming and, because of the stronger wind, enhanced turbulent mixing of the warmer air from aloft contributed to the warming. For slope angles ranging from 1 to 20 m km(-1), with a small slope height of 500 m, T-2m decreased down the slope but not monotonically, whereas with a slope height of 2000 m, yielding stronger winds and larger adiabatic warming, T-2m increased monotonically down the slope. The model results were supported by observations from several Antarctic sites with different topographic conditions.</t>
  </si>
  <si>
    <t>[Vihma, Timo] Finnish Meteorol Inst, FI-00101 Helsinki, Finland; [Tuovinen, Eveliina; Savijarvi, Hannu] Univ Helsinki, Dept Phys, FI-00014 Helsinki, Finland</t>
  </si>
  <si>
    <t>Finnish Meteorological Institute; University of Helsinki</t>
  </si>
  <si>
    <t>Vihma, T (corresponding author), Finnish Meteorol Inst, POB 64, FI-00101 Helsinki, Finland.</t>
  </si>
  <si>
    <t>timo.vihma@fmi.fi</t>
  </si>
  <si>
    <t>Vihma, Timo/ABC-9771-2020</t>
  </si>
  <si>
    <t>Academy of Finland [128533, 128799]; Academy of Finland (AKA) [128799, 128533] Funding Source: Academy of Finland (AKA)</t>
  </si>
  <si>
    <t>Academy of Finland(Research Council of Finland); Academy of Finland (AKA)(Research Council of Finland)</t>
  </si>
  <si>
    <t>The study was supported by the Academy of Finland (contracts 128533 and 128799). The ECMWF is acknowledged for providing model analyses. We thank the anonymous reviewers for their valuable comments.</t>
  </si>
  <si>
    <t>D21119</t>
  </si>
  <si>
    <t>10.1029/2010JD014917</t>
  </si>
  <si>
    <t>851KD</t>
  </si>
  <si>
    <t>WOS:000297266900001</t>
  </si>
  <si>
    <t>Verlinden, KL; Thompson, DWJ; Stephens, GL</t>
  </si>
  <si>
    <t>Verlinden, Kathryn L.; Thompson, David W. J.; Stephens, Graeme L.</t>
  </si>
  <si>
    <t>The Three-Dimensional Distribution of Clouds over the Southern Hemisphere High Latitudes</t>
  </si>
  <si>
    <t>ANTARCTIC PLATEAU; COVER; POLE</t>
  </si>
  <si>
    <t>The authors exploit three years of data from the CloudSat and Cloud Aerosol Lidar and Infrared Pathfinder Satellite Observation (CALIPSO) satellites to document for the first time the seasonally varying vertical structure of cloudiness throughout Antarctica and the high-latitude Southern Ocean. The results provide a baseline reference of Southern Hemisphere high-latitude cloudiness for future observational and modeling studies, and they highlight several previously undocumented aspects and key features of Antarctic cloudiness. The key features of high-latitude Southern Hemisphere cloudiness documented here include 1) a pronounced seasonal cycle in cloudiness over the high-latitude Southern Hemisphere, with higher cloud incidences generally found during the winter season over both the Southern Ocean and Antarctica; 2) two distinct maxima in vertical profiles of cloud incidence over the Southern Ocean, one centered near the surface and another centered in the upper troposphere; 3) a nearly discontinuous drop-off in cloudiness near 8 km over much of the continent that peaks during autumn, winter, and spring; 4) large east west gradients in upper-level cloudiness in the vicinity of the Antarctic Peninsula that peak during the austral spring season; and 5) evidence that cloudiness in the polar stratosphere is marked not by a secondary maximum at stratospheric levels but by a nearly monotonic decrease with height from the tropopause. Key results are interpreted in the context of the seasonally varying profiles of vertical motion and static stability and compared with results of previous studies.</t>
  </si>
  <si>
    <t>[Verlinden, Kathryn L.; Thompson, David W. J.; Stephens, Graeme L.] Colorado State Univ, Dept Atmospher Sci, Ft Collins, CO 80523 USA</t>
  </si>
  <si>
    <t>Colorado State University</t>
  </si>
  <si>
    <t>Thompson, DWJ (corresponding author), Colorado State Univ, Dept Atmospher Sci, 1371 Campus Delivery, Ft Collins, CO 80523 USA.</t>
  </si>
  <si>
    <t>davet@atmos.colostate.edu</t>
  </si>
  <si>
    <t>Thompson, David/C-3520-2008; Thompson, David W J/F-9627-2012</t>
  </si>
  <si>
    <t>Thompson, David W J/0000-0002-5413-4376</t>
  </si>
  <si>
    <t>National Science Foundation [AMT-0613082]; NASA [NAS5-99237, NNX07AR11G]; Div Atmospheric &amp; Geospace Sciences; Directorate For Geosciences [0936255] Funding Source: National Science Foundation</t>
  </si>
  <si>
    <t>National Science Foundation(National Science Foundation (NSF)); NASA(National Aeronautics &amp; Space Administration (NASA)); Div Atmospheric &amp; Geospace Sciences; Directorate For Geosciences(National Science Foundation (NSF)NSF - Directorate for Geosciences (GEO))</t>
  </si>
  <si>
    <t>The results in this paper are an outgrowth of KLV's master's thesis in the Department of Atmospheric Science at Colorado State University. KLV and DWJT were supported by the National Science Foundation Grant AMT-0613082. KLV was supported under the NASA Award NAS5-99237 during the final year of her degree. GLS was supported under the NASA Award NNX07AR11G.</t>
  </si>
  <si>
    <t>10.1175/2011JCLI3922.1</t>
  </si>
  <si>
    <t>849PX</t>
  </si>
  <si>
    <t>WOS:000297138700006</t>
  </si>
  <si>
    <t>Noguez, JH; Diyabalanage, TKK; Miyata, Y; Xie, XS; Valeriote, FA; Amsler, CD; McClintock, JB; Baker, BJ</t>
  </si>
  <si>
    <t>Noguez, Jaime H.; Diyabalanage, Thushara K. K.; Miyata, Yoshinari; Xie, Xiao-Song; Valeriote, Frederick A.; Amsler, Charles D.; McClintock, James B.; Baker, Bill J.</t>
  </si>
  <si>
    <t>Palmerolide macrolides from the Antarctic tunicate Synoicum adareanum</t>
  </si>
  <si>
    <t>BIOORGANIC &amp; MEDICINAL CHEMISTRY</t>
  </si>
  <si>
    <t>Melanoma; V-ATPase inhibitor; Polyketide</t>
  </si>
  <si>
    <t>REVISED STRUCTURES; PROTON PUMPS; MARINE; (H+)-ATPASES; INHIBITORS; ATPASES</t>
  </si>
  <si>
    <t>Palmerolides D-G are new bioactive macrolides isolated from the Antarctic tunicate Synoicum adareanum and are related to the melanoma-selective cytotoxin palmerolide A. Most of these palmerolides are potent V-ATPase inhibitors and have sub-micromolar activity against melanoma. Though palmerolide A remains the most potent of this series of natural products against mammalian V-ATPase, recent data suggests that palmerolide D is the most potent against melanoma. A comparison of the bioactivity data obtained for these natural product palmerolides has provided insight into the substructures necessary to retain V-ATPase inhibition and cytotoxic activity. (C) 2011 Elsevier Ltd. All rights reserved.</t>
  </si>
  <si>
    <t>[Noguez, Jaime H.; Diyabalanage, Thushara K. K.; Miyata, Yoshinari; Baker, Bill J.] Univ S Florida, Dept Chem, Tampa, FL 33620 USA; [Noguez, Jaime H.; Diyabalanage, Thushara K. K.; Miyata, Yoshinari; Baker, Bill J.] Univ S Florida, Ctr Mol Divers Drug Design Discovery &amp; Delivery, Tampa, FL 33620 USA; [Xie, Xiao-Song] UT SW Med Ctr, McDermott Ctr Human Growth &amp; Dev, Dallas, TX 75390 USA; [Valeriote, Frederick A.] Josephine Ford Canc Ctr, Detroit, MI 48202 USA; [Amsler, Charles D.; McClintock, James B.] Univ Alabama, Dept Biol, Birmingham, AL 35294 USA</t>
  </si>
  <si>
    <t>State University System of Florida; University of South Florida; State University System of Florida; University of South Florida; University of Texas System; University of Texas Southwestern Medical Center Dallas; University of Alabama System; University of Alabama Birmingham</t>
  </si>
  <si>
    <t>Baker, BJ (corresponding author), Univ S Florida, Dept Chem, 4202 E Fowler Ave, Tampa, FL 33620 USA.</t>
  </si>
  <si>
    <t>bjbaker@usf.edu</t>
  </si>
  <si>
    <t>NSF [OPP-0125181, -0442769, OPP-0125152, -0296207, -0442857]; Directorate For Geosciences; Office of Polar Programs (OPP) [0442857, 0296207] Funding Source: National Science Foundation; Office of Polar Programs (OPP); Directorate For Geosciences [0442769] Funding Source: National Science Foundation</t>
  </si>
  <si>
    <t>We thank Dan Martin, Craig Asmack, Alan Maschek, Philip Bucolo, Matt Lebar, Kevin Peters, Maggie Amsler, Drs. Katrin Iken and Anne Fairhead for field assistance, Edwin Rivera for NMR advice, the NCI for bioassays, and staff of Raytheon Polar Services and NSF's United States Antarctic Program for logistical support. This research was funded by the NSF (OPP-0125181 and -0442769 to C. D. A. and J.B.M., OPP-0125152, -0296207 and -0442857 to B.J.B.)</t>
  </si>
  <si>
    <t>0968-0896</t>
  </si>
  <si>
    <t>BIOORGAN MED CHEM</t>
  </si>
  <si>
    <t>Bioorg. Med. Chem.</t>
  </si>
  <si>
    <t>10.1016/j.bmc.2011.06.004</t>
  </si>
  <si>
    <t>Biochemistry &amp; Molecular Biology; Chemistry, Medicinal; Chemistry, Organic</t>
  </si>
  <si>
    <t>Biochemistry &amp; Molecular Biology; Pharmacology &amp; Pharmacy; Chemistry</t>
  </si>
  <si>
    <t>841TI</t>
  </si>
  <si>
    <t>WOS:000296535900010</t>
  </si>
  <si>
    <t>Baroni, M; Bard, E; Petit, JR; Magand, O; Bourlès, D</t>
  </si>
  <si>
    <t>Baroni, Melanie; Bard, Edouard; Petit, Jean-Robert; Magand, Olivier; Bourles, Didier</t>
  </si>
  <si>
    <t>Volcanic and solar activity, and atmospheric circulation influences on cosmogenic 10Be fallout at Vostok and Concordia (Antarctica) over the last 60 years</t>
  </si>
  <si>
    <t>ICE CORE; NUCLIDE PRODUCTION; SEA-ICE; LIDAR OBSERVATIONS; CIRCUMPOLAR WAVE; PINATUBO AEROSOL; EAST ANTARCTICA; COSMIC-RAYS; MODULATION; RECORDS</t>
  </si>
  <si>
    <t>The cosmogenic nuclide beryllium-10 (Be-10), recovered from ice cores, is often used to study solar activity on long time-scales. However, the Be-10 signal is also influenced by factors other than the Sun. To identify and quantify various contributions to the Be-10 signal, two Antarctic snow records from the Vostok and Concordia sites spanning the last 60 years were studied at a sub-annual resolution. Three factors that contribute to the Be-10 signal were identified. First, a significant period of approximately 11 yr that can be associated with the modulation of Be-10 production by solar activity was detected in both records. The solar imprint constitutes 20-35% of the variance within the total signal. The 11-yr Be-10 snow component was attenuated by a factor of similar to 0.5 and was delayed by similar to 1.4 yr compared to the Be-10 production expected within the polar atmosphere. The result could be interpreted as the composite response of a stratospheric Be-10 reservoir with an 11-yr modulation that was attenuated and delayed (with respect to Be-10 polar production) and to a tropospheric Be-10 reservoir with an 11-yr modulation that was not attenuated or delayed. Then, peaks in Be-10 concentrations that were similar to 66% and similar to 35% higher than the average concentration were observed during the stratospheric volcanic eruptions of Agung (in 1963) and Pinatubo (in 1991), respectively. In light of these new results, published Be-10 ice core records could be reinterpreted because spikes in Be-10 concentration appear at the time of several stratospheric events. The data indicate that stratospheric volcanic eruptions can impact Be-10 transport and deposition as a result of the roles played by the sedimentation of sulfate aerosols and the formation and rapid settling of polar stratospheric clouds (PSC). Also, an interannual variability of similar to 4 yr was determined in both Be-10 records, corresponding to similar to 26% of the variance within the signal at Vostok. As with species of marine origin (sodium), this 4-yr variability is interpreted as a tropospheric modulation. The 4-yr variability could be associated with atmospheric circulation associated with the coupled Southern Ocean ocean-atmosphere system. The results presented here, from sites within the high Antarctic plateau, open new possibilities for ice core dating over the last few centuries and for the reconstruction of past solar activity in relation to climate. (C) 2011 Elsevier Ltd. All rights reserved.</t>
  </si>
  <si>
    <t>[Baroni, Melanie; Bard, Edouard; Bourles, Didier] Univ Aix Marseille, Coll France, CEREGE, CNRS,IRD,UMR 6635, F-13545 Aix En Provence 4, France; [Petit, Jean-Robert; Magand, Olivier] CNRS, UJF 5183, Lab Glaciol &amp; Geophys Environm, F-38402 St Martin Dheres, France</t>
  </si>
  <si>
    <t>Universite PSL; College de France; Aix-Marseille Universite; Centre National de la Recherche Scientifique (CNRS); Institut de Recherche pour le Developpement (IRD); Centre National de la Recherche Scientifique (CNRS)</t>
  </si>
  <si>
    <t>Baroni, M (corresponding author), Univ Aix Marseille, Coll France, CEREGE, CNRS,IRD,UMR 6635, BP80, F-13545 Aix En Provence 4, France.</t>
  </si>
  <si>
    <t>baroni@cerege.fr</t>
  </si>
  <si>
    <t>Bard, Edouard/G-7717-2014</t>
  </si>
  <si>
    <t>Bourles, Didier/0000-0001-5991-6126</t>
  </si>
  <si>
    <t>Agence Nationale de la Recherche (ANR) [ANR-07-VULN-013, ANR-09-BLAN-0003-01, ANR-BLAN-0223]; College de France; INSU/CNRS; French Ministry of Research and Higher Education; IRD; CEA; Agence Nationale de la Recherche (ANR) [ANR-09-BLAN-0003] Funding Source: Agence Nationale de la Recherche (ANR)</t>
  </si>
  <si>
    <t>Agence Nationale de la Recherche (ANR)(Agence Nationale de la Recherche (ANR)); College de France; INSU/CNRS(Centre National de la Recherche Scientifique (CNRS)); French Ministry of Research and Higher Education; IRD; CEA(French Atomic Energy Commission); Agence Nationale de la Recherche (ANR)(Agence Nationale de la Recherche (ANR))</t>
  </si>
  <si>
    <t>The study presented here is a contribution to the VANISH (ANR-07-VULN-013), the VOLSOL (ANR-09-BLAN-0003-01), and the VOSTOK (ANR-BLAN-0223) projects, which are funded by the Agence Nationale de la Recherche (ANR). We thank College de France for salary support and for funding the laboratory development. The fieldwork at Concordia and Vostok benefited from logistical support from the French Polar Institute (IPEV) and Russian Antarctic Expeditions (RAE). We thank M. Arnold, G. Aumaitre, and K. Keddadouche for their valuable assistance during 10Be measurements at the ASTER AMS national facility (CEREGE, Aix-en-Provence), which is supported by the INSU/CNRS, the French Ministry of Research and Higher Education, the IRD, and CEA. We thank M. De Angelis for the ion chromatography facility, B. Narcisi for the characterization of the Pinatubo event, J. Savarino, V. Lipenkov and staff from the IPEV and RAE for fieldwork, and G. Raisbeck for providing advice regarding the 10Be sample preparation. This paper benefited from helpful discussions with S. Bekki, T. Barlyaeva, G. Delaygue, B. Delmonte, M. Legrand, H. W. Jacobi, J. P. Benoist, P. Jean-Baptiste, E. Fourre, O. Cartapanis, and B. Lemieux-Dudon. We thank the three reviewers for their helpful comments and suggestions to improve the manuscript.</t>
  </si>
  <si>
    <t>10.1016/j.gca.2011.09.002</t>
  </si>
  <si>
    <t>842FQ</t>
  </si>
  <si>
    <t>WOS:000296579600025</t>
  </si>
  <si>
    <t>Paudel, B; Bhattarai, HD; Koh, HY; Lee, SG; Han, SJ; Lee, HK; Oh, H; Shin, HW; Yim, JH</t>
  </si>
  <si>
    <t>Paudel, Babita; Bhattarai, Hari Datta; Koh, Hye Yeon; Lee, Sung Gu; Han, Se Jong; Lee, Hong Kum; Oh, Hyuncheol; Shin, Hyun Woung; Yim, Joung Han</t>
  </si>
  <si>
    <t>Ramalin, a novel nontoxic antioxidant compound from the Antarctic lichen Ramalina terebrata</t>
  </si>
  <si>
    <t>PHYTOMEDICINE</t>
  </si>
  <si>
    <t>Ramalina terebrata; 1-Diphenyl-2-picryl-hydrazil (DPPH); Antioxidant; Tyrosinase; Raw264.7</t>
  </si>
  <si>
    <t>KING GEORGE ISLAND; TYROSINASE; SUPEROXIDE; FLAVONOIDS; EXTRACTS; SEEDS</t>
  </si>
  <si>
    <t>Ramalin (gamma-glutamyl-N'-(2-hydroxyphenyl)hydrazide), a novel compound, was isolated from the methanol-water extract of the Antarctic lichen Ramalina terebrata by several chromatographic methods. The molecular structure of ramalin was determined by spectroscopic analysis. The experimental data showed that ramalin was five times more potent than commercial butylated hydroxyanisole (BHA) in scavenging 1-diphenyl-2-picryl-hydazil (DPPH) free radicals, 27 times more potent in scavenging 2,2'-azino-bis (3-ethylbenzthiazoline-6-sulfonic acid free radicals (ABTS') than the vitamin E analogue, trolox, and 2.5 times more potent than BHT in reducing Fe3+ to Fe2+ ions. Similarly, ramalin was 1.2 times more potent than ascorbic acid in scavenging superoxide radicals and 1.25 times more potent than commercial kojic acid in inhibiting tyrosinase enzyme activity, which ultimately leads to whitening of skin cells. Ramalin showed no or very little cytotoxicity in human keratinocyte and fibroblast cells at its antioxidant concentration. Furthermore, ramalin was assessed to determine its antioxidant activity in vivo. One microgram per milliliter ramalin significantly reduced the released nitric oxide (NO) and 0.125 mu g/ml ramalin reduced the produced hydrogen peroxide (H2O2) in LPS (lipopolysaccharide)stimulated murine macrophage Raw264.7 cells. Considering all the data together, ramalin can be a strong therapeutic candidate for controlling oxidative stress in cells. (C) 2011 Elsevier GmbH. All rights reserved.</t>
  </si>
  <si>
    <t>[Paudel, Babita; Bhattarai, Hari Datta; Koh, Hye Yeon; Lee, Sung Gu; Han, Se Jong; Lee, Hong Kum; Yim, Joung Han] KORDI, Korea Polar Res Inst, Inchon 406840, South Korea; [Oh, Hyuncheol] Silla Univ, Coll Med &amp; Life Sci, Pusan 617736, South Korea; [Shin, Hyun Woung] Soonchunhyang Univ, Dept Marine Biotechnol, Asan 336745, South Korea</t>
  </si>
  <si>
    <t>Korea Polar Research Institute (KOPRI); Korea Institute of Ocean Science &amp; Technology (KIOST); Silla University; Soonchunhyang University</t>
  </si>
  <si>
    <t>Yim, JH (corresponding author), KORDI, Korea Polar Res Inst, Inchon 406840, South Korea.</t>
  </si>
  <si>
    <t>jhyim@kopri.re.kr</t>
  </si>
  <si>
    <t>HAN, Se Jong/0000-0001-9576-2179</t>
  </si>
  <si>
    <t>Korea Polar Research Institute, KOPRI [PE11060]</t>
  </si>
  <si>
    <t>Korea Polar Research Institute, KOPRI</t>
  </si>
  <si>
    <t>This work was supported by a grant to the Korea Polar Research Institute, KOPRI, under a project PE11060. The authors wish to thank Dr. Joo Won Roh (KIST) for her helpful comment to maintain Raw264.7 cells, and Dr. Suhkneung Pyo and Mr. Kyung No Kim (Sungkyunkwan University) for the FACS analysis.</t>
  </si>
  <si>
    <t>0944-7113</t>
  </si>
  <si>
    <t>1618-095X</t>
  </si>
  <si>
    <t>Phytomedicine</t>
  </si>
  <si>
    <t>10.1016/j.phymed.2011.06.007</t>
  </si>
  <si>
    <t>Plant Sciences; Chemistry, Medicinal; Integrative &amp; Complementary Medicine; Pharmacology &amp; Pharmacy</t>
  </si>
  <si>
    <t>Plant Sciences; Pharmacology &amp; Pharmacy; Integrative &amp; Complementary Medicine</t>
  </si>
  <si>
    <t>860RF</t>
  </si>
  <si>
    <t>WOS:000297964700014</t>
  </si>
  <si>
    <t>Nost, OA; Biuw, M; Tverberg, V; Lydersen, C; Hattermann, T; Zhou, Q; Smedsrud, LH; Kovacs, KM</t>
  </si>
  <si>
    <t>Nost, O. A.; Biuw, M.; Tverberg, V.; Lydersen, C.; Hattermann, T.; Zhou, Q.; Smedsrud, L. H.; Kovacs, K. M.</t>
  </si>
  <si>
    <t>Eddy overturning of the Antarctic Slope Front controls glacial melting in the Eastern Weddell Sea</t>
  </si>
  <si>
    <t>SHELF-OCEAN INTERACTION; FIMBUL ICE SHELF; GEOSTROPHIC EDDIES; WATER MASSES; CIRCULATION; SURFACE; PARAMETERIZATION; BOTTOM; MODEL; HEAT</t>
  </si>
  <si>
    <t>The Eastern Weddell Sea is characterized by narrow continental shelves and Warm Deep Water (WDW) is located in close proximity to the ice shelves in this region. The exchange of WDW across the Antarctic Slope Front (ASF) determines the rate of basal ice shelf melting. Here, we present a unique data set consisting of 2351 vertical profiles of temperature and salinity collected by southern elephant seals (Mirounga leonina) and a profile beneath the Fimbul Ice Shelf (FIS), obtained via drilling through 395 m of ice. This data set reveals variations in salinity and temperature through winter, and using a conceptual model of the coastal salt budget we quantify the main exchange processes. Our data show that modified WDW, with temperatures below -1.5 degrees C, is advected onto the shelf and into the ice shelf cavities by an eddy overturning of the ASF. The onshore Ekman flux of surface waters during summer is the main source of freshwater that leads to the formation of low salinity shelf waters in the region. The modified WDW that reaches beneath the ice shelves is too cold for basal ice shelf melting to create such low salinity water. A high-resolution model of an idealized ASF-continental shelf-ice shelf system supports the conclusions from the data analysis. The inflow of WDW onto the continental shelf and into the ice shelf cavity occurs within a bottom boundary layer where the eddy advection in the model is particularly strong, in close agreement with the observed vertical profile of temperature beneath the FIS.</t>
  </si>
  <si>
    <t>[Nost, O. A.] Norwegian Polar Res Inst, Fram Ctr, N-9296 Tromso, Norway; [Smedsrud, L. H.] Bjerknes Ctr Climate Res, N-5007 Bergen, Norway</t>
  </si>
  <si>
    <t>Norwegian Polar Institute; Bjerknes Centre for Climate Research</t>
  </si>
  <si>
    <t>Nost, OA (corresponding author), Norwegian Polar Res Inst, Fram Ctr, N-9296 Tromso, Norway.</t>
  </si>
  <si>
    <t>ole@npolar.no</t>
  </si>
  <si>
    <t>Tverberg, Vigdis/AAC-8801-2021; Biuw, Martin/AAF-9895-2021</t>
  </si>
  <si>
    <t>Tverberg, Vigdis/0000-0001-8065-9988; Smedsrud, Lars H./0000-0001-7391-0740; Hattermann, Tore/0000-0002-5538-2267; Biuw, Martin/0000-0001-8051-3399</t>
  </si>
  <si>
    <t>Norwegian Polar Institute's Centre for Ice, Climate and Ecosystems (ICE); Norwegian Antarctic Research Expeditions (NARE)</t>
  </si>
  <si>
    <t>We thank Keith Nicholls and Keith Makinson for the loan of hot-water-drilling equipment and assistance with preparations for field work. We also thank Eberhard Fahrbach and Gerd Rohardt for letting us use CTD data from the 2008 Polarstern cruise for calibrating the seal CTD data. The Argo data that were used for calibrating the data collected by the seals were collected and made freely available by the International Argo Project and the national programs that contribute to it. (http://www.argo.ucsd.edu, http://argo.jcommops.org). Argo is a pilot program of the Global Ocean Observing System. This work was supported by the Norwegian Polar Institute's Centre for Ice, Climate and Ecosystems (ICE) and by the Norwegian Antarctic Research Expeditions (NARE).</t>
  </si>
  <si>
    <t>NOV 12</t>
  </si>
  <si>
    <t>C11014</t>
  </si>
  <si>
    <t>10.1029/2011JC006965</t>
  </si>
  <si>
    <t>848RY</t>
  </si>
  <si>
    <t>WOS:000297072800002</t>
  </si>
  <si>
    <t>Makarevich, RA; Kellerman, AC; Devlin, JC; Ye, H; Lyons, LR; Nishimura, Y</t>
  </si>
  <si>
    <t>Makarevich, Roman A.; Kellerman, A. C.; Devlin, J. C.; Ye, H.; Lyons, L. R.; Nishimura, Y.</t>
  </si>
  <si>
    <t>SAPS intensification during substorm recovery: A multi-instrument case study</t>
  </si>
  <si>
    <t>SUBAURORAL ION DRIFTS; POLARIZATION STREAM; ELECTRIC-FIELDS; HF RADAR; E-REGION; IONOSPHERIC SIGNATURES; EVOLUTION; SUPERDARN; VELOCITY; AURORA</t>
  </si>
  <si>
    <t>A case of the major intensification of the subauroral polarization stream (SAPS) during the substorm recovery phase is presented. The continuous high-time-resolution Doppler velocity measurements in the subauroral and auroral regions were conducted with the Unwin HF radar, and these are analyzed in the context of the simultaneous and coincident measurements of the auroral luminosity and the total electron content (TEC) by the IMAGE and GPS satellites. Additional information was provided by other SuperDARN radars, DMSP F15 satellite crossing the fully-developed SAPS region, ground-based measurements near the location of the substorm onset, and GOES and LANL satellites in the inner magnetosphere. The association between the SAPS and TEC trough is further substantiated at short timescales and TEC is shown to exhibit two distinct types of responses to substorm onset poleward of and within SAPS, with no evidence of a TEC decrease during SAPS intensification. It is argued that the positive feedback between the electric fields and electron densities was probably not responsible for the observed SAPS intensification. Moreover, it is proposed that the strong and steady plasma acceleration within SAPS may be triggered by a burst of auroral activity, rather than accompanied by a similarly steady variation in other observed parameters either in the ionosphere or in the inner magnetosphere. It is also argued that the SAPS intensification occurring during the recovery phase is not necessarily expected from the current models of the SAPS formation and evolution, but is consistent with the observationally-based view of a fully-developed SAPS as a substorm recovery phenomenon.</t>
  </si>
  <si>
    <t>[Makarevich, Roman A.] Univ Alaska Fairbanks, Inst Geophys, Fairbanks, AK 99775 USA; [Makarevich, Roman A.] Univ Alaska Fairbanks, Dept Phys, Fairbanks, AK 99775 USA; [Kellerman, A. C.; Devlin, J. C.; Ye, H.] La Trobe Univ, Sch Engn &amp; Math Sci, Melbourne, Vic 3086, Australia; [Lyons, L. R.; Nishimura, Y.] Univ Calif Los Angeles, Dept Atmospher &amp; Ocean Sci, Los Angeles, CA 90095 USA</t>
  </si>
  <si>
    <t>University of Alaska System; University of Alaska Fairbanks; University of Alaska System; University of Alaska Fairbanks; La Trobe University; University of California System; University of California Los Angeles</t>
  </si>
  <si>
    <t>Makarevich, RA (corresponding author), Univ Alaska Fairbanks, Inst Geophys, Fairbanks, AK 99775 USA.</t>
  </si>
  <si>
    <t>r.makarevich@gi.alaska.edu</t>
  </si>
  <si>
    <t>Kellerman, Adam/AEX-6248-2022; Makarevich, Roman/H-4542-2013</t>
  </si>
  <si>
    <t>Kellerman, Adam/0000-0002-2315-936X;</t>
  </si>
  <si>
    <t>La Trobe University; Monash University; University of Adelaide; University of Newcastle; ISR Division DSTO; IPS Radio and Space Services; ARC; US Air Force Office of Scientific Research; British Antarctic Survey; RLM Systems Pty Ltd, Australia</t>
  </si>
  <si>
    <t>La Trobe University; Monash University(Monash University); University of Adelaide; University of Newcastle; ISR Division DSTO; IPS Radio and Space Services; ARC(Australian Research Council); US Air Force Office of Scientific Research(United States Department of DefenseAir Force Office of Scientific Research (AFOSR)); British Antarctic Survey; RLM Systems Pty Ltd, Australia</t>
  </si>
  <si>
    <t>TIGER is supported by a consortium of institutions: La Trobe University, Monash University, University of Adelaide, University of Newcastle, ISR Division DSTO and IPS Radio and Space Services. Additional funding toward construction of the TIGER radars was received from the ARC, US Air Force Office of Scientific Research, British Antarctic Survey and RLM Systems Pty Ltd, Australia. The authors gratefully acknowledge H. U. Frey of the Space Sciences Lab at the University of California at Berkeley for providing the IMAGE FUV data, the Center for Space Sciences at the University of Texas at Dallas and the US Air Force for the DMSP thermal plasma data, D. DeLapp and G. Reeves of Los Alamos National Laboratory for the SOPA LANL particle flux data, T. Onsager of NOAA and CDAWeb for the GOES 10 energetic particle sensor data, H. J. Singer of NOAA/SEC and CDAWeb for the GOES 10 magnetometer data, International Global Navigation Satellite Systems Service for the GPS data, Geoscience Australia for the MQI magnetometer data, and IPS Radio and Space Services for the MQI riometer data.</t>
  </si>
  <si>
    <t>A11311</t>
  </si>
  <si>
    <t>10.1029/2011JA016916</t>
  </si>
  <si>
    <t>848PI</t>
  </si>
  <si>
    <t>WOS:000297063200001</t>
  </si>
  <si>
    <t>Ooi, SH; Abu Samah, A; Braesicke, P</t>
  </si>
  <si>
    <t>Ooi, See Hai; Abu Samah, Azizan; Braesicke, Peter</t>
  </si>
  <si>
    <t>A case study of the Borneo Vortex genesis and its interactions with the global circulation</t>
  </si>
  <si>
    <t>WINTER MONSOON; MARITIME CONTINENT; DISTURBANCES; SURGES; SEA</t>
  </si>
  <si>
    <t>During the East Asian winter or the northeast monsoon (November-March), cold surges associated with cold air outbreaks from the Siberian high propagate equatorward and interact with the near-equatorial trough in the southern South China Sea. Usually, in the later phase of the monsoon, the so-called Borneo vortex develops over the sea and is the main driver for the formation of deep convection and heavy rainfall in East Malaysia. We present a case study of a cold-surge-induced event during January 2010. We diagnose a substantial export of potential energy from the Borneo vortex strengthening the subtropical jet. At 200 hPa, the velocity potential maximum related to the established Hadley circulation is shifted eastward from 140 E toward the dateline from presurge to postsurge periods. This modifies the general circulation patterns in the Southern Hemisphere with possible consequences for trace gas distributions. In addition, we explore implications for vertical transport by deep convection occurring in association with the Borneo vortex by diagnosing potential vorticity changes in the vicinity of the vortex.</t>
  </si>
  <si>
    <t>[Ooi, See Hai; Abu Samah, Azizan] Univ Malaya, Inst Postgrad Studies, Natl Antarctic Res, Kuala Lumpur 50603, Malaysia; [Braesicke, Peter] Univ Cambridge, Dept Chem, Natl Ctr Atmospher Sci, Cambridge CB2 1EW, England</t>
  </si>
  <si>
    <t>Universiti Malaya; UK Research &amp; Innovation (UKRI); Natural Environment Research Council (NERC); NERC National Centre for Atmospheric Science; University of Cambridge</t>
  </si>
  <si>
    <t>Ooi, SH (corresponding author), Univ Malaya, Inst Postgrad Studies, Natl Antarctic Res, Kuala Lumpur 50603, Malaysia.</t>
  </si>
  <si>
    <t>axl419@yahoo.com; azizans@um.edu.my; peter.braesicke@atm.ch.cam.ac.uk</t>
  </si>
  <si>
    <t>ABU SAMAH, AZIZAN HJ/B-8295-2010; Braesicke, Peter/D-8330-2016</t>
  </si>
  <si>
    <t>Braesicke, Peter/0000-0003-1423-0619</t>
  </si>
  <si>
    <t>Malaysian Government eScienceFund [04-01-03-SF0410]; Vice Chancellors of the University of Malaya; Cambridge University, UK; Natural Environment Research Council [ncas10009] Funding Source: researchfish</t>
  </si>
  <si>
    <t>Malaysian Government eScienceFund; Vice Chancellors of the University of Malaya; Cambridge University, UK(University of Cambridge); Natural Environment Research Council(UK Research &amp; Innovation (UKRI)Natural Environment Research Council (NERC))</t>
  </si>
  <si>
    <t>The authors gratefully acknowledge the required observational data supplied by the Director-General of the Malaysian Meteorological Department (MMD) and the funding of the field experiment by the Malaysian Government eScienceFund grant 04-01-03-SF0410. NCEP-NCAR reanalysis data were provided by the NOAA Climate Diagnostics Center and the data analysis was carried out using the Grid Analysis and Display System (GrADS) software from the Center for Ocean-Land-Atmosphere Studies (COLA). They are also grateful for the encouragement and strong support by the Vice Chancellors of the University of Malaya and the Cambridge University, UK.</t>
  </si>
  <si>
    <t>D21116</t>
  </si>
  <si>
    <t>10.1029/2011JD015991</t>
  </si>
  <si>
    <t>848KZ</t>
  </si>
  <si>
    <t>WOS:000297051800003</t>
  </si>
  <si>
    <t>Song, HJ; Choi, E; Lim, GH; Kim, YH; Kug, JS; Yeh, SW</t>
  </si>
  <si>
    <t>Song, Hyo-Jong; Choi, Eunho; Lim, Gyu-Ho; Kim, Young Ho; Kug, Jong-Seong; Yeh, Sang-Wook</t>
  </si>
  <si>
    <t>The central Pacific as the export region of the El Nino-Southern Oscillation sea surface temperature anomaly to Antarctic sea ice</t>
  </si>
  <si>
    <t>VARIABILITY; CONVECTION; EVENTS; WINTER; ENSO</t>
  </si>
  <si>
    <t>In the mature season of El Nino, Rossby waves do not easily propagate into the polar region, and the seasonal climatology of sea ice is minimal. Austral summer is a barrier to the persistent Antarctic dipole pattern (ADP) in sea ice. The sea surface temperature (SST) anomaly of central Pacific type El Nino (CP-El Nino) in the central Pacific contributes to a strong Rossby wave response and weakening of the polar-front jet that yields strong ADP in austral spring just before the ADP barrier. The strong ADP produces intensive sea-ice-air feedback, which allows the ADP anomaly to breach the barrier. In the conventional El Nino (EP-El Nino) events, the upper-level structure cannot contribute to the strong anomalous high pressure. In EP-El Nino events, the anomalous high in the Bellingshausen Sea is replaced by an anomalous low after the austral autumn following the mature season, whereas the anomalous high pressure persists up to the austral winter in the CP-El Nino. In the CP-El Nino, the ADP persists until austral winter after the mature season of El Nino, whereas, in the EP-El Nino, it does not persist after austral summer. The central Pacific cold SST anomaly of La Nina together with the seasonal SST climatology prolongs the opposite phase of the ADP anomaly up to the austral winter. Consequently, the tropical climate anomaly is exported to extratropics at the central Pacific in the Southern Hemisphere.</t>
  </si>
  <si>
    <t>[Song, Hyo-Jong; Choi, Eunho; Lim, Gyu-Ho] Seoul Natl Univ, Sch Earth &amp; Environm Sci, Seoul 151747, South Korea; [Kim, Young Ho; Kug, Jong-Seong] Korea Ocean Res &amp; Dev Inst, Climate Change &amp; Coastal Disaster Res Dept, Ansan 426744, South Korea; [Yeh, Sang-Wook] Hanyang Univ, Dept Environm Marine Sci, Ansan 426791, South Korea</t>
  </si>
  <si>
    <t>Seoul National University (SNU); Korea Institute of Ocean Science &amp; Technology (KIOST); Hanyang University</t>
  </si>
  <si>
    <t>Song, HJ (corresponding author), Seoul Natl Univ, Sch Earth &amp; Environm Sci, Seoul 151747, South Korea.</t>
  </si>
  <si>
    <t>yhkim@kordi.re.kr</t>
  </si>
  <si>
    <t>KUG, JONG-SEONG/A-8053-2013; Lim, Gyu-Ho/J-5928-2014; yeh, sang-wook/G-3007-2014</t>
  </si>
  <si>
    <t>KUG, JONG-SEONG/0000-0003-2251-2579; Lim, Gyu-Ho/0000-0003-1921-9726; yeh, sang-wook/0000-0003-4549-1686</t>
  </si>
  <si>
    <t>National Research Foundation of Korea; Korean Government (MEST) [NRF-2009-C1AAA001-2009-0093042]; Korea Meteorological Administration [RACS 2011-2020]; Brain Korea 21 Project</t>
  </si>
  <si>
    <t>National Research Foundation of Korea(National Research Foundation of Korea); Korean Government (MEST)(Ministry of Education, Science &amp; Technology (MEST), Republic of KoreaKorean Government); Korea Meteorological Administration(Korea Meteorological Administration (KMA)); Brain Korea 21 Project(Ministry of Education &amp; Human Resources Development (MOEHRD), Republic of Korea)</t>
  </si>
  <si>
    <t>We thank Xiaojun Yuan and the other anonymous reviewer for their constructive comments. This work was supported by the National Research Foundation of Korea Grand funded by the Korean Government (MEST) (NRF-2009-C1AAA001-2009-0093042) and the Korea Meteorological Administration Research and Development Program under Grant RACS 2011-2020. The first and second authors acknowledged financial support from the Brain Korea 21 Project.</t>
  </si>
  <si>
    <t>NOV 11</t>
  </si>
  <si>
    <t>D21113</t>
  </si>
  <si>
    <t>10.1029/2011JD015645</t>
  </si>
  <si>
    <t>848KX</t>
  </si>
  <si>
    <t>WOS:000297051600002</t>
  </si>
  <si>
    <t>Yamamoto, K; Fukuda, Y; Doi, K</t>
  </si>
  <si>
    <t>Yamamoto, Keiko; Fukuda, Yoichi; Doi, Koichiro</t>
  </si>
  <si>
    <t>Interpretation of GIA and ice-sheet mass trends over Antarctica using GRACE and ICESat data as a constraint to GIA models</t>
  </si>
  <si>
    <t>TECTONOPHYSICS</t>
  </si>
  <si>
    <t>GRACE; ICESat; GIA trend over Antarctica; Antarctic ice-sheet mass trend</t>
  </si>
  <si>
    <t>CLIMATE EXPERIMENT; SNOW ACCUMULATION; GRAVITY RECOVERY; SATELLITE DATA; POLAR ICE; ELEVATION; SURFACE; BALANCE</t>
  </si>
  <si>
    <t>The Gravity Recovery and Climate Experiment (GRACE) and Ice, Cloud, and land Elevation Satellite (ICESat) have provided data sets covering observations over a period of more than 6 years since their respective launches. In this study, we used the GRACE mass change trend obtained by version 2 of CNES/GRGS solutions and the ICEsat elevation change trend from October 4, 2003, to March 21, 2008, to assess whether currently used glacial isostatic adjustment (GIA) models agree with the data sets. For six selected areas over West Antarctica, the mass trends for the surface ice sheet, which were obtained by subtracting the four GIA model trends (ICE-5G, IJ05, ANTS and ANT6) from the estimated GRACE mass trend, were compared with the ICESat trends in order to assess whether these two trends are consistent within the uncertainty of the ice column density. The results show that the mass trend predicted by IJ05 GIA model is the most preferable to explain surface mass trends over some of these areas. The result is consistent with Riva et al. (2009); their estimated GIA trend from GRACE and ICESat data is very similar with IJ05 model. (C) 2010 Elsevier B.V. All rights reserved.</t>
  </si>
  <si>
    <t>[Yamamoto, Keiko] Natl Inst Humanities, Res Inst Humanity &amp; Nat, Kita Ku, Kyoto 6038047, Japan; [Fukuda, Yoichi] Kyoto Univ, Grad Sch Sci, Dept Geophys, Sakyo Ku, Kyoto 6068502, Japan; [Doi, Koichiro] Natl Inst Polar Res, Tachikawa, Tokyo 1908518, Japan</t>
  </si>
  <si>
    <t>Research Institute for Humanity &amp; Nature (RIHN); Kyoto University; Research Organization of Information &amp; Systems (ROIS); National Institute of Polar Research (NIPR) - Japan</t>
  </si>
  <si>
    <t>Yamamoto, K (corresponding author), Natl Inst Humanities, Res Inst Humanity &amp; Nat, Kita Ku, 457-4 Motoyama, Kyoto 6038047, Japan.</t>
  </si>
  <si>
    <t>yamamoto@chikyu.ac.jp</t>
  </si>
  <si>
    <t>Fukuda, Yoichi/0000-0002-7731-816X</t>
  </si>
  <si>
    <t>0040-1951</t>
  </si>
  <si>
    <t>1879-3266</t>
  </si>
  <si>
    <t>Tectonophysics</t>
  </si>
  <si>
    <t>NOV 10</t>
  </si>
  <si>
    <t>10.1016/j.tecto.2010.11.010</t>
  </si>
  <si>
    <t>868IV</t>
  </si>
  <si>
    <t>WOS:000298517900002</t>
  </si>
  <si>
    <t>Laepple, T; Werner, M; Lohman, G</t>
  </si>
  <si>
    <t>Laepple, Thomas; Werner, Martin; Lohman, Gerrit</t>
  </si>
  <si>
    <t>Antarctic accumulation seasonality Reply</t>
  </si>
  <si>
    <t>Letter</t>
  </si>
  <si>
    <t>Sime and Wolff(1) discuss our local hypothesis for the orbital variability in Antarctic ice cores(2) by analysing the stability of Antarctic accumulation as simulated by the HadAM3 atmosphere general circulation model (GCM). They propose that a shift of the accumulation maximum towards austral summer in colder climates could dominate the weighted insolation and therefore mask the relationship of the accumulation-weighted signal and Northern Hemisphere summer insolation. We show that the applied model approach is inappropriate to evaluate the accumulation seasonality as current global GCMs are not skilful at modelling present and past accumulation seasonality at the core sites. Furthermore, time variability in accumulation seasonality can weaken or strengthen the accumulation-weighting hypothesis, depending on the time evolution of the seasonality changes.</t>
  </si>
  <si>
    <t>[Laepple, Thomas; Werner, Martin; Lohman, Gerrit] Alfred Wegener Inst Polar &amp; Marine Res, Bremerhaven, Germany</t>
  </si>
  <si>
    <t>Laepple, T (corresponding author), Alfred Wegener Inst Polar &amp; Marine Res, Bremerhaven, Germany.</t>
  </si>
  <si>
    <t>thomas.laepple@awi.de</t>
  </si>
  <si>
    <t>Werner, Martin/C-8067-2014; Laepple, Thomas/M-8783-2015</t>
  </si>
  <si>
    <t>Werner, Martin/0000-0002-6473-0243; Laepple, Thomas/0000-0001-8108-7520</t>
  </si>
  <si>
    <t>E2</t>
  </si>
  <si>
    <t>E4</t>
  </si>
  <si>
    <t>10.1038/nature10614</t>
  </si>
  <si>
    <t>861PD</t>
  </si>
  <si>
    <t>WOS:000298030800002</t>
  </si>
  <si>
    <t>Sime, LC; Wolff, EW</t>
  </si>
  <si>
    <t>Sime, Louise C.; Wolff, Eric W.</t>
  </si>
  <si>
    <t>Antarctic accumulation seasonality</t>
  </si>
  <si>
    <t>ICE CORE; CLIMATE</t>
  </si>
  <si>
    <t>The resemblance of the orbitally filtered isotope signal from the past 340 kyr in Antarctic ice cores to Northern Hemisphere summer insolation intensity has been used to suggest that the northern hemisphere may drive orbital-scale global climate changes(1). A recent Letter(2) by Laepple et al. suggests that, contrary to this interpretation, this semblance may instead be explained by weighting the orbitally controlled Antarctic seasonal insolation cycle with a static (present-day) estimate of the seasonal cycle of accumulation. We suggest, however, that both time variability in accumulation seasonality and alternative stable seasonality can markedly alter the weighted insolation signal. This indicates that, if the last 340 kyr of Antarctic accumulation has not always looked like the estimate of precipitation and accumulation seasonality made by Laepple et al.(2), this particular accumulation weighting explanation of the Antarctic orbital-scale isotopic signal might not be robust.</t>
  </si>
  <si>
    <t>[Sime, Louise C.; Wolff, Eric W.] British Antarctic Survey, Cambridge CB3 0ET, England</t>
  </si>
  <si>
    <t>Sime, LC (corresponding author), British Antarctic Survey, Cambridge CB3 0ET, England.</t>
  </si>
  <si>
    <t>lsim@bas.ac.uk</t>
  </si>
  <si>
    <t>Wolff, Eric W/D-7925-2014; Sime, Louise/AAX-7730-2021; Sime, Louise/F-8058-2012</t>
  </si>
  <si>
    <t>Wolff, Eric W/0000-0002-5914-8531; Sime, Louise/0000-0002-9093-7926; Sime, Louise/0000-0002-9093-7926</t>
  </si>
  <si>
    <t>E1</t>
  </si>
  <si>
    <t>10.1038/nature10613</t>
  </si>
  <si>
    <t>WOS:000298030800001</t>
  </si>
  <si>
    <t>Huang, T; Sun, LG; Stark, J; Wang, YH; Cheng, ZQ; Yang, QC; Sun, S</t>
  </si>
  <si>
    <t>Huang, Tao; Sun, Liguang; Stark, John; Wang, Yuhong; Cheng, Zhongqi; Yang, Qichao; Sun, Song</t>
  </si>
  <si>
    <t>Relative Changes in Krill Abundance Inferred from Antarctic Fur Seal</t>
  </si>
  <si>
    <t>STABLE-ISOTOPES; SOUTHERN-OCEAN; MIGRATION PATTERNS; MARINE ECOSYSTEMS; LAKE-SEDIMENTS; TROPHIC LEVELS; CLIMATE-CHANGE; ICE EXTENT; FOOD-WEB; DIET</t>
  </si>
  <si>
    <t>Antarctic krill Euphausia superba is a predominant species in the Southern Ocean, it is very sensitive to climate change, and it supports large stocks of fishes, seabirds, seals and whales in Antarctic marine ecosystems. Modern krill stocks have been estimated directly by net hauls and acoustic surveys; the historical krill density especially the long-term one in the Southern Ocean, however, is unknown. Here we inferred the relative krill population changes along the West Antarctic Peninsula (WAP) over the 20th century from the trophic level change of Antarctic fur seal Arctocephalus gazella using stable carbon (delta C-13) and nitrogen (delta N-15) isotopes of archival seal hairs. Since Antarctic fur seals feed preferentially on krill, the variation of delta N-15 in seal hair indicates a change in the proportion of krill in the seal's diets and thus the krill availability in local seawater. For the past century, enriching fur seal delta N-15 values indicated decreasing krill availability. This is agreement with direct observation for the past similar to 30 years and suggests that the recently documented decline in krill populations began in the early parts of the 20th century. This novel method makes it possible to infer past krill population changes from ancient tissues of krill predators.</t>
  </si>
  <si>
    <t>[Huang, Tao; Sun, Liguang; Wang, Yuhong; Yang, Qichao] Univ Sci &amp; Technol China, Inst Polar Environm, Sch Earth &amp; Space Sci, Hefei 230026, Peoples R China; [Stark, John] Utah State Univ, Dept Biol, Logan, UT 84322 USA; [Stark, John] Utah State Univ, Ctr Ecol, Logan, UT 84322 USA; [Wang, Yuhong; Sun, Song] Chinese Acad Sci, Inst Oceanol, Qingdao, Peoples R China; [Cheng, Zhongqi] CUNY Brooklyn Coll, Brooklyn, NY 11210 USA</t>
  </si>
  <si>
    <t>Chinese Academy of Sciences; University of Science &amp; Technology of China, CAS; Utah System of Higher Education; Utah State University; Utah System of Higher Education; Utah State University; Chinese Academy of Sciences; Institute of Oceanology, CAS; City University of New York (CUNY) System; Brooklyn College (CUNY)</t>
  </si>
  <si>
    <t>Huang, T (corresponding author), Univ Sci &amp; Technol China, Inst Polar Environm, Sch Earth &amp; Space Sci, Hefei 230026, Peoples R China.</t>
  </si>
  <si>
    <t>slg@ustc.edu.cn</t>
  </si>
  <si>
    <t>Huang, Tao/B-5915-2009; Cheng, Zhongqi/K-4148-2018</t>
  </si>
  <si>
    <t>Cheng, Zhongqi/0000-0002-2486-9662; Huang, Tao/0000-0001-5035-1632</t>
  </si>
  <si>
    <t>National Natural Science Foundation of China [40730107, 41106162]; Chinese Arctic and Antarctic Administration; Polar Research Institute of China</t>
  </si>
  <si>
    <t>National Natural Science Foundation of China(National Natural Science Foundation of China (NSFC)); Chinese Arctic and Antarctic Administration; Polar Research Institute of China</t>
  </si>
  <si>
    <t>Funding for this work was provided by the National Natural Science Foundation of China (No. 40730107 and No. 41106162). The funders had no role in study design, data collection and analysis, decision to publish, or preparation of the manuscript.; We thank the Chinese Arctic and Antarctic Administration and Polar Research Institute of China for support in field, and all the people who provided help in field.</t>
  </si>
  <si>
    <t>NOV 7</t>
  </si>
  <si>
    <t>e27331</t>
  </si>
  <si>
    <t>10.1371/journal.pone.0027331</t>
  </si>
  <si>
    <t>852HH</t>
  </si>
  <si>
    <t>WOS:000297347700042</t>
  </si>
  <si>
    <t>Celo, V; Dabek-Zlotorzynska, E; Zhao, JJ; Okonskaia, I; Bowman, D</t>
  </si>
  <si>
    <t>Celo, Valbona; Dabek-Zlotorzynska, Ewa; Zhao, Jiujiang; Okonskaia, Irina; Bowman, David</t>
  </si>
  <si>
    <t>An improved method for determination of lanthanoids in environmental samples by inductively coupled plasma mass spectrometry with high matrix introduction system</t>
  </si>
  <si>
    <t>ANALYTICA CHIMICA ACTA</t>
  </si>
  <si>
    <t>Lanthanoids; Inductively coupled plasma mass spectrometry (ICP-MS); High matrix introduction system (HMI); Microwave digestion; Environmental samples</t>
  </si>
  <si>
    <t>RARE-EARTH-ELEMENTS; MICROWAVE DIGESTION; PARTICULATE MATTER; GEOLOGICAL SAMPLES; ANTARCTIC ICE; LANTHANIDES; EXTRACTION; SEPARATION; AEROSOLS; MARKERS</t>
  </si>
  <si>
    <t>The capability of ICP-MS equipped with the high matrix introduction system (HMI) for accurate analysis of lanthanoids in environmental samples was investigated. Compared to the conventional operation, the amounts of oxide and hydroxide molecular species formed in the plasma were reduced by up to 5 times. The relative yields of oxides did not exceed 0.02% for BaO+ species and were as low as 0.3% for lanthanoids with the highest oxide-formation rates (LaO+, CeO+, PrO+ and NdO+). Hydroxide formation was less than 0.02% when HMI system was used. In addition, two digestion procedures were evaluated by the analysis of standard reference materials (SRMs) of different matrices. The digestion efficiency and limits of detection (LOD) were improved when samples were digested with a mixture of HNO3/H2O2/HCl/HF, and HF was removed by evaporation in presence of concentrated HCl. Using this procedure and HMI-ICP-MS analysis, LOD ranged from 0.1 mu g kg(-1) to 6 mu g kg(-1). Recoveries Fanged from 85 to 115% for La to Ho and from 75 to 85% for the other lanthanoids. Relative standard deviations for replicate analysis of SRMs were less than 10%. Crown Copyright (C) 2011 Published by Elsevier B.V. All rights reserved.</t>
  </si>
  <si>
    <t>[Celo, Valbona; Dabek-Zlotorzynska, Ewa; Zhao, Jiujiang; Okonskaia, Irina; Bowman, David] Environm Canada, Sci &amp; Technol Branch, Atmospher Sci &amp; Technol Directorate, Anal &amp; Air Qual Sect,Air Qual Res Div, Ottawa, ON K1A 0H3, Canada</t>
  </si>
  <si>
    <t>Environment &amp; Climate Change Canada</t>
  </si>
  <si>
    <t>Celo, V (corresponding author), Environm Canada, Sci &amp; Technol Branch, Atmospher Sci &amp; Technol Directorate, Anal &amp; Air Qual Sect,Air Qual Res Div, 335 River Rd, Ottawa, ON K1A 0H3, Canada.</t>
  </si>
  <si>
    <t>Valbona.Celo@ec.gc.ca</t>
  </si>
  <si>
    <t>Zhao, Jiujiang/0000-0001-7149-0594; Bowman, David/0000-0002-2953-4845</t>
  </si>
  <si>
    <t>Canada's Chemicals Management Plan (CMP) under a CMP Project Determination of selected CMP metallic species in environmental media</t>
  </si>
  <si>
    <t>This work was supported in part by the Canada's Chemicals Management Plan (CMP) under a CMP Project Determination of selected CMP metallic species in environmental media. David Bowman would like to thank Environment Canada for the 4 month tenure as a summer student in the AAQS laboratories.</t>
  </si>
  <si>
    <t>0003-2670</t>
  </si>
  <si>
    <t>1873-4324</t>
  </si>
  <si>
    <t>ANAL CHIM ACTA</t>
  </si>
  <si>
    <t>Anal. Chim. Acta</t>
  </si>
  <si>
    <t>10.1016/j.aca.2011.08.024</t>
  </si>
  <si>
    <t>844NW</t>
  </si>
  <si>
    <t>WOS:000296755300007</t>
  </si>
  <si>
    <t>McMillan, M; Shepherd, A; Nienow, P; Leeson, A</t>
  </si>
  <si>
    <t>McMillan, M.; Shepherd, A.; Nienow, P.; Leeson, A.</t>
  </si>
  <si>
    <t>Tide model accuracy in the Amundsen Sea, Antarctica, from radar interferometry observations of ice shelf motion</t>
  </si>
  <si>
    <t>PINE ISLAND GLACIER; SATELLITE RADAR; SHEET MOTION; FEATURE-TRACKING; GLOBAL OCEAN; GREENLAND; FILCHNER; PENINSULA; DYNAMICS; COLLAPSE</t>
  </si>
  <si>
    <t>This study assesses the accuracy of tide model predictions in the Amundsen Sea sector of West Antarctica. Tide model accuracy in this region is poorly constrained, yet tide models contribute to simulations of ocean heat transfer and to the removal of tidal signals from satellite observations of ice shelves. We use two satellite-based interferometric synthetic aperture radar (InSAR) methods to measure the tidal motion of the Dotson Ice Shelf at multiple epochs: a single-difference technique that measures tidal displacement and a double-difference technique that measures changes in tidal displacement. We use these observations to evaluate predictions from three tide models (TPXO7.1, CATS2008a_opt, and FES2004). All three models perform comparably well, exhibiting root-mean-square deviations from the observations of similar to 9 cm (single-difference technique) and similar to 10 cm (double-difference technique). Care should be taken in generalizing these error statistics because (1) the Dotson Ice Shelf experiences relatively small semidiurnal tides and (2) our observations are not sensitive to all tidal constituents. An error analysis of our InSAR-based methods indicates measurement errors of 7 and 4 cm for the single-and double-difference techniques, respectively. A model-based correction for the effect of fluctuations in atmospheric pressure yields an similar to 6% improvement in the agreement between tide model predictions and observations. This study suggests that tide model accuracy in the Amundsen Sea is comparable to other Antarctic regions where tide models are better constrained. These methods can be used to evaluate tide models in other remote Antarctic waters.</t>
  </si>
  <si>
    <t>[McMillan, M.; Shepherd, A.; Leeson, A.] Univ Leeds, Sch Earth &amp; Environm, Leeds LS2 9JT, W Yorkshire, England; [McMillan, M.; Nienow, P.] Univ Edinburgh, Sch Geosci, Edinburgh EH8 9XP, Midlothian, Scotland</t>
  </si>
  <si>
    <t>University of Leeds; University of Edinburgh</t>
  </si>
  <si>
    <t>McMillan, M (corresponding author), Univ Leeds, Sch Earth &amp; Environm, Leeds LS2 9JT, W Yorkshire, England.</t>
  </si>
  <si>
    <t>McMillan, Malcolm/K-7712-2014; Facility, NERC Geophysical Equipment/G-5260-2010; Leeson, Amber/JFA-1001-2023</t>
  </si>
  <si>
    <t>McMillan, Malcolm/0000-0002-5113-0177; Shepherd, Andrew/0000-0002-4914-1299; Leeson, Amber/0000-0001-8720-9808</t>
  </si>
  <si>
    <t>UK Natural Environment Research Council's National Centre for Earth Observation; NERC [NE/E014089/2] Funding Source: UKRI; Natural Environment Research Council [earth010006, NE/E014089/2, cpom20001] Funding Source: researchfish</t>
  </si>
  <si>
    <t>UK Natural Environment Research Council's National Centre for Earth Observation; NERC(UK Research &amp; Innovation (UKRI)Natural Environment Research Council (NERC)); Natural Environment Research Council(UK Research &amp; Innovation (UKRI)Natural Environment Research Council (NERC))</t>
  </si>
  <si>
    <t>This work was funded by the UK Natural Environment Research Council's National Centre for Earth Observation, through a Centre for Polar Observation and Modeling Ph.D. studentship. We acknowledge the British Atmospheric Data Centre for supplying the ECMWF data and the ESA VECTRA program for the provision of the raw SAR data. We are grateful to the architects of the FES, TPXO, and CATS tide models for making their models freely available. We thank Noel Gourmelen for reviewing a draft version of the manuscript and Laurie Padman and one anonymous reviewer for their thoughtful reviews, which helped to substantially improve the manuscript.</t>
  </si>
  <si>
    <t>NOV 5</t>
  </si>
  <si>
    <t>C11008</t>
  </si>
  <si>
    <t>10.1029/2011JC007294</t>
  </si>
  <si>
    <t>842SP</t>
  </si>
  <si>
    <t>WOS:000296620800003</t>
  </si>
  <si>
    <t>Simpson, PJL; Codd, R</t>
  </si>
  <si>
    <t>Simpson, Philippa J. L.; Codd, Rachel</t>
  </si>
  <si>
    <t>Cold adaptation of the mononuclear molybdoenzyme periplasmic nitrate reductase from the Antarctic bacterium Shewanella gelidimarina</t>
  </si>
  <si>
    <t>BIOCHEMICAL AND BIOPHYSICAL RESEARCH COMMUNICATIONS</t>
  </si>
  <si>
    <t>Periplasmic nitrate reductase; Shewanella gelidimarina; Enzyme cold adaptation</t>
  </si>
  <si>
    <t>ARSENITE OXIDASE; ENZYMES; PURIFICATION; ENVIRONMENT; RESOLUTION; DIVERSITY; SELENATE; LIFE</t>
  </si>
  <si>
    <t>The reduction of nitrate to nitrite is catalysed in bacteria by periplasmic nitrate reductase (Nap) which describes a system of variable protein subunits encoded by the nap operon. Nitrate reduction occurs in the NapA subunit, which contains a bis-molybdopterin guanine dinucleotide (Mo-MGD) cofactor and one [4Fe-4S] iron-sulfur cluster. The activity of periplasmic nitrate reductase (Nap) isolated as native protein from the cold-adapted (psychrophilic) Antarctic bacterium Shewanella gelidimarina (Nap(Sgel)) and middle-temperature adapted (mesophilic) Shewanella putrefaciens (Nap(Sput)) was examined at varied temperature. Irreversible deactivation of Nap(Sgel), and Nap(Sput) occurred at 54.5 and 65 degrees C, respectively. When Nap(Sgel) was preincubated at 21-70 degrees C for 30 min, the room-temperature nitrate reductase activity was maximal and invariant between 21 and 54 degrees C, which suggested that Nap(Sgel) was poised for optimal catalysis at modest temperatures and, unlike Nap(Sput), did not benefit from thermally-induced refolding. At 20 degrees C, Nap(Sgel) reduced selenate at 16% of the rate of nitrate reduction. Nap(Sput) did not reduce selenate. Sequence alignment showed 46 amino acid residue substitutions in Nap(Sgel) that were conserved in NapA from mesophilic Shewanella, Rhodobacter and Escherichia species and could be associated with the Nap(Sgel) cold-adapted phenotype. Protein homology modeling of Nap(Sgel) using a mesophilic template with 66% amino acid identity showed the majority of substitutions occurred at the protein surface distal to the Mo-MGD cofactor. Two mesophilic &lt;-&gt; psychrophilic substitutions (Asn &lt;-&gt; His, Val &lt;-&gt; Trp) occurred in a region close to the surface of the NapA substrate funnel resulting in potential interdomain pi-pi and/or cation-pi interactions. Three mesophilic psychrophilic substitutions occurred within 4.5 angstrom of the Mo-MGD cofactor (Phe &lt;-&gt; Met, Ala &lt;-&gt; Ser, Ser &lt;-&gt; Thr) resulting in local regions that varied in hydrophobicity and hydrogen bonding networks. These results contribute to the understanding of thermal protein adaptation in a redox-active mononuclear molybdenum enzyme and have implications in optimizing the design of low-temperature environmental biosensors. (C) 2011 Elsevier Inc. All rights reserved.</t>
  </si>
  <si>
    <t>[Simpson, Philippa J. L.; Codd, Rachel] Univ Sydney, Sch Chem, Sydney, NSW 2006, Australia; [Codd, Rachel] Univ Sydney, Sch Med Sci Pharmacol, Sydney, NSW 2006, Australia; [Codd, Rachel] Univ Sydney, Bosch Inst, Sydney, NSW 2006, Australia</t>
  </si>
  <si>
    <t>University of Sydney; University of Sydney; University of Sydney</t>
  </si>
  <si>
    <t>Codd, R (corresponding author), Univ Sydney, Sch Chem, Sydney, NSW 2006, Australia.</t>
  </si>
  <si>
    <t>rachel.codd@sydney.edu.au</t>
  </si>
  <si>
    <t>Codd, Rachel/C-1202-2012</t>
  </si>
  <si>
    <t>Codd, Rachel/0000-0002-2703-883X</t>
  </si>
  <si>
    <t>Hermon Slade Foundation (HSF) [06/7]; Australian Antarctic Division [2547]</t>
  </si>
  <si>
    <t>Hermon Slade Foundation (HSF); Australian Antarctic Division</t>
  </si>
  <si>
    <t>Dr. D.S. Nichols (University of Tasmania) is kindly acknowledged for supplying S. gelidimarina ACAM 456T and S. putrefaciens ATCC 8071T and Drs. M.J. Maher and J.M. Santini are thanked for their contributions to the early stages of this work. Financial support is acknowledged from The Hermon Slade Foundation (HSF 06/7) and from the Australian Antarctic Division [AAS Grant 2547 (RC) and Top-Up Postgraduate Scholarship (PJLS)].</t>
  </si>
  <si>
    <t>0006-291X</t>
  </si>
  <si>
    <t>1090-2104</t>
  </si>
  <si>
    <t>BIOCHEM BIOPH RES CO</t>
  </si>
  <si>
    <t>Biochem. Biophys. Res. Commun.</t>
  </si>
  <si>
    <t>NOV 4</t>
  </si>
  <si>
    <t>10.1016/j.bbrc.2011.10.003</t>
  </si>
  <si>
    <t>Biochemistry &amp; Molecular Biology; Biophysics</t>
  </si>
  <si>
    <t>848XO</t>
  </si>
  <si>
    <t>WOS:000297088600025</t>
  </si>
  <si>
    <t>Cipolla, A; D'Amico, S; Barumandzadeh, R; Matagne, A; Feller, G</t>
  </si>
  <si>
    <t>Cipolla, Alexandre; D'Amico, Salvino; Barumandzadeh, Roya; Matagne, Andre; Feller, Georges</t>
  </si>
  <si>
    <t>Stepwise Adaptations to Low Temperature as Revealed by Multiple Mutants of Psychrophilic α-Amylase from Antarctic Bacterium</t>
  </si>
  <si>
    <t>JOURNAL OF BIOLOGICAL CHEMISTRY</t>
  </si>
  <si>
    <t>COLD ADAPTATION; ALTEROMONAS-HALOPLANCTIS; THERMODYNAMIC STABILITY; STRUCTURAL-ANALYSIS; CITRATE SYNTHASE; ENZYMES; PROTEIN; ENVIRONMENTS; INHIBITOR; INSIGHTS</t>
  </si>
  <si>
    <t>The mutants Mut5 and Mut5CC from a psychrophilic alpha-amylase bear representative stabilizing interactions found in the heat-stable porcine pancreatic alpha-amylase but lacking in the cold-active enzyme from an Antarctic bacterium. From an evolutionary perspective, these mutants can be regarded as structural intermediates between the psychrophilic and the mesophilic enzymes. We found that these engineered interactions improve all the investigated parameters related to protein stability as follows: compactness; kinetically driven stability; thermodynamic stability; resistance toward chemical denaturation, and the kinetics of unfolding/refolding. Concomitantly to this improved stability, both mutants have lost the kinetic optimization to low temperature activity displayed by the parent psychrophilic enzyme. These results provide strong experimental support to the hypothesis assuming that the disappearance of stabilizing interactions in psychrophilic enzymes increases the amplitude of concerted motions required by catalysis and the dynamics of active site residues at low temperature, leading to a higher activity.</t>
  </si>
  <si>
    <t>[Feller, Georges] Univ Liege, Inst Chem B6A, Ctr Prot Engn, Biochem Lab, B-4000 Liege, Belgium; [Barumandzadeh, Roya; Matagne, Andre] Univ Liege, Ctr Prot Engn, Labs Enzymol &amp; Prot Folding, B-4000 Liege, Belgium</t>
  </si>
  <si>
    <t>University of Liege; University of Liege</t>
  </si>
  <si>
    <t>Feller, G (corresponding author), Univ Liege, Inst Chem B6A, Ctr Prot Engn, Biochem Lab, B-4000 Liege, Belgium.</t>
  </si>
  <si>
    <t>gfeller@ulg.ac.be</t>
  </si>
  <si>
    <t>Fonds de la Recherche Scientifique-Fonds; National de la Recherche Scientifique; Belgium Fonds de la Recherche Fondamentale et Collective [2.4535.08, 2.4530.09]; Belgian Program of Interuniversity Attraction Poles [P6/19]; Institut Polaire Francais</t>
  </si>
  <si>
    <t>Fonds de la Recherche Scientifique-Fonds; National de la Recherche Scientifique; Belgium Fonds de la Recherche Fondamentale et Collective(Fonds de la Recherche Scientifique - FNRS); Belgian Program of Interuniversity Attraction Poles; Institut Polaire Francais</t>
  </si>
  <si>
    <t>This work was supported by the Fonds de la Recherche Scientifique-Fonds, National de la Recherche Scientifique, Belgium Fonds de la Recherche Fondamentale et Collective Contracts 2.4535.08 (to G. F.) and 2.4530.09 (to A. M.) and the Belgian Program of Interuniversity Attraction Poles initiated by the Federal Office for Scientific, Technical and Cultural Affaires P6/19.; We thank H. Bichoff (Bayer AG, Germany) for the kind gift of acarbose. The support of the Institut Polaire Francais was also appreciated.</t>
  </si>
  <si>
    <t>AMER SOC BIOCHEMISTRY MOLECULAR BIOLOGY INC</t>
  </si>
  <si>
    <t>BETHESDA</t>
  </si>
  <si>
    <t>9650 ROCKVILLE PIKE, BETHESDA, MD 20814-3996 USA</t>
  </si>
  <si>
    <t>1083-351X</t>
  </si>
  <si>
    <t>J BIOL CHEM</t>
  </si>
  <si>
    <t>J. Biol. Chem.</t>
  </si>
  <si>
    <t>10.1074/jbc.M111.274423</t>
  </si>
  <si>
    <t>842JD</t>
  </si>
  <si>
    <t>WOS:000296594200048</t>
  </si>
  <si>
    <t>Grocott, A; Milan, SE; Baker, JBH; Freeman, MP; Lester, M; Yeoman, TK</t>
  </si>
  <si>
    <t>Grocott, A.; Milan, S. E.; Baker, J. B. H.; Freeman, M. P.; Lester, M.; Yeoman, T. K.</t>
  </si>
  <si>
    <t>Dynamic subauroral ionospheric electric fields observed by the Falkland Islands radar during the course of a geomagnetic storm</t>
  </si>
  <si>
    <t>LATITUDE DAYSIDE IONOSPHERE; NORTH-SOUTH COMPONENT; ION DRIFTS; HF RADAR; POLARIZATION STREAM; ISOLATED SUBSTORM; RESPONSE-TIME; SUPERDARN; EISCAT; FLOWS</t>
  </si>
  <si>
    <t>We present an analysis of ionospheric electric field data observed during a geomagnetic storm by the recently deployed HF radar located on the Falkland Islands. On 3 August 2010 at similar to 1800 UT evidence of the onset of a geomagnetic storm was observed in ground magnetometer data in the form of a decrease in the Sym-H index of similar to 100 nT. The main phase of the storm was observed to last similar to 24 hours before a gradual recovery lasting similar to 3 days. On 4 August, during the peak magnetic disturbance of the storm, a high velocity (&gt;1000 m s (1)) channel of ionospheric plasma flow, which we interpret as a subauroral ion drift (SAID), located between 53 degrees and 58 degrees magnetic south and lasting similar to 6.5 hours, was observed by the Falkland Islands radar in the pre-midnight sector. Coincident flow data from the DMSP satellites and the magnetically near-conjugate northern hemisphere Blackstone HF radar reveal that the SAID was embedded within the broader subauroral polarization streams (SAPS). DMSP particle data indicate that the SAID location closely followed the equatorward edge of the auroral electron precipitation boundary, while remaining generally poleward of the equatorward boundary of the ion precipitation. The latitude of the SAID varied throughout the interval on similar timescales to variations in the interplanetary magnetic field and auroral activity, while variations in its velocity were more closely related to ring current dynamics. These results are consistent with SAID electric fields being generated by localized charge separation in the partial ring current, but suggest that their location is more strongly governed by solar wind driving and associated large-scale magnetospheric dynamics.</t>
  </si>
  <si>
    <t>[Grocott, A.; Milan, S. E.; Lester, M.; Yeoman, T. K.] Univ Leicester, Dept Phys &amp; Astron, Leicester LE1 7RH, Leics, England; [Baker, J. B. H.] Virginia Polytech Inst &amp; State Univ, Bradley Dept Elect &amp; Comp Engn, Blacksburg, VA 24061 USA; [Freeman, M. P.] British Antarctic Survey, Nat Environm Res Council, Cambridge CB3 0ET, England</t>
  </si>
  <si>
    <t>University of Leicester; Virginia Polytechnic Institute &amp; State University; UK Research &amp; Innovation (UKRI); Natural Environment Research Council (NERC); NERC British Antarctic Survey</t>
  </si>
  <si>
    <t>Grocott, A (corresponding author), Univ Leicester, Dept Phys &amp; Astron, Univ Rd, Leicester LE1 7RH, Leics, England.</t>
  </si>
  <si>
    <t>a.grocott@ion.le.ac.uk</t>
  </si>
  <si>
    <t>Yeoman, Timothy k/L-9105-2014; Grocott, Adrian/A-9576-2011; Lester, Mark/C-9657-2016; Freeman, Mervyn/E-5687-2019</t>
  </si>
  <si>
    <t>Yeoman, Timothy k/0000-0002-8434-4825; Milan, Steve/0000-0001-5050-9604; Baker, Joseph/0000-0001-6255-3039; Grocott, Adrian/0000-0002-6489-095X; Freeman, Mervyn/0000-0002-8653-8279</t>
  </si>
  <si>
    <t>NERC [NE/G019665/1, NE/G018707/1]; STFC [ST/H002480/1]; NSF [AGS-0849031, AGS-0946900]; Div Atmospheric &amp; Geospace Sciences; Directorate For Geosciences [0946900] Funding Source: National Science Foundation; NERC [NE/G019665/1, bas0100026, NE/G018707/1] Funding Source: UKRI; STFC [ST/H002480/1] Funding Source: UKRI; Natural Environment Research Council [NE/G018707/1, bas0100026, NE/G019665/1] Funding Source: researchfish; Science and Technology Facilities Council [ST/H002480/1] Funding Source: researchfish</t>
  </si>
  <si>
    <t>NERC(UK Research &amp; Innovation (UKRI)Natural Environment Research Council (NERC)); STFC(UK Research &amp; Innovation (UKRI)Science &amp; Technology Facilities Council (STFC)); NSF(National Science Foundation (NSF)); Div Atmospheric &amp; Geospace Sciences; Directorate For Geosciences(National Science Foundation (NSF)NSF - Directorate for Geosciences (GEO));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</si>
  <si>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ACE SWEPAM and MAG instrument teams, the ACE Science Centre, and Ruth Skoug of the Los Alamos National Laboratory provided and assisted with the ACE spacecraft data. The World Data Centre for Geomagnetism, Kyoto, provided the ground magnetic indices with individual magnetometer data sets provided by the British Antarctic Survey and the Japanese National Institute of Polar Research. The DMSP particle detectors were designed by Dave Hardy of AFRL, and data obtained from JHU/APL. We also gratefully acknowledge the Center for Space Sciences at the University of Texas at Dallas and the US Air Force for providing the DMSP thermal plasma data. AG and SEM were supported during this study by NERC grant NE/G019665/1 and MPF by NERC grant NE/G018707/1. These NERC grants also support the Falkland Islands radar hardware and operations. SEM, ML and TKY were also supported by STFC grant ST/H002480/1. JBB and Blackstone radar operations are supported by NSF grants AGS-0849031 and AGS-0946900.</t>
  </si>
  <si>
    <t>A11202</t>
  </si>
  <si>
    <t>10.1029/2011JA016763</t>
  </si>
  <si>
    <t>842WF</t>
  </si>
  <si>
    <t>WOS:000296631700001</t>
  </si>
  <si>
    <t>Segtnan, OH; Furevik, T; Jenkins, AD</t>
  </si>
  <si>
    <t>Segtnan, O. H.; Furevik, T.; Jenkins, A. D.</t>
  </si>
  <si>
    <t>Heat and freshwater budgets of the Nordic seas computed from atmospheric reanalysis and ocean observations</t>
  </si>
  <si>
    <t>GREENLAND-SCOTLAND RIDGE; ATLANTIC WATER; NORTH-ATLANTIC; FRAM STRAIT; BARENTS SEA; DENMARK STRAIT; INTERANNUAL VARIABILITY; OVERFLOW; CIRCULATION; ICE</t>
  </si>
  <si>
    <t>The heat and freshwater budgets of the Nordic seas are computed from atmospheric reanalysis data and ocean observations, mainly taken during the period 1990-1999. The total heat loss is 198 TW and the freshwater gain 52 mSv (1 Sv = 10(6) m(3) s(-1)), with residuals equal to 1 TW and 3 mSv, respectively. Budgets are also computed for three subregions within the Nordic seas: the Norwegian Sea, the Barents Sea and the Greenland/Iceland Sea. Without accounting for transfer of heat and freshwater across the Arctic Front, which separates the Greenland/Iceland Sea from the Norwegian Sea, the residuals of the heat and freshwater budgets range from -36 TW to 34 TW and from -16 mSv to 19 mSv, respectively. To close the budgets of all subregions cross-frontal fluxes of -35 TW and 17 mSv, caused either by eddy shedding along the Arctic Front or ocean currents not accounted for, must be included. Combined with observations of the average temperature and salinity on both sides of the Arctic Front these values indicate a rate of cross-frontal water exchange of approximately 4 Sv. The most intense water mass modifications occur in the Norwegian Sea, where ocean heat loss and freshwater input are equal to 119 TW and 41 mSv, respectively.</t>
  </si>
  <si>
    <t>[Segtnan, O. H.; Furevik, T.; Jenkins, A. D.] Univ Bergen, Inst Geophys, N-5007 Bergen, Norway</t>
  </si>
  <si>
    <t>University of Bergen</t>
  </si>
  <si>
    <t>Segtnan, OH (corresponding author), Univ Bergen, Inst Geophys, Allegaten 70, N-5007 Bergen, Norway.</t>
  </si>
  <si>
    <t>ole.segtnan@gfi.uib.no; tore.furevik@gfi.uib.no; alastair.jenkins@uni.no</t>
  </si>
  <si>
    <t>Furevik, Tore/0000-0002-1668-2785</t>
  </si>
  <si>
    <t>Research Council of Norway [175763]; NORCLIM; BIAC; ArcChange</t>
  </si>
  <si>
    <t>Research Council of Norway(Research Council of Norway); NORCLIM; BIAC; ArcChange</t>
  </si>
  <si>
    <t>The hydrographic data were provided by the Marine Research Institute, Iceland, the Institute of Marine Research, Norway, the Faroese Fisheries Laboratory, the Arctic and Antarctic Research Institute, Russia and Geophysical Institute, University of Bergen, Norway, through the NISE project. NCEP/DOE 2 Reanalysis data were provided by NOAA/OAR/ESRL PSD, Boulder, Colorado, USA, from their Web site at www.cdc.noaa.gov. ERA-40 data were provided from the ECMWF data server. The drifter climatology was obtained from the Atlantic Oceanographic and Meteorological Laboratory Web site at www.aoml.noaa.gov. The work was supported by the Research Council of Norway through the projects Atmosphere-Ocean Interaction (project 175763), NORCLIM, BIAC and ArcChange. It also contributes to the POCAHONTAS project.</t>
  </si>
  <si>
    <t>NOV 3</t>
  </si>
  <si>
    <t>C11003</t>
  </si>
  <si>
    <t>10.1029/2011JC006939</t>
  </si>
  <si>
    <t>842SK</t>
  </si>
  <si>
    <t>WOS:000296620200001</t>
  </si>
  <si>
    <t>Urban, KD; Gerrard, AJ; Bhattacharya, Y; Ridley, AJ; Lanzerotti, LJ; Weatherwax, AT</t>
  </si>
  <si>
    <t>Urban, Kevin D.; Gerrard, Andrew J.; Bhattacharya, Yajnavalkya; Ridley, Aaron J.; Lanzerotti, Louis J.; Weatherwax, Allan T.</t>
  </si>
  <si>
    <t>Quiet time observations of the open-closed boundary prior to the CIR-induced storm of 9 August 2008</t>
  </si>
  <si>
    <t>SPACE WEATHER-THE INTERNATIONAL JOURNAL OF RESEARCH AND APPLICATIONS</t>
  </si>
  <si>
    <t>PARTICLE-PRECIPITATION BOUNDARIES; SPECTRAL WIDTH BOUNDARIES; POLAR-CAP AREA; MODEL; MAGNETOSPHERE; OSCILLATIONS; SIGNATURES; REGIONS; MOTION; SPACE</t>
  </si>
  <si>
    <t>The open-closed magnetic field line boundary (OCB) is an important indicator of magnetospheric dynamics and can be used to identify locations of particle precipitation at the edge of the magnetosphere. The OCB can fluctuate during geomagnetic events, and the extent of this variability is a vital component of space weather research and modeling. There was a unique opportunity to identify and study the synoptic variability of the OCB during the extended 2007-2009 solar quiet period through use of the Polar Experiment Network for Geophysical Upper-atmosphere Investigations-Automatic Geophysical Observatory (PENGUIn-AGO) network of ground-based fluxgate magnetometers on the Antarctic continent. The fluxgates, which measured the occurrence of standing Pc5 modes on closed field magnetic field lines, allowed for identification of the OCB structure and study of the synoptic behavior of the OCB before and during a corotating interaction region (CIR)-driven magnetic storm. Observations were compared with results from the BATSRUS space weather model and show 83% agreement for over similar to 2 days before the CIR event. It is shown that such synoptic magnetometer data sets of the OCB during these storms allow for a careful test of current space weather models. The current study investigates the pre-storm time period, while a future paper will address the storm time evolution of the OCB.</t>
  </si>
  <si>
    <t>[Urban, Kevin D.; Gerrard, Andrew J.; Bhattacharya, Yajnavalkya; Lanzerotti, Louis J.] New Jersey Inst Technol, Ctr Solar Terr Res, Newark, NJ 07102 USA; [Ridley, Aaron J.] Univ Michigan, Ann Arbor, MI 48109 USA; [Weatherwax, Allan T.] Siena Coll, Dept Phys, Loudonville, NY 12211 USA</t>
  </si>
  <si>
    <t>New Jersey Institute of Technology; University of Michigan System; University of Michigan</t>
  </si>
  <si>
    <t>Urban, KD (corresponding author), New Jersey Inst Technol, Ctr Solar Terr Res, 323 Martin Luther King Blvd,101 Tiernan Hall, Newark, NJ 07102 USA.</t>
  </si>
  <si>
    <t>andres.j.gerrard@njit.edu; ridley@umich.edu; aweatherwax@siena.edu</t>
  </si>
  <si>
    <t>Bhattacharya, Yajnavalkya/I-6623-2019; Ridley, Aaron/F-3943-2011</t>
  </si>
  <si>
    <t>Weatherwax, Allan/0000-0003-4732-358X; Gerrard, Andrew/0000-0002-9626-2085; Urban, Kevin/0000-0003-0478-7528; Ridley, Aaron/0000-0001-6933-8534; , Yajnavalkya/0000-0003-4980-2955</t>
  </si>
  <si>
    <t>National Science Foundation Office of Polar Programs [NSF-0638587, ANT-083995]; NSF [ANT-0840158]; Directorate For Geosciences [0838861, 0838828] Funding Source: National Science Foundation; Directorate For Geosciences; Office of Polar Programs (OPP) [0638587] Funding Source: National Science Foundation; Office of Polar Programs (OPP) [0838828, 0838861] Funding Source: National Science Foundation</t>
  </si>
  <si>
    <t>National Science Foundation Office of Polar Programs(National Science Foundation (NSF)NSF - Directorate for Geosciences (GEO)); 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</si>
  <si>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The research presented here was supported by the National Science Foundation Office of Polar Programs through grants NSF-0638587 and ANT-083995. We gratefully acknowledge NSF grant ANT-0840158 that supports AGO field operations on the Antarctic plateau. We further thank the AGO field team and SPA and MCM support teams for their excellent work, which has resulted in the successful operation of the observatories.</t>
  </si>
  <si>
    <t>1542-7390</t>
  </si>
  <si>
    <t>SPACE WEATHER</t>
  </si>
  <si>
    <t>Space Weather</t>
  </si>
  <si>
    <t>NOV 2</t>
  </si>
  <si>
    <t>S11001</t>
  </si>
  <si>
    <t>10.1029/2011SW000688</t>
  </si>
  <si>
    <t>842WI</t>
  </si>
  <si>
    <t>WOS:000296632100001</t>
  </si>
  <si>
    <t>Thomson, NR; Rodger, CJ; Clilverd, MA</t>
  </si>
  <si>
    <t>Thomson, Neil R.; Rodger, Craig J.; Clilverd, Mark A.</t>
  </si>
  <si>
    <t>Daytime D region parameters from long-path VLF phase and amplitude</t>
  </si>
  <si>
    <t>IONOSPHERIC PARAMETERS; ENHANCEMENTS</t>
  </si>
  <si>
    <t>Observed phases and amplitudes of VLF radio signals propagating on very long paths are used to validate electron density parameters for the lowest edge of the (D region of the) Earth's ionosphere at low latitudes and midlatitudes near solar minimum. The phases, relative to GPS 1 s pulses, and the amplitudes were measured near the transmitters (similar to 100-150 km away), where the direct ground wave is dominant, and also at distances of similar to 8-14 Mm away, over mainly all-sea paths. Four paths were used: NWC (19.8 kHz, North West Cape, Australia) to Seattle (similar to 14 Mm) and Hawaii (similar to 10 Mm), NPM (21.4 kHz, Hawaii) and NLK (24.8 kHz, Seattle) to Dunedin, New Zealand (similar to 8 Mm and similar to 12 Mm). The characteristics of the bottom edge of the daytime ionosphere on these long paths were found to confirm and contextualize recently measured short-path values of Wait's traditional height and sharpness parameters, H' and beta, respectively, after adjusting appropriately for the (small) variations of H' and beta along the paths that are due to (1) changing solar zenith angles, (2) increasing cosmic ray fluxes with latitude, and (3) latitudinal and seasonal changes in neutral atmospheric densities from the (NASA) Mass Spectrometer Incoherent Scatter- (MSIS-) E-90 neutral atmosphere model. The sensitivity of this long-path (and hence near-global) phase and amplitude technique is similar to +/- 0.3 km for H' and similar to +/- 0.01 km(-1) for beta, thus creating the possibility of treating the height (H' similar to 70 km) as a fiduciary mark (for a specified neutral density) in the Earth's atmosphere for monitoring integrated long-term (climate) changes below similar to 70 km altitude.</t>
  </si>
  <si>
    <t>[Thomson, Neil R.; Rodger, Craig J.] Univ Otago, Dept Phys, Dunedin 9016, New Zealand; [Clilverd, Mark A.] British Antarctic Survey, Div Phys Sci, Cambridge CB3 0ET, England</t>
  </si>
  <si>
    <t>University of Otago; UK Research &amp; Innovation (UKRI); Natural Environment Research Council (NERC); NERC British Antarctic Survey</t>
  </si>
  <si>
    <t>Thomson, NR (corresponding author), Univ Otago, Dept Phys, POB 56, Dunedin 9016, New Zealand.</t>
  </si>
  <si>
    <t>n_thomson@physics.otago.ac.nz</t>
  </si>
  <si>
    <t>Rodger, Craig/A-1501-2011</t>
  </si>
  <si>
    <t>Rodger, Craig J./0000-0002-6770-2707</t>
  </si>
  <si>
    <t>Natural Environment Research Council [bas0100023] Funding Source: researchfish; NERC [bas0100023] Funding Source: UKRI</t>
  </si>
  <si>
    <t>A11305</t>
  </si>
  <si>
    <t>10.1029/2011JA016910</t>
  </si>
  <si>
    <t>842WC</t>
  </si>
  <si>
    <t>WOS:000296631400003</t>
  </si>
  <si>
    <t>Mukherjee, S; Shukla, RP; Mittal, AK; Pandey, AC</t>
  </si>
  <si>
    <t>Mukherjee, Sandipan; Shukla, Ravi Prakash; Mittal, Ashok Kumar; Pandey, Avinash Chandra</t>
  </si>
  <si>
    <t>Mathematical analysis of a chaotic model in relevance to monsoon ISO</t>
  </si>
  <si>
    <t>METEOROLOGY AND ATMOSPHERIC PHYSICS</t>
  </si>
  <si>
    <t>ATMOSPHERIC CIRCULATION; BIFURCATION-ANALYSIS; LORENZ; PREDICTION; PREDICTABILITY; REGIME; FLOW</t>
  </si>
  <si>
    <t>Mathematical analysis of a predominantly bimodal chaotic attractor, Lu system, was carried out to investigate a possible application of the model as a prototype of monsoon intra-seasonal oscillation (ISO). Bifurcation structures of the system are explored as the system parameter c and the forcing parameter F are varied. Stability criteria of equilibrium points of the forced Lu system are also explored in detail. A sensitivity study is carried out, by changing forcing parameter F, to explore relationships between some of the derived variables of the model and, based on such relationships, an empirical rule is used for extended range prediction. Analogous variables are also derived from the ISO data and prediction results are compared. Application of the prediction rule of regime transition to the observed ISO and chaotic model data is purely based on the bimodal characteristics of ISO and neglects some of the intricate mechanisms therein. We have found that a forced Lu system can be a good prototype in the prediction of peak anomaly of the monsoon ISO when growth rates around a threshold value are taken as predictors.</t>
  </si>
  <si>
    <t>[Mukherjee, Sandipan; Shukla, Ravi Prakash] Univ Allahabad, K Banerjee Ctr Atmospher &amp; Ocean Studies, IIDS, Allahabad 211002, Uttar Pradesh, India; [Mittal, Ashok Kumar] Univ Allahabad, Dept Phys, Allahabad 211002, Uttar Pradesh, India; [Pandey, Avinash Chandra] Univ Allahabad, Dept Atmospher &amp; Ocean Sci, Allahabad 211002, Uttar Pradesh, India</t>
  </si>
  <si>
    <t>University of Allahabad; University of Allahabad; University of Allahabad</t>
  </si>
  <si>
    <t>Mukherjee, S (corresponding author), Univ Canterbury, Ctr Atmospher Res, Christchurch 1, New Zealand.</t>
  </si>
  <si>
    <t>sandipanmukherjee@hotmail.com</t>
  </si>
  <si>
    <t>Shukla, Rahul/C-3387-2013; Pandey, Ashok/AAC-6340-2019; Pandey, Ashok/JBR-8714-2023; Mukherjee, Sandipan/I-5970-2014; PANDEY, AVINASH CHANDRA/B-4600-2014</t>
  </si>
  <si>
    <t>Shukla, Rahul/0000-0002-4864-0133; Pandey, Ashok/0000-0003-1626-3529; Pandey, Ashok/0000-0003-1626-3529; Mukherjee, Sandipan/0000-0001-7299-0304; PANDEY, AVINASH CHANDRA/0000-0003-0700-3856</t>
  </si>
  <si>
    <t>Indian National Center for Ocean Information Services (INCOIS); National Center for Ocean and Antarctic Research (NCOAR), MoES, Government of India</t>
  </si>
  <si>
    <t>The authors thank the Indian National Center for Ocean Information Services (INCOIS) and National Center for Ocean and Antarctic Research (NCOAR), MoES, Government of India, for financial support. S. Mukherjee thanks Dr. Suneet Dwivedi, Department of Atmospheric and Ocean Science, University of Allahabad, for useful discussions.</t>
  </si>
  <si>
    <t>SPRINGER WIEN</t>
  </si>
  <si>
    <t>WIEN</t>
  </si>
  <si>
    <t>SACHSENPLATZ 4-6, PO BOX 89, A-1201 WIEN, AUSTRIA</t>
  </si>
  <si>
    <t>0177-7971</t>
  </si>
  <si>
    <t>1436-5065</t>
  </si>
  <si>
    <t>METEOROL ATMOS PHYS</t>
  </si>
  <si>
    <t>Meteorol. Atmos. Phys.</t>
  </si>
  <si>
    <t>NOV</t>
  </si>
  <si>
    <t>10.1007/s00703-011-0159-3</t>
  </si>
  <si>
    <t>887TG</t>
  </si>
  <si>
    <t>WOS:000299952300001</t>
  </si>
  <si>
    <t>Harrison, JW; Smith, REH</t>
  </si>
  <si>
    <t>Harrison, Joel W.; Smith, Ralph E. H.</t>
  </si>
  <si>
    <t>The spectral sensitivity of phytoplankton communities to ultraviolet radiation-induced photoinhibition differs among clear and humic temperate lakes</t>
  </si>
  <si>
    <t>DISSOLVED ORGANIC-CARBON; INDUCED DNA-DAMAGE; UV-B PENETRATION; ANTARCTIC PHYTOPLANKTON; PHOSPHORUS-NUTRITION; HYDROGEN-PEROXIDE; PHOTOSYSTEM-II; CELL-SIZE; PHOTOSYNTHESIS; EXPOSURE</t>
  </si>
  <si>
    <t>We determined the spectral sensitivity of phytoplankton communities to photoinhibition in six temperate lakes spanning a transparency gradient due to variation in dissolved organic carbon (DOC) content. Changes in variable fluorescence (F-V : F-M) were monitored during experimental irradiance exposures and used to estimate spectral weighting functions for damage by ultraviolet radiation (UVR) and recovery rates. DOC explained a high proportion of the variation in UVR sensitivity, with clear-water phytoplankton communities showing greater resistance to UVR-induced photoinhibition than those of browner waters. These differences were greater when assessed in September, after clear-sky conditions, than in July, after several days of overcast skies, especially in the long-wavelength UVA spectral region. Surprisingly, the most UVR-sensitive phytoplankton communities were dominated by filamentous cyanobacteria, a putatively UVR-resistant taxon, whereas small unicellular eukaryotes were common in the most UVR-tolerant assemblages. Model estimates of in situ photoinhibition after 2 h exposure to an incident solar spectrum were only slightly higher in the clear lakes than browner ones, despite appreciably higher UVR exposure in the former. Phytoplankton in clear lakes can maintain values of F-V : F-M comparable to communities protected from UVR by high concentrations of DOC.</t>
  </si>
  <si>
    <t>[Harrison, Joel W.; Smith, Ralph E. H.] Univ Waterloo, Dept Biol, Waterloo, ON N2L 3G1, Canada</t>
  </si>
  <si>
    <t>University of Waterloo</t>
  </si>
  <si>
    <t>Harrison, JW (corresponding author), Univ Waterloo, Dept Biol, Waterloo, ON N2L 3G1, Canada.</t>
  </si>
  <si>
    <t>joel.harrison.uw@gmail.com</t>
  </si>
  <si>
    <t>Harrison, Joel/0000-0002-6024-7166</t>
  </si>
  <si>
    <t>Natural Sciences and Engineering Research Council of Canada; Ontario Graduate Scholarship</t>
  </si>
  <si>
    <t>Natural Sciences and Engineering Research Council of Canada(Natural Sciences and Engineering Research Council of Canada (NSERC)CGIAR); Ontario Graduate Scholarship(Ontario Graduate Scholarship)</t>
  </si>
  <si>
    <t>The research was supported by a Natural Sciences and Engineering Research Council of Canada Discovery Grant to Ralph Smith, and an Ontario Graduate Scholarship to Joel Harrison.</t>
  </si>
  <si>
    <t>10.4319/lo.2011.56.6.2115</t>
  </si>
  <si>
    <t>879RM</t>
  </si>
  <si>
    <t>WOS:000299349700014</t>
  </si>
  <si>
    <t>Tremblin, P; Minier, V; Schneider, N; Durand, GA; Ashley, MCB; Lawrence, JS; Luong-Van, DM; Storey, JWV; Durand, GA; Reinert, Y; Veyssiere, C; Walter, C; Ade, P; Calisse, PG; Challita, Z; Fossat, E; Sabbatini, L; Pellegrini, A; Ricaud, P; Urban, J</t>
  </si>
  <si>
    <t>Tremblin, P.; Minier, V.; Schneider, N.; Durand, G. Al.; Ashley, M. C. B.; Lawrence, J. S.; Luong-Van, D. M.; Storey, J. W. V.; Durand, G. An.; Reinert, Y.; Veyssiere, C.; Walter, C.; Ade, P.; Calisse, P. G.; Challita, Z.; Fossat, E.; Sabbatini, L.; Pellegrini, A.; Ricaud, P.; Urban, J.</t>
  </si>
  <si>
    <t>Site testing for submillimetre astronomy at Dome C, Antarctica</t>
  </si>
  <si>
    <t>ASTRONOMY &amp; ASTROPHYSICS</t>
  </si>
  <si>
    <t>site testing; atmospheric effects; submillimeter: general</t>
  </si>
  <si>
    <t>SOUTH-POLE; ATMOSPHERIC OPACITY; CONCORDIA STATION; MILLIMETER; TELESCOPE; MODEL; TRANSMISSION; TEMPERATURES; STABILITY; FACILITY</t>
  </si>
  <si>
    <t>Aims. Over the past few years a major effort has been put into the exploration of potential sites for the deployment of submillimetre astronomical facilities. Amongst the most important sites are Dome C and Dome A on the Antarctic Plateau, and the Chajnantor area in Chile. In this context, we report on measurements of the sky opacity at 200 mu m over a period of three years at the French-Italian station, Concordia, at Dome C, Antarctica. We also present some solutions to the challenges of operating in the harsh polar environment. Methods. The 200-mu m atmospheric opacity was measured with a tipper. The forward atmospheric model MOLIERE (Microwave Observation LIne Estimation and REtrieval) was used to calculate the atmospheric transmission and to evaluate the precipitable water vapour content (PWV) from the observed sky opacity. These results have been compared with satellite measurements from the Infrared Atmospheric Sounding Interferometer (IASI) on Metop-A, with balloon humidity sondes and with results obtained by a ground-based microwave radiometer (HAMSTRAD). In addition, a series of experiments has been designed to study frost formation on surfaces, and the temporal and spatial evolution of thermal gradients in the low atmosphere. Results. Dome C offers exceptional conditions in terms of absolute atmospheric transmission and stability for submillimetre astronomy. Over the austral winter the PWV exhibits long periods during which it is stable and at a very low level (0.1 to 0.3 mm). Higher values (0.2 to 0.8 mm) of PWV are observed during the short summer period. Based on observations over three years, a transmission of around 50% at 350 mu m is achieved for 75% of the time. The 200-mu m window opens with a typical transmission of 10% to 15% for 25% of the time. Conclusions. Dome C is one of the best accessible sites on Earth for submillimetre astronomy. Observations at 350 or 450 mu m are possible all year round, and the 200-mu m window opens long enough and with a sufficient transparency to be useful. Although the polar environment severely constrains hardware design, a permanent observatory with appropriate technical capabilities is feasible. Because of the very good astronomical conditions, high angular resolution and time series (multi-year) observations at Dome C with a medium size single dish telescope would enable unique studies to be conducted, some of which are not otherwise feasible even from space.</t>
  </si>
  <si>
    <t>[Tremblin, P.; Minier, V.; Schneider, N.; Durand, G. Al.] Univ Paris Diderot, CNRS INSU, CEA Irfu, Ctr Etud Saclay,Lab AIM Paris Saclay, F-91191 Gif Sur Yvette, France; [Ashley, M. C. B.; Lawrence, J. S.; Luong-Van, D. M.; Storey, J. W. V.] Univ New S Wales, Sydney, NSW 2052, Australia; [Durand, G. An.; Reinert, Y.; Veyssiere, C.; Walter, C.] Ctr Etud Saclay, Serv Ingn Syst, CEA Irfu, F-91191 Gif Sur Yvette, France; [Ade, P.; Calisse, P. G.] Cardiff Univ, Sch Phys &amp; Astron, Cardiff CF24 3AA, S Glam, Wales; [Challita, Z.; Sabbatini, L.] Concordia Stn, Dome C, Italy; [Challita, Z.; Fossat, E.] Univ Nice Sophia Antipolis, CNRS INSU, Lab Fizeau, F-06108 Nice, France; [Sabbatini, L.] Univ Roma Tre, Dept Phys, Rome, Italy; [Pellegrini, A.] ENEA, Programma Nazl Ric Antartide, Rome, Italy; [Ricaud, P.] Univ Toulouse 3, UMR CNRS 5560, Lab Aerol, F-31400 Toulouse, France; [Urban, J.] Chalmers, Dept Earth &amp; Space Sci, S-41296 Gothenburg, Sweden</t>
  </si>
  <si>
    <t>CEA; Centre National de la Recherche Scientifique (CNRS); Universite Paris Cite; Universite Paris Saclay; CNRS - National Institute for Earth Sciences &amp; Astronomy (INSU); University of New South Wales Sydney; Universite Paris Saclay; CEA; Cardiff University; Centre National de la Recherche Scientifique (CNRS); CNRS - National Institute for Earth Sciences &amp; Astronomy (INSU); Universite Cote d'Azur; Roma Tre University; Italian National Agency New Technical Energy &amp; Sustainable Economics Development; Universite de Toulouse; Universite Toulouse III - Paul Sabatier; Centre National de la Recherche Scientifique (CNRS); Chalmers University of Technology</t>
  </si>
  <si>
    <t>Tremblin, P (corresponding author), Univ Paris Diderot, CNRS INSU, CEA Irfu, Ctr Etud Saclay,Lab AIM Paris Saclay, F-91191 Gif Sur Yvette, France.</t>
  </si>
  <si>
    <t>pascal.tremblin@cea.fr; vincent.minier@cea.fr</t>
  </si>
  <si>
    <t>Schneider, Nicola/GPK-5451-2022; Ricaud, Philippe/AAC-2991-2020; Urban, Jo/F-9172-2010; Pellegrini, Andrea/O-3094-2015</t>
  </si>
  <si>
    <t>Urban, Jo/0000-0001-7026-793X; Pellegrini, Andrea/0000-0001-5577-7472; Lawrence, Jon/0000-0002-6998-6993; Walter, Christopher/0000-0003-2035-2380; Sabbatini, Lucia/0000-0003-4747-9306; Ade, Peter/0000-0002-5127-0401; Schneider, Nicola/0000-0003-3485-6678; Ashley, Michael/0000-0003-1412-2028; Tremblin, Pascal/0000-0001-6172-3403</t>
  </si>
  <si>
    <t>French and Italian polar institutes IPEV and PNRA; STFC [ST/G002711/1] Funding Source: UKRI</t>
  </si>
  <si>
    <t>French and Italian polar institutes IPEV and PNRA; STFC(UK Research &amp; Innovation (UKRI)Science &amp; Technology Facilities Council (STFC))</t>
  </si>
  <si>
    <t>We acknowledge the strong support of the French and Italian polar institutes IPEV and PNRA that make this research project possible. We also acknowledge the European network ARENA. The original SUMMIT instrument was designed and built by Jeff Peterson and Simon Radford.</t>
  </si>
  <si>
    <t>1432-0746</t>
  </si>
  <si>
    <t>ASTRON ASTROPHYS</t>
  </si>
  <si>
    <t>Astron. Astrophys.</t>
  </si>
  <si>
    <t>A112</t>
  </si>
  <si>
    <t>10.1051/0004-6361/201117345</t>
  </si>
  <si>
    <t>858YY</t>
  </si>
  <si>
    <t>WOS:000297841200124</t>
  </si>
  <si>
    <t>Zhao, J; Yang, N; Chen, XL; Jiang, QR; Zeng, RY</t>
  </si>
  <si>
    <t>Zhao Jing; Yang Ning; Chen Xinglin; Jiang Qingru; Zeng Runying</t>
  </si>
  <si>
    <t>Phylogenetic diversity of Type I polyketide synthase genes from sediments of Ardley Island in Antarctica</t>
  </si>
  <si>
    <t>polyketide synthase; diversity; Antarctica</t>
  </si>
  <si>
    <t>BRYOZOAN BUGULA-NERITINA; UNCULTIVATED BACTERIAL SYMBIONT; PEPTIDE SYNTHETASE; NATURAL-PRODUCTS; DRUG DISCOVERY; MARINE; BIOSYNTHESIS; COMMUNITY; CLUSTERS; PATHWAY</t>
  </si>
  <si>
    <t>The diversity of modular polyketide synthase (PKS) genes in sediments of Ardley Island in Antarctica, was studied by restriction fragment length polymorphism (RFLP) analysis. Phylogenetic analysis of 14 amino acid (AA) sequences indicates that the identified ketosynthase (KS) domains were clustered with those from diverse bacterial groups, including Cyanobacteria, gamma-Proteobacteria, Actinobacteria, Firmicutes, and some unidentified microorganisms from marine sponge, bryozoan and other environmental samples. The obtained KS domains showed 43%-81% similarity at the AA level to reference sequences in GenBank. Six identified KS domains showed diverse sequences of the motif (VQTACSTS) that was used to identify the hybrid PKS/nonribosomal peptide synthetase (NRPS) enzyme complex, and formed a new branch. These results reveal a high diversity and novelty of PKS genes in antarctic sediments.</t>
  </si>
  <si>
    <t>[Yang Ning; Chen Xinglin; Zeng Runying] State Ocean Adm, Inst Oceanog 3, Key Lab Marine Biogenet Resources, Xiamen 361005, Peoples R China; [Zhao Jing; Jiang Qingru] Xiamen Univ, Coll Oceanog &amp; Environm Sci, Dept Marine Technol &amp; Ocean Engn, Xiamen 361005, Peoples R China</t>
  </si>
  <si>
    <t>Third Institute of Oceanography, Ministry of Natural Resources; Xiamen University</t>
  </si>
  <si>
    <t>Zeng, RY (corresponding author), State Ocean Adm, Inst Oceanog 3, Key Lab Marine Biogenet Resources, Xiamen 361005, Peoples R China.</t>
  </si>
  <si>
    <t>runyingzeng@yahoo.com.cn</t>
  </si>
  <si>
    <t>National Natural Science Foundation of China [40406029]; China Ocean Mineral Resources Research &amp; Development Association [DYXM-115-02-2-04]</t>
  </si>
  <si>
    <t>National Natural Science Foundation of China(National Natural Science Foundation of China (NSFC)); China Ocean Mineral Resources Research &amp; Development Association</t>
  </si>
  <si>
    <t>The National Natural Science Foundation of China under contract No. 40406029; China Ocean Mineral Resources Research &amp; Development Association Funds under contract No. DYXM-115-02-2-04.</t>
  </si>
  <si>
    <t>10.1007/s13131-011-0167-7</t>
  </si>
  <si>
    <t>860GL</t>
  </si>
  <si>
    <t>WOS:000297936700013</t>
  </si>
  <si>
    <t>Dong, ZW; Li, ZQ</t>
  </si>
  <si>
    <t>Dong Zhiwen; Li Zhongqin</t>
  </si>
  <si>
    <t>Characteristics of Atmospheric Dust Deposition in Snow on Glacier No. 72, Mount Tuomuer, China</t>
  </si>
  <si>
    <t>ARCTIC ANTARCTIC AND ALPINE RESEARCH</t>
  </si>
  <si>
    <t>CENTRAL TIEN-SHAN; ICE CORE RECORDS; SIZE DISTRIBUTION; NORTH PACIFIC; AEROSOL; TRANSPORT; CLIMATE; RANGE; AREA; ASIA</t>
  </si>
  <si>
    <t>Wind-blown mineral dust derived from the crustal surface is an important atmospheric component affecting the Earth's radiation budget. Deposition of dust particles was measured in snow on Glacier No. 72, Mount Tuomuer, in the western Tian Shan, China. The mean concentration of dust particles (measured as the number of particles) with 0.57 &lt; d &lt; 26 mu m in the snow pack is 706 x 10(3) mL(-1), with a mean mass concentration of 3806 mu g kg(-1). Dust number size distribution showed the dominant particles with d &lt; 2 mu m, while volume size distribution showed single-modal structures having volume median diameters from 3 to 25? mu m. Results were compared with data from other sites in the Tian Shan and various Northern Hemisphere sites. A backward trajectory model was also employed to examine the transport process of dust particles in this region. Most of the air mass originated from southern China, e.g., the Taklimakan Deserts in springtime, during the Asian dust period. Transport of dust from southern Chinese deserts to adjacent mountains is in agreement with a growing body of evidence on the importance of dust inputs to alpine regions.</t>
  </si>
  <si>
    <t>[Dong Zhiwen; Li Zhongqin] Chinese Acad Sci, State Key Lab Cryospher Sci, Cold &amp; Arid Reg Environm &amp; Engn Res Inst, Tianshan Glaciol Stn, Lanzhou 730000, Peoples R China; [Dong Zhiwen] Chinese Acad Sci, Grad Univ, Beijing 100049, Peoples R China</t>
  </si>
  <si>
    <t>Chinese Academy of Sciences; Cold &amp; Arid Regions Environmental &amp; Engineering Research Institute, CAS; Chinese Academy of Sciences; University of Chinese Academy of Sciences, CAS</t>
  </si>
  <si>
    <t>Dong, ZW (corresponding author), Chinese Acad Sci, State Key Lab Cryospher Sci, Cold &amp; Arid Reg Environm &amp; Engn Res Inst, Tianshan Glaciol Stn, Lanzhou 730000, Peoples R China.</t>
  </si>
  <si>
    <t>happyabear@163.com</t>
  </si>
  <si>
    <t>Dong, Zhiwen/0000-0003-4871-219X</t>
  </si>
  <si>
    <t>National Basic Research Program of China [2010CB951003]; CAS; National Natural Science Foundation of China [91025012, 40631001, 40701034, 40701035, 1141001040]</t>
  </si>
  <si>
    <t>National Basic Research Program of China(National Basic Research Program of China); CAS(Chinese Academy of Sciences); National Natural Science Foundation of China(National Natural Science Foundation of China (NSFC))</t>
  </si>
  <si>
    <t>We would like to thank the staff and the students of Tian Shan Glaciological Station of the Chinese Academy of Sciences (CAS) for their valuable logistical support of the field work. This research was jointly supported by National Basic Research Program of China (No. 2010CB951003), CAS Special Grant for Postgraduate Research, Innovation and Practice, National Natural Science Foundation of China (Nos. 91025012, 40631001, 40701034, 40701035, 1141001040). We also thank three anonymous reviewers and the associate editor for helpful comments and suggestions that very much improved the manuscript.</t>
  </si>
  <si>
    <t>INST ARCTIC ALPINE RES</t>
  </si>
  <si>
    <t>UNIV COLORADO, BOULDER, CO 80309 USA</t>
  </si>
  <si>
    <t>1523-0430</t>
  </si>
  <si>
    <t>ARCT ANTARCT ALP RES</t>
  </si>
  <si>
    <t>Arct. Antarct. Alp. Res.</t>
  </si>
  <si>
    <t>10.1657/1938-4246-43.4.517</t>
  </si>
  <si>
    <t>871FD</t>
  </si>
  <si>
    <t>WOS:000298722400003</t>
  </si>
  <si>
    <t>Dühnforth, M; Anderson, RS</t>
  </si>
  <si>
    <t>Duehnforth, Miriam; Anderson, Robert S.</t>
  </si>
  <si>
    <t>Reconstructing the Glacial History of Green Lakes Valley, North Boulder Creek, Colorado Front Range</t>
  </si>
  <si>
    <t>PRODUCTION-RATE CALIBRATION; SITU COSMOGENIC BE-10; WESTERN US GLACIERS; LATE PLEISTOCENE; UINTA MOUNTAINS; ICE-SHEET; PRODUCTION-RATES; ALPINE GLACIER; EROSION RATES; PINEDALE</t>
  </si>
  <si>
    <t>We document the post Last Glacial Maximum (LGM) deglaciation history of a small catchment in Colorado's Front Range and model the glacial history responsible. We combine cosmogenic exposure dating of moraine boulders and glacial polish from 10 sites down the valley axis with a set of 1-D and 2-D numerical glacier models in which climate is represented by prescribed winter and summer mass balance profiles. Moraine ages of 24-18 ka constrain the LGM maximum glacial extent at 15 km downvalley from the range crest. Glacial polish sites decline in age along the center portion of the valley, dropping to roughly 12 ka by 5 km from the crest. This supports a monotonic but non-steady decline in glacier length. Modeling of the deglaciation history reveals that the equilibrium line altitude (ELA) rise from similar to 18 ka to similar to 14 ka was between 250 and 350 m, and that from similar to 14 ka to similar to 12 ka was between 100 and 150 m. Complete deglaciation requires at least another 250-300 m of ELA rise. A transient model run employing this ELA history can both reproduce the spatio-temporal pattern of glacial polish ages, and honor the constraints on maximum glacial extent. The full deglaciation between 18 ka and 10 ka can be modeled successfully with a 4.5-6 degrees C temperature rise and little to no change in precipitation.</t>
  </si>
  <si>
    <t>[Duehnforth, Miriam; Anderson, Robert S.] Univ Colorado, Inst Arctic &amp; Alpine Res, Boulder, CO 80309 USA; [Anderson, Robert S.] Univ Colorado, Dept Geol Sci, Boulder, CO 80309 USA</t>
  </si>
  <si>
    <t>Dühnforth, M (corresponding author), Univ Munich, Dept Earth &amp; Environm Sci, D-80333 Munich, Germany.</t>
  </si>
  <si>
    <t>miriam.duhnforth@colorado.edu</t>
  </si>
  <si>
    <t>Anderson, Robert/0000-0003-2759-4833</t>
  </si>
  <si>
    <t>National Science Foundation (Boulder Creek CZO) [NSF-0724960]; Division Of Earth Sciences; Directorate For Geosciences [0922307] Funding Source: National Science Foundation</t>
  </si>
  <si>
    <t>National Science Foundation (Boulder Creek CZO); Division Of Earth Sciences; Directorate For Geosciences(National Science Foundation (NSF)NSF - Directorate for Geosciences (GEO))</t>
  </si>
  <si>
    <t>This research was funded by a grant from the National Science Foundation (Boulder Creek CZO; NSF-0724960). Logistical support and snow survey data were provided by the NSF-supported Niwot Ridge Long-Term Ecological Research (LTER) project and the University of Colorado Mountain Research Station. We thank Craig Lindel for access to the Boulder Creek Watershed in which the sampling sites sit. We benefited from discussions with Nel Caine, and with Dylan Ward, whose work in the adjacent Middle Boulder Creek watershed was inspirational. Critical reviews from two anonymous reviewers helped hone the manuscript significantly.</t>
  </si>
  <si>
    <t>1938-4246</t>
  </si>
  <si>
    <t>10.1657/1938-4246-43.4.527</t>
  </si>
  <si>
    <t>WOS:000298722400004</t>
  </si>
  <si>
    <t>Garibotti, IA; Pissolito, CI; Villalba, R</t>
  </si>
  <si>
    <t>Garibotti, Irene A.; Pissolito, Clara I.; Villalba, Ricardo</t>
  </si>
  <si>
    <t>Spatiotemporal Pattern of Primary Succession in Relation to Meso-topographic Gradients on Recently Deglaciated Terrains in the Patagonian Andes</t>
  </si>
  <si>
    <t>MOUNT ST-HELENS; VEGETATION SUCCESSION; GLACIER FORELANDS; ECOLOGICAL THEORY; SOIL; HETEROGENEITY; CONVERGENCE; DYNAMICS; NORWAY; ESTABLISHMENT</t>
  </si>
  <si>
    <t>Vegetation in primary succession is influenced by multiple stochastic and environmental factors at different spatial and temporal scales. In this study we analyze the effect of meso-topographic heterogeneity on vegetation development following the retreat of Glaciar Seco in the southern Patagonian Andes. Composition and cover of algae, lichens, mosses, and vascular plants were recorded in 580 plots located in different topographic positions within a chronosequence of eight consecutive moraines. Sample plots were characterized by topographical and surface features. Spatiotemporal patterns in vegetation composition and their relationships to environmental factors were assessed by classification and ordination. We recognized eight communities that correspond to four major successional stages. The successional sequence is characterized by a physiognomic development from pioneer saxicolous lichens (first stage) to secondary colonizer lichens (second stage), followed by shrub colonization (third stage) and the development of Nothofagus spp. forests (fourth stage). Alternative successional trajectories on different topographic positions vary in the sequence of these four major successional stages, with the trajectories on the moraine ridge-top and base not going through some of the stages. A variance partition procedure shows that time since deglaciation and topographic position on the moraines account for comparable amounts of vegetation variance, emphasizing the importance of spatiotemporal analysis of vegetation development on heterogeneous landscapes. Broad trends in vegetation development follow environmental gradients. However, emergence and persistence of vegetation patterns can also be attributed to dynamic geomorphic processes such as moraine slope degradation affecting boulder distribution along the moraine foreslope. At the landscape scale, successional trajectories converge to a Nothofagus-dominated state, but significant variability remains in the understory due to the differential distribution of cryptogams along the moraine topographic gradient. Convergence is mostly related to the expansion of communities from more favorable sites towards the harsher moraine crest, but it is not a process of gradual deterministic changes along the different successional pathways.</t>
  </si>
  <si>
    <t>[Garibotti, Irene A.; Pissolito, Clara I.; Villalba, Ricardo] CCT CONICET, Inst Argentino Nivol Glaciol &amp; Ciencias Ambiental, RA-5500 Mendoza, Argentina</t>
  </si>
  <si>
    <t>Consejo Nacional de Investigaciones Cientificas y Tecnicas (CONICET)</t>
  </si>
  <si>
    <t>Garibotti, IA (corresponding author), CCT CONICET, Inst Argentino Nivol Glaciol &amp; Ciencias Ambiental, CC 330, RA-5500 Mendoza, Argentina.</t>
  </si>
  <si>
    <t>ireneg@mendoza-conicet.gov.ar</t>
  </si>
  <si>
    <t>Villalba, Ricardo/0000-0001-8183-0310</t>
  </si>
  <si>
    <t>Argentinean Agency for the Promotion of Science [PICTR02-186, PICT32003, PICT2007-0379]; Argentinean Council of Research and Technology (CONICET); Inter-American Institute for Global Change Research (IAI) CRN [2047]; U.S. National Science Foundation [GEO-0452325]</t>
  </si>
  <si>
    <t>Argentinean Agency for the Promotion of Science; Argentinean Council of Research and Technology (CONICET)(Consejo Nacional de Investigaciones Cientificas y Tecnicas (CONICET)); Inter-American Institute for Global Change Research (IAI) CRN; U.S. National Science Foundation(National Science Foundation (NSF))</t>
  </si>
  <si>
    <t>This work was funded by the Argentinean Agency for the Promotion of Science (grant PICTR02-186, PICT32003, and PICT2007-0379), the Argentinean Council of Research and Technology (CONICET), and by the Inter-American Institute for Global Change Research (IAI) CRN 11 # 2047, which is supported by the U.S. National Science Foundation (Grant GEO-0452325).</t>
  </si>
  <si>
    <t>10.1657/1938-4246-43.4.555</t>
  </si>
  <si>
    <t>WOS:000298722400006</t>
  </si>
  <si>
    <t>Holmquist, JG; Jones, JR; Schmidt-Gengenbach, J; Pierotti, LF; Love, JP</t>
  </si>
  <si>
    <t>Holmquist, Jeffrey G.; Jones, Jennifer R.; Schmidt-Gengenbach, Jutta; Pierotti, Lyra F.; Love, Jason P.</t>
  </si>
  <si>
    <t>Terrestrial and Aquatic Macroinvertebrate Assemblages as a Function of Wetland Type across a Mountain Landscape</t>
  </si>
  <si>
    <t>RAPID ASSESSMENT; CONCEPTUAL-FRAMEWORK; INSECT COMMUNITIES; NATURAL-RESOURCES; SIERRA-NEVADA; NATIONAL-PARK; INVERTEBRATES; DIVERSITY; CONSERVATION; ALTITUDE</t>
  </si>
  <si>
    <t>Fens and wet meadows are important mountain wetland types, but influences on assemblage structure of associated invertebrates are poorly understood compared with other aspects of the ecology of these habitats. We sought to determine the relative contributions of terrestrial and aquatic invertebrates to diversity and abundance in these wetlands, the extent to which terrestrial and aquatic invertebrate assemblages differ with wetland type, and to what degree the aquatic assemblages vary as a function of slow sheet flow. We compared assemblages in fens and wet meadows, with and without flow, at 80 backcountry sites dispersed across the 6200 km(2) landscape of Yosemite, Sequoia, and Kings Canyon National Parks in the Sierra Nevada mountains of California, U.S.A., using standard aquatic and terrestrial sweep netting. Cicadellid leafhoppers, aphids, and thomisid crab spiders were the most abundant terrestrial taxa. Cicadelfids, Lepidoptera, anthomyiid, muscid, chloropid, and ephydrid flies, and thomisids were more abundant in fens than in wet meadows. Only mind leaf bugs were significantly more abundant in wet meadows than fens. Sphaeriid clams and chironomid midges dominated aquatic assemblages both with and without flow. Chloroperlid stoneflies, mites, clams, and flatworms were all more abundant in flow, and Hemiptera and mosquitos were significantly more abundant in quiescent water. Mosquitos were more abundant in wet meadows, but there were few other population differences as a function of wetland type. Terrestrial diversity was 1.1 to 2.0 times that of aquatic diversity, depending on metric and habitat. Fens had greater terrestrial abundance, richness, evenness, and diversity than wet meadows; there were fewer differences as a function of wetland type for aquatic fauna. Presence or absence of slow sheet flow had more effect on these aquatic assemblages than did wetland type. Cluster analyses, ordination, and multi-response permutation procedures were generally consistent with the univariate results. Vegetation-based wetland classifications should be extrapolated to faunal assemblages with caution, particularly for aquatic invertebrates.</t>
  </si>
  <si>
    <t>[Holmquist, Jeffrey G.; Schmidt-Gengenbach, Jutta; Pierotti, Lyra F.; Love, Jason P.] Univ Calif San Diego, White Mt Res Stn, Bishop, CA 93514 USA; [Jones, Jennifer R.] Colorado State Univ, Dept Forest Rangeland &amp; Watershed Stewardship, Ft Collins, CO 80523 USA</t>
  </si>
  <si>
    <t>University of California System; University of California San Diego; Colorado State University</t>
  </si>
  <si>
    <t>Holmquist, JG (corresponding author), Univ Calif San Diego, White Mt Res Stn, 3000 E Line St, Bishop, CA 93514 USA.</t>
  </si>
  <si>
    <t>jholmquist@ucsd.edu</t>
  </si>
  <si>
    <t>Holmquist, Jeffrey G./H-3188-2011</t>
  </si>
  <si>
    <t>Holmquist, Jeffrey G./0000-0003-3198-6338</t>
  </si>
  <si>
    <t>White Mountain Research Station faculty; NPS [J8R07070006, H8R07010001]; National Science Foundation [0139633, 0139633-Supplement]; Great Basin Cooperative Ecosystems Studies Unit; Div Of Biological Infrastructure; Direct For Biological Sciences [0139633] Funding Source: National Science Foundation</t>
  </si>
  <si>
    <t>White Mountain Research Station faculty; NPS; National Science Foundation(National Science Foundation (NSF)); Great Basin Cooperative Ecosystems Studies Unit; Div Of Biological Infrastructure; Direct For Biological Sciences(National Science Foundation (NSF)NSF - Directorate for Biological Sciences (BIO))</t>
  </si>
  <si>
    <t>This research would not have been possible without the project development and field contributions of Les Chow, David Cooper, Georgia Doyle, Ed Gage, Sylvia Haultain, Shawn McKinney, Peggy Moore, Linda Mutch, Leigh Ann Starcevich, Harold Werner, Lisa Acree, Eric Frenzel, Andi Heard, Jim Roche, Meryl Rose, and Billy Schweiger. We thank Chelsea Clifford, Marie French, Jean Dillingham, Derham Giuliani, and Peter Norquist for cheerfully sorting samples, and we benefited from the support of the White Mountain Research Station faculty and staff, especially Vikki DeVries, Frank Powell, and John Smiley. The paper was significantly improved by comments from Walt Duffy, Sylvia Haultain, Linda Mulch, and anonymous reviewers. This work was one component of a wetland ecological integrity monitoring program that was developed over several years by Sequoia, Kings Canyon, and Yosemite National Parks, Devils Postpile National Monument, and the Sierra Nevada Inventory and Monitoring Network, in association with academic partners, as part of the NPS Vital Signs initiative. Our project was funded by the NPS (J8R07070006). Much of the groundwork for this work was supported by the NPS (H8R07010001) and National Science Foundation (0139633 and 0139633-Supplement). All Park Service support was funded through the Great Basin Cooperative Ecosystems Studies Unit with the support of Angela Evenden. We dedicate this paper to the memory of the inspiring naturalist Derham Giuliani (Jeffrey Pine Journal, 2010,8(2): 2-6).</t>
  </si>
  <si>
    <t>10.1657/1938-4246-43.4.568</t>
  </si>
  <si>
    <t>WOS:000298722400007</t>
  </si>
  <si>
    <t>Jia, P; Bayaerta, T; Li, XQ; Du, GZ</t>
  </si>
  <si>
    <t>Jia, Peng; Bayaerta, Twenke; Li, Xiangqian; Du, Guozhen</t>
  </si>
  <si>
    <t>Relationships between Flowering Phenology and Functional Traits in Eastern Tibet Alpine Meadow</t>
  </si>
  <si>
    <t>PLANT SIZE; SEED SIZE; HEIGHT; PATTERNS; STRATEGY; EVOLUTION; DIMENSIONS; TIME; MASS</t>
  </si>
  <si>
    <t>Flowering phenology is a key life history trait that strongly influences reproductive success. We investigated the relationship between flowering phenology and functional traits of 48 alpine herb species using the Leaf-Height-Seed (LHS) scheme developed by Westoby (1998) to quantify the ecological strategy of the plant species. Phenological data were obtained by weekly observation of fifty 0.5 X 0.5 m(2) quadrates. Specific leaf area (SLA), height, and seed size of 48 alpine herbs were measured. Comparative generalized estimating equations and generalized linear models suggested that flowering peak date was positively correlated with size of maternal plant (biomass and height) and negatively correlated with seed size. Species with a longer flowering period were smaller and produced bigger seeds than those with a short flowering season. Flowering peak date and duration were negatively correlated, although this correlation was mainly present in annuals, which are relatively rare in the alpine meadow. Relationships between flowering phenology and specific leaf area (SLA) were weak. There were only weak effects of phylogeny on the relationships between flowering phenology and functional traits. Wind-pollinated species flowered earlier than insect-pollinated species. Annuals flowered longer than perennials. Relationships between flowering phenology and functional traits indicate that there is a tradeoff between maternal and reproductive growth, and flowering time may underlie the correlation between plant height and seed size.</t>
  </si>
  <si>
    <t>[Jia, Peng; Bayaerta, Twenke; Li, Xiangqian; Du, Guozhen] Lanzhou Univ, Sch Life Sci, Minist Educ, Key Lab Arid &amp; Grassland Ecol, Lanzhou 730000, Peoples R China</t>
  </si>
  <si>
    <t>Lanzhou University</t>
  </si>
  <si>
    <t>Du, GZ (corresponding author), Lanzhou Univ, Sch Life Sci, Minist Educ, Key Lab Arid &amp; Grassland Ecol, Lanzhou 730000, Peoples R China.</t>
  </si>
  <si>
    <t>guozdu@lzu.edu.cn</t>
  </si>
  <si>
    <t>National Natural Science Foundation of China [40930533]</t>
  </si>
  <si>
    <t>The authors thank Zhigang Zhao, Carol Baskin, Xianhui Zhou, Kechang Niu, Hui Guo, and Shiting Zhang for their advice on the manuscript; Shujun Wen and Zhenwei Ren for their help in experiment designing; Kun Liu and Wei Qi for their species identification; Zhikuo Li and Zhilong Zhang for help collecting data, and two anonymous reviewers for their useful comments. The study was supported by the National Natural Science Foundation of China, no. 40930533.</t>
  </si>
  <si>
    <t>10.1657/1938-4246-43.4.585</t>
  </si>
  <si>
    <t>WOS:000298722400008</t>
  </si>
  <si>
    <t>Kharuk, VI; Dvinskaya, ML; Im, ST; Ranson, KJ</t>
  </si>
  <si>
    <t>Kharuk, V. I.; Dvinskaya, M. L.; Im, S. T.; Ranson, K. J.</t>
  </si>
  <si>
    <t>The Potential Impact of CO2 and Air Temperature Increases on Krummholz Transformation into Arborescent Form in the Southern Siberian Mountains</t>
  </si>
  <si>
    <t>GLACIER-NATIONAL-PARK; TREE-LINE EVOLUTION; CLIMATE-CHANGE; FOREST-TUNDRA; EVERGREEN CONIFERS; SWEDISH SCANDES; GROWTH; ELEVATION; NITROGEN; LARCH</t>
  </si>
  <si>
    <t>Trees in the southern Siberian Mountains forest-tundra ecotone have considerably increased their radial and apical growth increments during the last few decades. This leads to the widespread vertical transformation of mat and prostrate krummholz forms of larch (Larix sibirica Ledeb) and Siberian pine (Pinus sibirica Du Tour). An analysis of the radial growth increments showed that these transformations began in the mid-1980s. Larch showed a greater resistance to the harsh alpine environment and attained a vertical growth form in areas where Siberian pine is still krummholz. Upper larch treeline is &gt;= 10 m higher than Siberian pine treeline. Observed apical and radial growth increment increases were correlated with CO2 concentration (r = 0.83-0.87), summer temperatures (r = 0.55-0.64), and cold period (i.e. September May) air temperatures (r = 0.36-0.37). Positive correlation between growth increments and winter precipitation was attributed to snow cover protection for trees during wintertime.</t>
  </si>
  <si>
    <t>[Kharuk, V. I.; Dvinskaya, M. L.; Im, S. T.] VN Sukachev Inst Forest, Krasnoyarsk, Russia; [Ranson, K. J.] NASA, Goddard Space Flight Ctr, Greenbelt, MD 20771 USA</t>
  </si>
  <si>
    <t>Russian Academy of Sciences; Krasnoyarsk Science Center of the Siberian Branch of the Russian Academy of Sciences; Sukachev Institute of Forest, Siberian Branch, Russian Academy of Sciences; National Aeronautics &amp; Space Administration (NASA); NASA Goddard Space Flight Center</t>
  </si>
  <si>
    <t>Kharuk, VI (corresponding author), VN Sukachev Inst Forest, Krasnoyarsk, Russia.</t>
  </si>
  <si>
    <t>kharuk@ksc.krasn.ru</t>
  </si>
  <si>
    <t>Dvinskaya, Maria/Q-3166-2016; Ranson, Kenneth J/G-2446-2012; Im, Sergei/J-2736-2016</t>
  </si>
  <si>
    <t>Dvinskaya, Maria/0000-0002-9374-4097; Im, Sergei/0000-0002-5794-7938</t>
  </si>
  <si>
    <t>Siberian Branch Russian Academy of Science [23.3.33]; NASA's Science Mission Directorate</t>
  </si>
  <si>
    <t>Siberian Branch Russian Academy of Science; NASA's Science Mission Directorate</t>
  </si>
  <si>
    <t>This research was supported in part by the Siberian Branch Russian Academy of Science Program # 23.3.33 and NASA's Science Mission Directorate.</t>
  </si>
  <si>
    <t>10.1657/1938-4246-43.4.593</t>
  </si>
  <si>
    <t>WOS:000298722400009</t>
  </si>
  <si>
    <t>Komac, B; Alados, CL; Camarero, JJ</t>
  </si>
  <si>
    <t>Komac, Benjamin; Alados, Concepcion L.; Julio Camarero, Jesus</t>
  </si>
  <si>
    <t>Influence of Topography on the Colonization of Subalpine Grasslands by the Thorny Cushion Dwarf Echinospartum horridum</t>
  </si>
  <si>
    <t>LAND-USE CHANGES; PLANT ESTABLISHMENT; POPULATION-GROWTH; CYTISUS-SCOPARIUS; MOUNTAIN AREAS; CLONAL GROWTH; SOIL-WATER; PATTERNS; LANDSCAPE; DYNAMICS</t>
  </si>
  <si>
    <t>In this study, we analyzed the effect of topography, particularly slope, on the expansion rates and population dynamics of Echinospartum horridum at small spatial and temporal scales in the grassland communities of Ordesa-Monte Perdido National Park (OMPNP) (NE Spain). E. horridum is a thorny cushion dwarf, endemic of Spain and south of France, forming dense mono-specific large patches difficult to be penetrated by other plants and large herbivores once it is established. Between 2005 and 2007, we collected demographic parameters from 300 marked plant; of E. horridum that were distributed in the center and the edge of four patches. At the patch edge, two of the four patches had a high slope (&gt;= 10 degrees) and two had a low slope (&lt; 10 degrees), whereas at the patch centers the slope was high (18 degrees-30 degrees). To calculate invasion speed, we use aerial photographs from 1981 and 2003. Plants in the center of patches had lower growth rates, fewer flowers, and higher crown death rates than did le plants at edge of patches. Slope influenced significantly invasion rates: the speed of expansion was lowest on gentle slopes, probably because of competition with grass. The speed of diffusion from 1981 to 2003 varied from 2.09 m yr(-1) on the steep slopes to 1.93 m yr(-1) on the shallow slope. Plant dynamics at patch edges suggest that colonization by E. horridum will continue in the grasslands of the OMPNP.</t>
  </si>
  <si>
    <t>[Komac, Benjamin] Univ Savoie, CNRS, UMR 5553, Lab Ecol Alpine, F-73376 Le Bourget Du Lac, France; [Alados, Concepcion L.; Julio Camarero, Jesus] CSIC, Inst Pirena Ecol, Zaragoza 50059, Spain</t>
  </si>
  <si>
    <t>Communaute Universite Grenoble Alpes; Universite Grenoble Alpes (UGA); Centre National de la Recherche Scientifique (CNRS); Universite Savoie Mont Blanc; CNRS - Institute of Ecology &amp; Environment (INEE); Consejo Superior de Investigaciones Cientificas (CSIC); CSIC - Instituto Pirenaico de Ecologia (IPE)</t>
  </si>
  <si>
    <t>Komac, B (corresponding author), CENMA IEA, Avinguda Rocafort 21-23, AD-600 St Julia Loria, Andorra.</t>
  </si>
  <si>
    <t>benjamin@komac.fr</t>
  </si>
  <si>
    <t>Alados, Concepción L/K-8085-2014; Camarero, J. Julio/A-8602-2013</t>
  </si>
  <si>
    <t>Camarero, J. Julio/0000-0003-2436-2922</t>
  </si>
  <si>
    <t>Spanish Science and Innovation Ministry (PN-MCI) [CGL2008-00655/BOS]; Spanish Environmental Ministry [MMA 002/2007]</t>
  </si>
  <si>
    <t>Spanish Science and Innovation Ministry (PN-MCI)(Spanish Government); Spanish Environmental Ministry(Spanish Government)</t>
  </si>
  <si>
    <t>We gratefully acknowledge the support of the Spanish Science and Innovation Ministry (PN-MCI) (CGL2008-00655/BOS) and Spanish Environmental Ministry (MMA 002/2007). The Ordesa-Monte Perdido National Park (OMPNP) provided logistic infrastructures and free access to the national park. We thank Beatriz Bueno, Elena Lahoz, Jesus Martinez, and Angel De Frutos for assistance in collecting field data, and Fernando Mauleon for assistance with the orthorectification of the aerial photographs. We thank Bruce MacWhirter for critically reading and providing helpful suggestions on the manuscript. Camarero acknowledges the support of Foundation Aragon I+D.</t>
  </si>
  <si>
    <t>10.1657/1938-4246-43.4.601</t>
  </si>
  <si>
    <t>WOS:000298722400010</t>
  </si>
  <si>
    <t>Moulton, CA; Gough, L</t>
  </si>
  <si>
    <t>Moulton, Carol Ann; Gough, Laura</t>
  </si>
  <si>
    <t>Effects of Soil Nutrient Availability on the Role of Sexual Reproduction in an Alaskan Tundra Plant Community</t>
  </si>
  <si>
    <t>SEED BANK SIZE; ARCTIC TUNDRA; NITROGEN DEPOSITION; CLIMATE-CHANGE; BETULA-NANA; RESPONSES; ALPINE; VEGETATION; GERMINATION; BIOMASS</t>
  </si>
  <si>
    <t>In a warming climate, sexual reproduction may play an important role in plant community composition in arctic tundra. As temperatures increase and currently immobilized soil nutrients become available, flowering, fruiting, and germination conditions will likely improve. We examined how experimentally adding soil nutrients for 13 and 20 years affected species composition, flower and fruit production, seed dispersal, composition of the seed bank, and seedling establishment in a dry heath plant community in northern Alaska. Fertilizer addition significantly shifted adult community composition by decreasing lichens and evergreen shrubs and increasing abundance of a bunchgrass, Hierochloe alpina, and dwarf birch, Betula nana. More seeds were dispersed adjacent to nutrient amended plots, particularly of B. nana, and soil seed banks differed significantly between control and fertilized soils reflecting the adult communities in the field. Few seedlings were observed in any field plots. However, seeds of H. alpina likely played a role in the community shift because this species has few, small individuals in control plots, yet is densely packed in fertilized plots. B. nana, on the other hand, appears to be increasing in relative abundance via vegetative growth of existing individuals. Therefore, although sexual reproduction leading to seedling establishment is rare currently, as nutrients become more available in a warming climate, individuals may recruit from seed more often as long as space is available.</t>
  </si>
  <si>
    <t>[Moulton, Carol Ann; Gough, Laura] Univ Texas Arlington, Dept Biol, Arlington, TX 76019 USA</t>
  </si>
  <si>
    <t>University of Texas System; University of Texas Arlington</t>
  </si>
  <si>
    <t>Gough, L (corresponding author), Univ Texas Arlington, Dept Biol, Box 19498, Arlington, TX 76019 USA.</t>
  </si>
  <si>
    <t>gough@uta.edu</t>
  </si>
  <si>
    <t>National Science Foundation [OPP-0435827]</t>
  </si>
  <si>
    <t>National Science Foundation(National Science Foundation (NSF))</t>
  </si>
  <si>
    <t>This research was conducted under National Science Foundation grant OPP-0435827 to L. Gough. We thank C. Rogers and D. Kirkland for their excellent assistance with fieldwork, and the Arctic LTER for logistical support. We thank P. Wookey and two anonymous reviewers for comments on an earlier draft of the manuscript.</t>
  </si>
  <si>
    <t>10.1657/1938-4246-43.4.612</t>
  </si>
  <si>
    <t>WOS:000298722400011</t>
  </si>
  <si>
    <t>Roof, S; Werner, A</t>
  </si>
  <si>
    <t>Roof, Steven; Werner, Al</t>
  </si>
  <si>
    <t>Indirect Growth Curves Remain the Best Choice for Lichenometry: Evidence from Directly Measured Growth Rates from Svalbard</t>
  </si>
  <si>
    <t>RHIZOCARPON-GEOGRAPHICUM; LONGITUDINAL DATA; UV-B; LICHENS; DEPOSITION; HOLOCENE; LAKE; SPITSBERGEN; RADIATION; SEDIMENTS</t>
  </si>
  <si>
    <t>Directly measured growth rates of two lichens (Pseudephebe minuscula and Rhizocarpon sections Rhizocarpon and Superficiale) from Svalbard made over a two-decade interval (1984-2007) are presented. Growth rates were determined by measuring the change in area of the lichen thalli from digital images and converting area to diameter. Pseudephebe diameter growth rates ranged from 0.2 to 1.5 mm yr(-1) and Rhizocarpon grew 0.05 to 0.30 mm yr(-1). Growth rates of both are a function of thalli size growth rates increase with increasing thallus size up to 70 mm diameter for Pseudephebe and 30 mm diameter for Rhizocarpon. While these directly measured growth rate results are consistent with other recent directly measured lichen growth studies, they are not consistent with indirectly determined age-size curves that show a negative correlation between size and growth rate (i.e., rapid great growth followed by slower linear growth). We explore several reasons to explain the apparent discrepancy between directly measured and indirectly determined growth rates, including climate change, increased nutrient fluxes, and population sampling differences between the two methods. We argue that indirectly determined growth curves, which integrate the effects of changing growing conditions over time, remain the best basis for lichenometric dating.</t>
  </si>
  <si>
    <t>[Roof, Steven] Hampshire Coll, Sch Nat Sci, Amherst, MA 01002 USA; [Werner, Al] Mt Holyoke Coll, Dept Geol &amp; Geog, S Hadley, MA 01075 USA</t>
  </si>
  <si>
    <t>Mount Holyoke College</t>
  </si>
  <si>
    <t>Roof, S (corresponding author), Hampshire Coll, Sch Nat Sci, Amherst, MA 01002 USA.</t>
  </si>
  <si>
    <t>sroof@hampshire.edu</t>
  </si>
  <si>
    <t>Roof, Steve/0000-0001-8729-0036</t>
  </si>
  <si>
    <t>NSF [244097, 0649006]; Directorate For Geosciences; Office of Polar Programs (OPP) [0649006] Funding Source: National Science Foundation</t>
  </si>
  <si>
    <t>NSF(National Science Foundation (NSF)); Directorate For Geosciences; Office of Polar Programs (OPP)(National Science Foundation (NSF)NSF - Directorate for Geosciences (GEO))</t>
  </si>
  <si>
    <t>The 1980s field seasons were supported by an NSF research award to Dr. Gifford Miller. Dr. Jim Benedict (Center for Mountain Archeology, Ward, Colorado) provided considerable encouragement and direction over the years. The recent visits to the lichen growth stations were supported by NSF Awards 244097 and 0649006. The authors thank participants in the Svalbard REV program for field assistance and several anonymous reviewers for their help improving the manuscript.</t>
  </si>
  <si>
    <t>10.1657/1938-4246-43.4.621</t>
  </si>
  <si>
    <t>WOS:000298722400012</t>
  </si>
  <si>
    <t>Liu, JP; Curry, JA</t>
  </si>
  <si>
    <t>Liu, Jiping; Curry, J. A.</t>
  </si>
  <si>
    <t>RESOLVING THE PARADOX OF ANTARCTIC SEA-ICE GROWTH</t>
  </si>
  <si>
    <t>BULLETIN OF THE AMERICAN METEOROLOGICAL SOCIETY</t>
  </si>
  <si>
    <t>News Item</t>
  </si>
  <si>
    <t>[Liu, Jiping] Georgia Inst Technol, Atlanta, GA 30332 USA</t>
  </si>
  <si>
    <t>University System of Georgia; Georgia Institute of Technology</t>
  </si>
  <si>
    <t>Liu, JP (corresponding author), Georgia Inst Technol, Atlanta, GA 30332 USA.</t>
  </si>
  <si>
    <t>LIU, JIPING/N-6696-2016</t>
  </si>
  <si>
    <t>Office of Polar Programs (OPP); Directorate For Geosciences [0838920] Funding Source: National Science Foundation</t>
  </si>
  <si>
    <t>Office of Polar Programs (OPP); Directorate For Geosciences(National Science Foundation (NSF)NSF - Directorate for Geosciences (GEO))</t>
  </si>
  <si>
    <t>0003-0007</t>
  </si>
  <si>
    <t>B AM METEOROL SOC</t>
  </si>
  <si>
    <t>Bull. Amer. Meteorol. Soc.</t>
  </si>
  <si>
    <t>863ZA</t>
  </si>
  <si>
    <t>WOS:000298205600004</t>
  </si>
  <si>
    <t>Chen, ZG; Huang, YP; Chen, M; Cai, PH; Xing, N; Cai, YH; Chen, JF</t>
  </si>
  <si>
    <t>Chen Zhigang; Huang Yipu; Chen Min; Cai Pinghe; Xing Na; Cai Yihua; Chen Jinfang</t>
  </si>
  <si>
    <t>Meridional distribution of 226Ra in the west Pacific and the Southern Ocean surface waters</t>
  </si>
  <si>
    <t>CHINESE JOURNAL OF OCEANOLOGY AND LIMNOLOGY</t>
  </si>
  <si>
    <t>Ra-226; Chanjiang River estuary; Antarctic; Prydz Bay; Leeuwin Current</t>
  </si>
  <si>
    <t>ANTARCTIC POLAR FRONT; MEAN RESIDENCE TIME; THERMOHALINE STRUCTURE; RADIUM ISOTOPES; EAST CHINA; PRYDZ BAY; GROUNDWATER DISCHARGE; LEEUWIN CURRENT; COASTAL WATERS; INDIAN-OCEAN</t>
  </si>
  <si>
    <t>During the 13(th) (1996-1997) and the 19(th) (2002-2003) Chinese National Antarctica Research Expeditions, we collected 60 discrete surface seawater samples along the cruise from the Chanjiang River (Yangtze) estuary (30 degrees 59'S, 122 degrees 26'E) through Taiwan Strait, the South China Sea, and the Eastern Indian Ocean to Prydz Bay, Antarctica (69 degrees 10'S, 74 degrees 30'E), and analyzed them for the Ra-226 specific activity. The Ra-226 specific activity of the Chanjiang River estuary surface water (3.15 Bq/m(3)) was found to be the highest among all the surface samples because of the desorption of Ra-226 from riverine particles. Between Chanjiang River estuary and 40 degrees S, Ra-226 specific activity was found to be relatively uniform with a mean value of 1.07 Bq/m(3) (n = 19, SD = 0.14), similar to that of the open ocean. From 40 degrees S to 65 degrees S, Ra-226 specific activity increased intensively, then decreased moderately further southwards. Near the Antarctic shore, it increased again, to 2.31 Bq/m(3). This distribution was controlled by a combination of deep water upwelling, Southern Ocean fronts, water mixing and the continental Ra-226 import. In Prydz Bay and the adjacent sea area, the mean Ra-226 activity value was 2.26 Bq/m(3) (n = 31, SD = 0.28), with a relatively higher value outside of the bay and low Ra-226 activity value in the center of the bay. This was consistent with the topography and hydrological setting of the bay. In addition, we extended the study area northward to the Arctic, by combining the published Ra-226 dataset for surface water from the Bering Sea to the Japan Sea. We also discuss the Ra-226 distribution of high latitude oceanic surface water and its mechanisms.</t>
  </si>
  <si>
    <t>[Chen Zhigang; Huang Yipu; Chen Min; Cai Pinghe; Xing Na; Cai Yihua; Chen Jinfang] Xiamen Univ, Coll Oceanog &amp; Environm, Xiamen 361005, Peoples R China; [Chen Jinfang] Jimei Univ, Bioengn Coll, Xiamen 361021, Peoples R China</t>
  </si>
  <si>
    <t>Xiamen University; Jimei University</t>
  </si>
  <si>
    <t>Huang, YP (corresponding author), Xiamen Univ, Coll Oceanog &amp; Environm, Xiamen 361005, Peoples R China.</t>
  </si>
  <si>
    <t>yphuang@xmu.edu.cn</t>
  </si>
  <si>
    <t>Huang, YP/G-3354-2010; ma, qiang/HCI-1013-2022; Chen, Min/B-7763-2012</t>
  </si>
  <si>
    <t>Chen, Min/0000-0003-0369-694X</t>
  </si>
  <si>
    <t>National Natural Science Foundation of China [40706033, 40806031]; COMRA [DYXM-115-02-1-12, DY115-01-2-5]</t>
  </si>
  <si>
    <t>National Natural Science Foundation of China(National Natural Science Foundation of China (NSFC)); COMRA</t>
  </si>
  <si>
    <t>Supported by the National Natural Science Foundation of China (Nos. 40706033 and 40806031) and COMRA Program (Nos. DYXM-115-02-1-12 and DY115-01-2-5)</t>
  </si>
  <si>
    <t>16 DONGHUANGCHENGGEN NORTH ST, BEIJING, 100717, PEOPLES R CHINA</t>
  </si>
  <si>
    <t>0254-4059</t>
  </si>
  <si>
    <t>1993-5005</t>
  </si>
  <si>
    <t>CHIN J OCEANOL LIMN</t>
  </si>
  <si>
    <t>Chin. J. Oceanol. Limnol.</t>
  </si>
  <si>
    <t>10.1007/s00343-011-0308-z</t>
  </si>
  <si>
    <t>875OA</t>
  </si>
  <si>
    <t>WOS:000299039400009</t>
  </si>
  <si>
    <t>Lu, B; Li, TG; Yu, XK; Chang, FM; Nan, QY</t>
  </si>
  <si>
    <t>Lu Bo; Li Tiegang; Yu Xinke; Chang Fengming; Nan Qingyun</t>
  </si>
  <si>
    <t>Redox conditions in sediments and during sedimentation in the Ontong Java Plateau, west equatorial Pacific</t>
  </si>
  <si>
    <t>west equatorial Pacific; Ontong Java Plateau; sediment; redox-sensitive elements</t>
  </si>
  <si>
    <t>CONTINENTAL-MARGIN SEDIMENTS; ANOXIC MARINE-SEDIMENTS; TRACE-METALS; NORTH PACIFIC; BLACK SHALES; AUTHIGENIC URANIUM; ORGANIC-MATTER; SAANICH INLET; MOLYBDENUM; GEOCHEMISTRY</t>
  </si>
  <si>
    <t>Redox-sensitive elements in sediments, such as manganese (Mn), vanadium (V), molybdenum (Mo), and uranium (U), are promising indicators of past redox conditions during sedimentation and early diagenesis. However, in the Ontong Java Plateau, west equatorial Pacific, there are sparse datasets of redox-sensitive elements in sediment cores. Here, we present a 250 ka record of redox sensitive elements from a 460 cm gravity core at site WP7 (3 degrees 56'S, 156 degrees E, water depth 1 800 m), which was recovered from the southwest Ontong Java Plateau during the 1993 cruise of R/V Science I of the Institute of Oceanology, Chinese Academy of Sciences (IOCAS). Relative to the Post-Archean Australian Shale (PAAS), authigenic Mn, cobalt (Co), nickel (Ni), Mo, V, U, and cadmium (Cd) were found at constantly low levels except when peaks occurred at several depth intervals. Manganese, Co, Ni, and Mo concentrations were elevated at 25-35 cm due to Mn redox cycling. The core was divided into three distinct sections, the top 0-25 cm being oxic, a suboxic section at 25-35 cm and from 35-460 cm which was anoxic. Differential authigenic enrichments of Co, Ni, Mo, V, U, and Cd at the same depth intervals were observed indicating that the enrichments happened during sedimentation or diagenesis and suffered no post settlement redox changes. Therefore, no significant changes in redox conditions during sedimentation must have happened. The water at depth on the Ontong Java Plateau during past 250 ka must have been well oxygenated, possibly resulted from the more or less continuous presence of oxygen-rich deep water like the modern Antarctic Intermediate Water (AAIW) and Antarctic Circumpolar Water (ACW); while it's slightly less oxygenated in glacial intervals, possibly due to ventilation weakening and/or the surface productivity increase.</t>
  </si>
  <si>
    <t>[Lu Bo; Li Tiegang; Yu Xinke; Chang Fengming; Nan Qingyun] Chinese Acad Sci, Key Lab Marine Geol &amp; Environm, Inst Oceanol, Qingdao 266071, Peoples R China; [Lu Bo] Chinese Acad Sci, Grad Univ, Beijing 100049, Peoples R China; [Lu Bo] Natl Marine Environm Monitoring Ctr, Dalian 116023, Peoples R China</t>
  </si>
  <si>
    <t>Chinese Academy of Sciences; Institute of Oceanology, CAS; Chinese Academy of Sciences; University of Chinese Academy of Sciences, CAS; National Marine Environmental Monitoring Center</t>
  </si>
  <si>
    <t>Li, TG (corresponding author), Chinese Acad Sci, Key Lab Marine Geol &amp; Environm, Inst Oceanol, Qingdao 266071, Peoples R China.</t>
  </si>
  <si>
    <t>tgli@qdio.ac.cn</t>
  </si>
  <si>
    <t>Yu, ZH/KBC-6889-2024</t>
  </si>
  <si>
    <t>Chinese Academy of Sciences [KZCX2-YW-221]; National Basic Research Program of China (973 Program) [2007CB815903]; Institute of Oceanology, Chinese Academy of Sciences [2007-10]; National Natural Science Foundation of China [40906038]; Open Foundation of the State Key Laboratory of Marine Geology [MG0903]</t>
  </si>
  <si>
    <t>Chinese Academy of Sciences(Chinese Academy of Sciences); National Basic Research Program of China (973 Program)(National Basic Research Program of China); Institute of Oceanology, Chinese Academy of Sciences(Chinese Academy of Sciences); National Natural Science Foundation of China(National Natural Science Foundation of China (NSFC)); Open Foundation of the State Key Laboratory of Marine Geology</t>
  </si>
  <si>
    <t>Supported by the Pilot Project of the National Knowledge Innovation Program of the Chinese Academy of Sciences (No. KZCX2-YW-221), the National Basic Research Program of China (973 Program) (No. 2007CB815903), the Pilot Project of the National Knowledge Innovation Program of Institute of Oceanology, Chinese Academy of Sciences (No. 2007-10), the National Natural Science Foundation of China (No. 40906038), and the Open Foundation of the State Key Laboratory of Marine Geology (No. MG0903)</t>
  </si>
  <si>
    <t>10.1007/s00343-011-1027-1</t>
  </si>
  <si>
    <t>WOS:000299039400020</t>
  </si>
  <si>
    <t>Zheng, SJ; Shi, JX; Jiao, YT; Ge, RF</t>
  </si>
  <si>
    <t>Zheng Shaojun; Shi Jiuxin; Jiao Yutian; Ge Renfeng</t>
  </si>
  <si>
    <t>Spatial distribution of Ice Shelf Water in front of the Amery Ice Shelf, Antarctica in summer</t>
  </si>
  <si>
    <t>Ice Shelf Water; temperature; Amery Ice Shelf; Antarctica</t>
  </si>
  <si>
    <t>PRYDZ BAY; CIRCULATION; OCEANOGRAPHY; BENEATH; REGION; MASSES</t>
  </si>
  <si>
    <t>As a unique low-temperature water mass in Antarctic coastal region, the Ice Shelf Water (ISW) is an important component for the formation of the Antarctic Bottom Water (AABW). In this paper, we present a criterion for ISW identification based on freezing point at the sea surface, and we study spatial distribution of ISW in front of the Amery Ice Shelf (AIS) and its flow path in Prydz Bay by analyzing hydrographic data from Australian cruises in 2001 and 2002, as well as Chinese cruises in 2003, 2005, 2006, and 2008, all being made in the austral summer. The relatively cold and fresh ISW occurred as several discrete water blocks with cold cores in front of the AIS, within the depth range of 100-600 m, under the seasonal thermocline. ISW had obvious temporal and spatial variations and the spatial distribution pattern changed greatly after 2005. Most of ISW was concentrated west of 73 degrees E during 2001 to 2003 and 2006, but it was widespread to east in 2005 and 2008. In all observation years, a small amount of cold ISW always occurs at the west end of the AIS front section, where the coldest ISW in the whole section also occurred in 2001, 2003 and 2006. Considering general cyclonic circulation pattern under the AIS, the ISW flowing out from west end of the AIS front might have experienced the longest cooling period under ice shelf, so it would have the lowest temperature. Analysis of data from meridian sections in Prydz Bay in 2003 implied that ISW in the west could spread north to the continental break along the east flank of the Fram Bank near 70.5 degrees E, mix with the upwelling Circumpolar Deep Water and possibly contribute to the formation of AABW.</t>
  </si>
  <si>
    <t>[Zheng Shaojun; Shi Jiuxin; Jiao Yutian] Ocean Univ China, Minist Educ, Key Lab Phys Oceanog, Qingdao 266100, Peoples R China; [Ge Renfeng] State Ocean Adm, Inst Oceanog 1, Qingdao 266061, Peoples R China</t>
  </si>
  <si>
    <t>Ocean University of China; First Institute of Oceanography, Ministry of Natural Resources</t>
  </si>
  <si>
    <t>Shi, JX (corresponding author), Ocean Univ China, Minist Educ, Key Lab Phys Oceanog, Qingdao 266100, Peoples R China.</t>
  </si>
  <si>
    <t>shijiuxin@ouc.edu.cn</t>
  </si>
  <si>
    <t>Zheng, Shaojun/HJI-8088-2023; Shi, Jiuxin/AAK-5495-2021</t>
  </si>
  <si>
    <t>Zheng, Shaojun/0000-0002-9430-4210; Shi, Jiuxin/0000-0002-5825-8894</t>
  </si>
  <si>
    <t>National Natural Science Foundation of China [40676011]; Key Technology Research and Development Program of China [2006BAB18B02]; Specialized Research Fund for the Doctoral Program of Higher Education [20100132110016]</t>
  </si>
  <si>
    <t>National Natural Science Foundation of China(National Natural Science Foundation of China (NSFC)); Key Technology Research and Development Program of China(National Key Technology R&amp;D Program); Specialized Research Fund for the Doctoral Program of Higher Education(Specialized Research Fund for the Doctoral Program of Higher Education (SRFDP))</t>
  </si>
  <si>
    <t>Supported by the National Natural Science Foundation of China (No. 40676011), the Key Technology Research and Development Program of China (No. 2006BAB18B02), and the Specialized Research Fund for the Doctoral Program of Higher Education (No. 20100132110016)</t>
  </si>
  <si>
    <t>10.1007/s00343-011-0318-x</t>
  </si>
  <si>
    <t>WOS:000299039400021</t>
  </si>
  <si>
    <t>Yang, CW; Nebert, D; Taylor, DRF</t>
  </si>
  <si>
    <t>Yang, Chaowei; Nebert, Doug; Taylor, D. R. Fraser</t>
  </si>
  <si>
    <t>Establishing a sustainable and cross-boundary geospatial cyberinfrastructure to enable polar research</t>
  </si>
  <si>
    <t>COMPUTERS &amp; GEOSCIENCES</t>
  </si>
  <si>
    <t>Antarctic and Arctic; Geophysical research; Polar engineering; Social and environment change; Geospatial platform; CyberGIS</t>
  </si>
  <si>
    <t>CLIMATE-CHANGE; SCIENCE; ICE; PERMAFROST; REINDEER; GLACIERS; IMPACTS; SYSTEM; BUDGET; VULNERABILITY</t>
  </si>
  <si>
    <t>Polar Regions become increasingly important as places for (1) natural resources, (2) sensitive indicators of human activities and global, environment, and climate changes, (3) preserving histories of the Earth and biological evolution, and (4) space-Earth interactions and answers to many other 21st century challenges. To facilitate the research, exploration, and development for better understanding, utilizing, and protecting the Polar Regions, a Geospatial CyberInfrastructure (GCI) is needed to help us collect data, integrate information gathered or data in real time from in situ and satellite sensors, and model the geophysical, biological, ecological, and social phenomena to provide better decision support information for policymakers. This special issue of GCI and polar research captures the recent advancements in polar research and the requirements for a GO. Through a rigorous review process, four papers were selected based on their relationships to polar research and their scientific/technical merits. This paper is a review that surveys the field, introduces the selected papers, and discusses future research. (C) 2011 Elsevier Ltd. All rights reserved.</t>
  </si>
  <si>
    <t>[Yang, Chaowei] George Mason Univ, Ctr Intelligent Spatial Comp Water Energy Sci, Fairfax, VA 22030 USA; [Yang, Chaowei] George Mason Univ, Dept Geog, Fairfax, VA 22030 USA; [Nebert, Doug] Fed Geog Data Comm, Reston, VA 20192 USA; [Taylor, D. R. Fraser] Carleton Univ, Ottawa, ON K1S 5B6, Canada</t>
  </si>
  <si>
    <t>George Mason University; George Mason University; Carleton University</t>
  </si>
  <si>
    <t>Yang, CW (corresponding author), George Mason Univ, Ctr Intelligent Spatial Comp Water Energy Sci, Fairfax, VA 22030 USA.</t>
  </si>
  <si>
    <t>cyang3@gmu.edu; ddnebert@fgdc.gov; fraser_taylor@carleton.ca</t>
  </si>
  <si>
    <t>Yang, Chaowei/A-9881-2017</t>
  </si>
  <si>
    <t>Yang, Chaowei/0000-0001-7768-4066</t>
  </si>
  <si>
    <t>USGS; IEEE; Compusult Inc.; IPY</t>
  </si>
  <si>
    <t>USGS(United States Geological Survey); IEEE; Compusult Inc.; IPY</t>
  </si>
  <si>
    <t>Dr. Grunsky and Dr. Brodaric helped organize this special issue. Ms. Jean Hubay and Mr. David Vargas helped facilitate the journal logistics. The Second Circumpolar Conference is supported by USGS, IEEE, Compusult Inc., and IPY. We thank the authors of all submissions and the anonymous reviewers for helping enforce the publication standard.</t>
  </si>
  <si>
    <t>0098-3004</t>
  </si>
  <si>
    <t>1873-7803</t>
  </si>
  <si>
    <t>COMPUT GEOSCI-UK</t>
  </si>
  <si>
    <t>Comput. Geosci.</t>
  </si>
  <si>
    <t>10.1016/j.cageo.2011.06.009</t>
  </si>
  <si>
    <t>Computer Science, Interdisciplinary Applications; Geosciences, Multidisciplinary</t>
  </si>
  <si>
    <t>Computer Science; Geology</t>
  </si>
  <si>
    <t>876WZ</t>
  </si>
  <si>
    <t>WOS:000299139800001</t>
  </si>
  <si>
    <t>Zhou, CX; Ai, ST; Chen, NC; Wang, ZM; Dongchen, E</t>
  </si>
  <si>
    <t>Zhou, Chunxia; Ai, Songtao; Chen, Nengcheng; Wang, Zemin; Dongchen, E.</t>
  </si>
  <si>
    <t>Grove Mountains meteorite recovery and relevant data distribution service</t>
  </si>
  <si>
    <t>Antarctica; Grove Mountains; Meteorites; Meteorite data distribution service</t>
  </si>
  <si>
    <t>COLLECTION</t>
  </si>
  <si>
    <t>Meteorites are extremely valuable in providing clues about the origin, evolution, and composition of the Sun, the Moon, the Earth, other planets, and asteroids. Since the first discovery of a meteorite in Antarctica, more and more meteorite concentrations on bare ice stranding sites were discovered. Antarctica is identified as a prolific source of extraterrestrial materials. The Grove Mountains area, covered by ice, snow, and nunataks, is located in the Antarctic inland area. It is about 380 km away from the Chinese Zhongshan Antarctic Research Station in East Antarctica. Since 1998, 11,452 meteorites have been collected from the Grove Mountains by the Chinese National Antarctic Research Expedition (CHINARE). It is confirmed that the Grove Mountains area is a productive search area for meteorites in Antarctica. More and more meteorite recoveries led to the recognition that unique mechanisms relating to meteorite concentrations exist in Antarctica. Besides meteorite field collections, the extraction of blue ice based on satellite images, meteorite concentration mechanisms, and meteorite data distribution service are discussed in this paper. Wide distribution of blue ice indicates the enrichment of meteorites. Based on the different spectrum characteristics and coherence of snow, blue ice, and bare rocks, blue ice areas are extracted from optical images and coherence maps. According to meteorite field collections and optical images, moraines are also identified as meteorite concentration sites in the Grove Mountains area. The meteorite concentration theories should be further analyzed by taking into account ice-flow dynamics, mountains' blocking effect, katabatic wind and ice ablation, and others. Moreover, in order to strengthen the visualization and network sharing of the valuable meteorite data, desktop software based on ArcObjects and web software based on ArcIMS are developed within this study. The desktop software also enables further analysis of the meteorite concentration mechanisms in the Grove Mountains. (C) 2011 Elsevier Ltd. All rights reserved.</t>
  </si>
  <si>
    <t>[Zhou, Chunxia; Ai, Songtao; Wang, Zemin; Dongchen, E.] Wuhan Univ, Chinese Antarctic Ctr Surveying &amp; Mapping, Wuhan 430079, Hubei, Peoples R China; [Chen, Nengcheng] Wuhan Univ, State Key Lab Informat Engn Surveying Mapping &amp; R, Wuhan 430079, Hubei, Peoples R China</t>
  </si>
  <si>
    <t>Wuhan University; Wuhan University</t>
  </si>
  <si>
    <t>Zhou, CX (corresponding author), Wuhan Univ, Chinese Antarctic Ctr Surveying &amp; Mapping, 129 Luoyu Rd, Wuhan 430079, Hubei, Peoples R China.</t>
  </si>
  <si>
    <t>zhoucx@whu.edu.cn</t>
  </si>
  <si>
    <t>Ai, Songtao/AAA-7338-2019; ZeMin, Wang/AAU-3422-2020</t>
  </si>
  <si>
    <t>Chen, Nengcheng/0000-0002-3521-9972</t>
  </si>
  <si>
    <t>Chinese 863 program [2 009AA12Z133]; National Nature Science Foundation of China (NSFC) [40606002, 41076126/D0611]; National Basic Research Program of China [2011CB707101]; eleventh-five Basic Surveying and Mapping of the State Bureau of Surveying and Mapping [1469990711109-1]</t>
  </si>
  <si>
    <t>Chinese 863 program(National High Technology Research and Development Program of China); National Nature Science Foundation of China (NSFC)(National Natural Science Foundation of China (NSFC)); National Basic Research Program of China(National Basic Research Program of China); eleventh-five Basic Surveying and Mapping of the State Bureau of Surveying and Mapping</t>
  </si>
  <si>
    <t>This research is funded by the Chinese 863 program (No. 2 009AA12Z133, PI: Dr. Zhou Chunxia), National Nature Science Foundation of China (NSFC) (No. 40606002, No. 41076126/D0611, PI: Dr. Zhou Chunxia), National Basic Research Program of China (No. 2011CB707101, PI: Dr. Chen Nengcheng), and the eleventh-five Basic Surveying and Mapping of the State Bureau of Surveying and Mapping (No. 1469990711109-1, PI: Prof. E Dongchen). We sincerely thank Zhang Jie, Polar Research Institute of China, for providing the meteorite data, and Dr. David A. Tait, for proofreading the manuscript. The authors thank the editors and anonymous reviewers for their valuable comments and insightful ideas.</t>
  </si>
  <si>
    <t>10.1016/j.cageo.2011.05.013</t>
  </si>
  <si>
    <t>WOS:000299139800002</t>
  </si>
  <si>
    <t>Li, WQ; Chen, G; Kong, QQ; Wang, ZZ; Qian, CC</t>
  </si>
  <si>
    <t>Li, Wenqing; Chen, Ge; Kong, Qianqian; Wang, Zhenzhen; Qian, Chengcheng</t>
  </si>
  <si>
    <t>A VR-Ocean system for interactive geospatial analysis and 4D visualization of the marine environment around Antarctica</t>
  </si>
  <si>
    <t>VR-Ocean; GPU geometry clipmap; MSLA; ETOPO1; 4D simulation; Virtual Antarctica</t>
  </si>
  <si>
    <t>GIS; WEB; DATABASE</t>
  </si>
  <si>
    <t>The development of the VR-Ocean system coincides with the first availability of more than 15 years (199222009) of the merged altimeter data from up to four concurrent satellite missions (Topex/Poseidon, ERS-1 and 2, ENVISAT, Jason-1, and Geosat Follow-On) and ETOPO1 Ice Surface data (1 arc-minute global relief model of the Earth's surface that integrates land topography and ocean bathymetry). In the polar-region-oriented VR-Ocean system, the seabed and continental topography data south of 45 S were organized in a circular area and rendered in the form of geometry clipmaps. Maps of Sea-Level Anomalies (MSLA) data for the same district were extracted and streamlined in time order. A memory-mapped file was used to accelerate file loading speed, and sea surfaces of different times were rendered in turn as a vertex buffer object (VBO) and accelerated by the graphic processing unit (GPU). As a result, roaming anywhere at any angle of view and geospatial analysis are interactively obtained and dynamically presented in real-time using the 4D VR-Ocean system. As an attempt, we did a case study on ice melting and sea-level rise around the Antarctic. This system is expected to make a significant contribution to the description, understanding, prediction, and demonstration of 4D information and properties on both regional and hemispheric scales in a virtual environment. (C) 2011 Elsevier Ltd. All rights reserved.</t>
  </si>
  <si>
    <t>livenson@163.com</t>
  </si>
  <si>
    <t>Qian, Chengcheng/AAS-4256-2021</t>
  </si>
  <si>
    <t>Natural Science Foundation of China [40730530]; National Basic Research Program of China [2009CB723903]; National High-Tech Research and Development Program of China [2008AA121701]; Ministry of Science and Technology of China [2009GJA00047]</t>
  </si>
  <si>
    <t>Natural Science Foundation of China(National Natural Science Foundation of China (NSFC)); National Basic Research Program of China(National Basic Research Program of China); National High-Tech Research and Development Program of China(National High Technology Research and Development Program of China); Ministry of Science and Technology of China(Ministry of Science and Technology, China)</t>
  </si>
  <si>
    <t>This research was jointly supported by the Natural Science Foundation of China under Project 40730530, the National Basic Research Program of China under Project 2009CB723903, the National High-Tech Research and Development Program of China under Project 2008AA121701, and Scientist Serve the Company Program of the Ministry of Science and Technology of China under Project 2009GJA00047. We gratefully acknowledge the NOAA National Geophysical Data Center (NGDC) for the provision of ETOPO1 data. We also gratefully acknowledge AVISO for the provision of merged altimeter data.</t>
  </si>
  <si>
    <t>10.1016/j.cageo.2011.04.009</t>
  </si>
  <si>
    <t>WOS:000299139800004</t>
  </si>
  <si>
    <t>Charrier, I; Ahonen, H; Harcourt, RG</t>
  </si>
  <si>
    <t>Charrier, Isabelle; Ahonen, Heidi; Harcourt, Robert G.</t>
  </si>
  <si>
    <t>What Makes an Australian Sea Lion (Neophoca cinerea) Male's Bark Threatening?</t>
  </si>
  <si>
    <t>JOURNAL OF COMPARATIVE PSYCHOLOGY</t>
  </si>
  <si>
    <t>vocal communication; agonistic interaction; perception; competition; pinnipeds</t>
  </si>
  <si>
    <t>RED DEER; VOCAL DISCRIMINATION; ACOUSTIC FEATURES; LOUD CALLS; FUR SEALS; COMMUNICATION; VOCALIZATIONS; RESPONSES; RATES; SIZE</t>
  </si>
  <si>
    <t>In mammals, vocal signals are produced in many social contexts and convey diverse information about the emitter (social rank, individual identity, body size-condition). To understand their biological function, the authors find it is not only important to estimate the information about the signaler encoded in the signal but also to determine if and how this information is perceived by the receiver. In male pinnipeds (phocids, otariids, and odobenids) vocal signaling plays an important role in the breeding season during the defense of territories, females, or both. In this article, the authors investigated 2 key acoustic features that Australian sea lion (Neophoca cinerea) males most likely rely on to assess the threat level posed by potential rivals, by manipulating bark rhythmicity and spectral characteristics. Bark series that show accelerated rhythmicity and higher formants elicited stronger responses.</t>
  </si>
  <si>
    <t>[Charrier, Isabelle] Univ Paris 11, CNPS, CNRS, F-91405 Orsay, France; [Ahonen, Heidi; Harcourt, Robert G.] Macquarie Univ, Grad Sch Environm, Marine Mammal Res Grp, Sydney, NSW 2109, Australia</t>
  </si>
  <si>
    <t>Universite Paris Saclay; Centre National de la Recherche Scientifique (CNRS); Macquarie University</t>
  </si>
  <si>
    <t>Charrier, I (corresponding author), Univ Paris 11, CNPS, CNRS, Bat 446, F-91405 Orsay, France.</t>
  </si>
  <si>
    <t>isabelle.charrier@u-psud.fr</t>
  </si>
  <si>
    <t>CHARRIER, Isabelle/0000-0003-4873-2342; Harcourt, Robert/0000-0003-4666-2934</t>
  </si>
  <si>
    <t>Macquarie University; DEWHA's Australian Marine Mammal Centre, Australian Antarctic Division; CNRS (Orsay, France)</t>
  </si>
  <si>
    <t>This research was supported by a Macquarie University Research Development Grant to Robert G. Harcourt, a grant from the DEWHA's Australian Marine Mammal Centre, Australian Antarctic Division to Robert G. Harcourt and by CNRS (Orsay, France). We thank the Department of Environment and Conservation, Western Australia (DEC WA License SF007489) for permission to enter the study site and for providing significant help in situ, especially Mathew Dasey, Susie Glac, and Richard Koch. Andy Lowther and Ben Pitcher provided invaluable assistance and excellent company in the field. This research was approved by the Department for Environment and Heritage, South Australia (permit E24934) and DEH SA Wildlife Ethics Committee (54/2007). Special thanks to D. Reby for his constructive advice on an earlier version of the manuscript. We thank anonymous referees and Robert Seyfarth for their helpful comments on the article.</t>
  </si>
  <si>
    <t>AMER PSYCHOLOGICAL ASSOC</t>
  </si>
  <si>
    <t>750 FIRST ST NE, WASHINGTON, DC 20002-4242 USA</t>
  </si>
  <si>
    <t>0735-7036</t>
  </si>
  <si>
    <t>1939-2087</t>
  </si>
  <si>
    <t>J COMP PSYCHOL</t>
  </si>
  <si>
    <t>J. Comp. Psychol.</t>
  </si>
  <si>
    <t>10.1037/a0024513</t>
  </si>
  <si>
    <t>Behavioral Sciences; Psychology; Psychology, Multidisciplinary; Zoology</t>
  </si>
  <si>
    <t>Behavioral Sciences; Psychology; Zoology</t>
  </si>
  <si>
    <t>857UH</t>
  </si>
  <si>
    <t>WOS:000297746300002</t>
  </si>
  <si>
    <t>Wen, X; Wang, S; Amornwittawat, N; Houghton, EA; Sacco, MA</t>
  </si>
  <si>
    <t>Wen, Xin; Wang, Sen; Amornwittawat, Natapol; Houghton, Eric A.; Sacco, Michael A.</t>
  </si>
  <si>
    <t>Interaction of reduced nicotinamide adenine dinucleotide with an antifreeze protein from Dendroides canadensis: mechanistic implication of antifreeze activity enhancement</t>
  </si>
  <si>
    <t>JOURNAL OF MOLECULAR RECOGNITION</t>
  </si>
  <si>
    <t>arginine; phosphate; nicotinamide adenine dinucleotide; antifreeze protein; antifreeze activity enhancement</t>
  </si>
  <si>
    <t>THERMAL HYSTERESIS PROTEINS; FREEZING RESISTANCE; BINDING PARAMETERS; MASS-SPECTROMETRY; ANTARCTIC FISHES; ARGINYL RESIDUES; BEETLE; SITES; DREYER; HUMMEL</t>
  </si>
  <si>
    <t>Antifreeze proteins (AFPs) found in many organisms can noncolligatively lower the freezing point of water without altering the melting point. The difference between the depressed freezing point and the melting point, termed thermal hysteresis (TH), is usually a measure of the antifreeze activity of AFPs. Certain low molecular mass molecules and proteins can further enhance the antifreeze activity of AFPs. Interaction between an enhancer and arginine is known to play an important role in enhancing the antifreeze activity of an AFP from the beetle Dendroides canadensis (DAFP-1). Here, we examined the enhancement effects of several prevalent phosphate-containing coenzymes on the antifreeze activity of DAFP-1. beta-Nicotinamide adenine dinucleotide (reduced) (NADH) is identified as the most efficient enhancer of DAFP-1, which increases the antifreeze activity of DAFP-1 by around 10 times. Examination of the enhancement abilities of a series of NADH analogs and various molecular fragments of NADH reveals that the modifications of nicotinamide generate a series of highly efficient enhancers, though none as effective as NADH itself, and the whole molecular structure of NADH is necessary for its highly efficient enhancement effect. We also demonstrated a 1:1 binding between DAFP-1 and NADH. The binding was characterized by high-performance liquid chromatography (HPLC) using the gel filtration method of Hummel and Dreyer. The data analysis suggests binding between DAFP-1 and NADH with a dissociation constant in the micromolar range. Interactions between DAFP-1 and NADH are discussed along with molecular mechanisms of enhancer action. Copyright (C) 2011 John Wiley &amp; Sons, Ltd.</t>
  </si>
  <si>
    <t>[Wen, Xin; Wang, Sen; Amornwittawat, Natapol; Houghton, Eric A.; Sacco, Michael A.] Calif State Univ Los Angeles, Dept Chem &amp; Biochem, Los Angeles, CA 90032 USA; [Wang, Sen] Stanford Univ, Mol Imaging Program, Stanford, CA 94305 USA; [Amornwittawat, Natapol] Chulabhorn Res Inst, Bangkok 10210, Thailand</t>
  </si>
  <si>
    <t>California State University System; California State University Los Angeles; Stanford University; Chulabhorn Research Institute</t>
  </si>
  <si>
    <t>Wen, X (corresponding author), Calif State Univ Los Angeles, Dept Chem &amp; Biochem, Los Angeles, CA 90032 USA.</t>
  </si>
  <si>
    <t>xwen3@calstatela.edu</t>
  </si>
  <si>
    <t>National Institutes of Health [GM086249]; Research Corporation Cottrell College [CC10492]</t>
  </si>
  <si>
    <t>National Institutes of Health(United States Department of Health &amp; Human ServicesNational Institutes of Health (NIH) - USA); Research Corporation Cottrell College(Research Corporation for Science Advancement)</t>
  </si>
  <si>
    <t>This study was supported by the National Institutes of Health Grant GM086249 and Research Corporation Cottrell College Science Award CC10492 to X.W. We thank Dr. John Duman at the University of Notre Dame for providing the cDNAs of DAFP-1.</t>
  </si>
  <si>
    <t>0952-3499</t>
  </si>
  <si>
    <t>J MOL RECOGNIT</t>
  </si>
  <si>
    <t>J. Mol. Recognit.</t>
  </si>
  <si>
    <t>NOV-DEC</t>
  </si>
  <si>
    <t>10.1002/jmr.1151</t>
  </si>
  <si>
    <t>869LM</t>
  </si>
  <si>
    <t>WOS:000298599500014</t>
  </si>
  <si>
    <t>Zhang, Y; Pedlosky, J; Flierl, GR</t>
  </si>
  <si>
    <t>Zhang, Yu; Pedlosky, Joseph; Flierl, Glenn R.</t>
  </si>
  <si>
    <t>Cross-Shelf and Out-of-Bay Transport Driven by an Open-Ocean Current</t>
  </si>
  <si>
    <t>ANTARCTIC CIRCUMPOLAR CURRENT; SOUTHERN-OCEAN; SLOPE FRONT; CIRCULATION; EDDIES; BOUNDARY; MEANDERS; WAVES; MODEL; JET</t>
  </si>
  <si>
    <t>This paper studies the interaction of an Antarctic Circumpolar Current (ACC)-like wind-driven channel flow with a continental slope and a flat-bottomed bay-shaped shelf near the channel's southern boundary. Interaction between the model ACC and the topography in the second layer induces local changes of the potential vorticity (PV) flux, which further causes the formation of a first-layer PV front near the base of the topography. Located between the ACC and the first-layer slope, the newly formed PV front is constantly perturbed by the ACC and in turn forces the first-layer slope with its own variability in an intermittent but persistent way. The volume transport of the slope water across the first-layer slope edge is mostly directly driven by eddies and meanders of the new front, and its magnitude is similar to the maximum Ekman transport in the channel. Near the bay's opening, the effect of the topographic waves, excited by offshore variability, dominates the cross-isobath exchange and induces a mean clockwise shelf circulation. The waves' propagation is only toward the west and tends to be blocked by the bay's western boundary in the narrow-shelf region. The ensuing wave-coast interaction amplifies the wave amplitude and the cross-shelf transport. Because the interaction only occurs near the western boundary, the shelf water in the west of the bay is more readily carried offshore than that in the east and the mean shelf circulation is also intensified along the bay's western boundary.</t>
  </si>
  <si>
    <t>[Zhang, Yu; Pedlosky, Joseph] Woods Hole Oceanog Inst, Woods Hole, MA 02543 USA; [Flierl, Glenn R.] MIT, Cambridge, MA 02139 USA</t>
  </si>
  <si>
    <t>Woods Hole Oceanographic Institution; Massachusetts Institute of Technology (MIT)</t>
  </si>
  <si>
    <t>Zhang, Y (corresponding author), GFDL Princeton Univ, 201 Forrestal Rd, Princeton, NJ 08540 USA.</t>
  </si>
  <si>
    <t>yuz@princeton.edu</t>
  </si>
  <si>
    <t>MIT-WHOI; NSF [OCE-9901654, OCE-0451086]</t>
  </si>
  <si>
    <t>MIT-WHOI; NSF(National Science Foundation (NSF))</t>
  </si>
  <si>
    <t>We thank Dr. Robert Hallberg for helping us with HIM. Y. Zhang acknowledges the support of the MIT-WHOI Joint Program in Physical Oceanography and NSF OCE-9901654 and OCE-0451086. J. Pedlosky acknowledges the support of NSF OCE-9901654 and OCE-0451086.</t>
  </si>
  <si>
    <t>10.1175/JPO-D-11-08.1</t>
  </si>
  <si>
    <t>861LO</t>
  </si>
  <si>
    <t>WOS:000298020600009</t>
  </si>
  <si>
    <t>Abbas, S; Kelly, M; Bowling, J; Sims, J; Waters, A; Hamann, M</t>
  </si>
  <si>
    <t>Abbas, Samuel; Kelly, Michelle; Bowling, John; Sims, James; Waters, Amanda; Hamann, Mark</t>
  </si>
  <si>
    <t>Advancement into the Arctic Region for Bioactive Sponge Secondary Metabolites</t>
  </si>
  <si>
    <t>MARINE DRUGS</t>
  </si>
  <si>
    <t>bioactive molecules; Porifera; sponges; Alaskan Arctic; Aleutian Islands</t>
  </si>
  <si>
    <t>CHEMICAL ECOLOGY; MARINE SPONGES; ALKALOIDS</t>
  </si>
  <si>
    <t>Porifera have long been a reservoir for the discovery of bioactive compounds and drug discovery. Most research in the area has focused on sponges from tropical and temperate waters, but more recently the focus has shifted to the less accessible colder waters of the Antarctic and, to a lesser extent, the Arctic. The Antarctic region in particular has been a more popular location for natural products discovery and has provided promising candidates for drug development. This article reviews groups of bioactive compounds that have been isolated and reported from the southern reaches of the Arctic Circle, surveys the known sponge diversity present in the Arctic waters, and details a recent sponge collection by our group in the Aleutian Islands, Alaska. The collection has yielded previously undescribed sponge species along with primary activity against opportunistic infectious diseases, malaria, and HCV. The discovery of new sponge species and bioactive crude extracts gives optimism for the isolation of new bioactive compounds from a relatively unexplored source.</t>
  </si>
  <si>
    <t>[Abbas, Samuel; Bowling, John; Sims, James; Waters, Amanda; Hamann, Mark] Univ Mississippi, Sch Pharm, Dept Pharmacognosy, University, MS 38677 USA; [Kelly, Michelle] Natl Inst Water &amp; Atmospher Res Ltd, Natl Ctr Aquat Biodivers &amp; Biosecur, Auckland Cent 1149, New Zealand</t>
  </si>
  <si>
    <t>University of Mississippi; National Institute of Water &amp; Atmospheric Research (NIWA) - New Zealand</t>
  </si>
  <si>
    <t>Hamann, M (corresponding author), Univ Mississippi, Sch Pharm, Dept Pharmacognosy, University, MS 38677 USA.</t>
  </si>
  <si>
    <t>shabbas@olemiss.edu; m.kelly@niwa.co.nz; jjbowlin@olemiss.edu; jwsims@olemiss.edu; alwaters@olemiss.edu; mthamann@olemiss.edu</t>
  </si>
  <si>
    <t>Waters, Amanda L/E-9231-2011; Hamann, Mark T./ABG-5857-2020</t>
  </si>
  <si>
    <t>Hamann, Mark T./0000-0002-3798-4002; Sims, James/0000-0003-3472-1642</t>
  </si>
  <si>
    <t>National Center for Research Resources, National Institutes of Health [C06 RR-14503-01]; Kraft Foods Global; NIH; NIH, NIAID, Division of AIDS [AI 27094]; USDA Agricultural Research Service [58-6408-2-0009]; New Zealand Foundation for Research, Science and Technology [C01X0219]</t>
  </si>
  <si>
    <t>National Center for Research Resources, National Institutes of Health(United States Department of Health &amp; Human ServicesNational Institutes of Health (NIH) - USANIH National Center for Research Resources (NCRR)); Kraft Foods Global; NIH(United States Department of Health &amp; Human ServicesNational Institutes of Health (NIH) - USA); NIH, NIAID, Division of AIDS(United States Department of Health &amp; Human ServicesNational Institutes of Health (NIH) - USANIH National Institute of Allergy &amp; Infectious Diseases (NIAID)); USDA Agricultural Research Service(United States Department of Agriculture (USDA)USDA Agricultural Research Service); New Zealand Foundation for Research, Science and Technology(New Zealand Foundation for Research, Science and Technology)</t>
  </si>
  <si>
    <t>This investigation was conducted in a facility constructed with support from Research Facilities Improvement Program grant number C06 RR-14503-01 from the National Center for Research Resources, National Institutes of Health. Special thanks are given to Kraft Foods Global and NIH for financial support and the support of NOAA for the collection expedition. We would also like to thank Serena Ellison and Alexis Fullmer for their aid in small scale sponge extractions. The authors also wish to thank Marsha Wright for biological testing against opportunistic infections and John Trott for malaria. This work was partially supported by the NIH, NIAID, Division of AIDS, Grant No. AI 27094 (antifungal) and the USDA Agricultural Research Service Specific Cooperative Agreement No. 58-6408-2-0009 (antibacterial). The taxonomic review work was supported by the New Zealand Foundation for Research, Science and Technology Contracts C01X0219 (Biodiversity and Biosecurity) to NIWA. MK is grateful to Helmut Lehnert, Oberottmarshausen, Germany, and Toufiek Samaai, Cape Town, South Africa, for permission to use SEM images of Latrunculia velera and L. occulta in Figure 8, compiled by Carina Sim-Smith of NIWA Auckland.</t>
  </si>
  <si>
    <t>MDPI</t>
  </si>
  <si>
    <t>ST ALBAN-ANLAGE 66, CH-4052 BASEL, SWITZERLAND</t>
  </si>
  <si>
    <t>1660-3397</t>
  </si>
  <si>
    <t>MAR DRUGS</t>
  </si>
  <si>
    <t>Mar. Drugs</t>
  </si>
  <si>
    <t>10.3390/md9112423</t>
  </si>
  <si>
    <t>Chemistry, Medicinal; Pharmacology &amp; Pharmacy</t>
  </si>
  <si>
    <t>Pharmacology &amp; Pharmacy</t>
  </si>
  <si>
    <t>874BE</t>
  </si>
  <si>
    <t>Green Published, gold, Green Submitted</t>
  </si>
  <si>
    <t>WOS:000298929200016</t>
  </si>
  <si>
    <t>Bart, PJ; Sjunneskog, C; Chow, JM</t>
  </si>
  <si>
    <t>Bart, Philip J.; Sjunneskog, Charlotte; Chow, Juan M.</t>
  </si>
  <si>
    <t>Piston-core based biostratigraphic constraints on Pleistocene oscillations of the West Antarctic Ice Sheet in western Ross Sea between North Basin and AND-1B drill site</t>
  </si>
  <si>
    <t>Antarctica; diatom; Pleistocene; Ross Sea; West Antarctic Ice Sheet; AND-1B</t>
  </si>
  <si>
    <t>PRYDZ BAY; HOLOCENE RETREAT; EAST ANTARCTICA; SEDIMENT; COLLAPSE; SYSTEM; RECORD</t>
  </si>
  <si>
    <t>New diatom-biostratigraphic age data derived from piston core were used to constrain the chronology for a seismic-based interpretation of West Antarctic Ice Sheet (WAIS) advance and retreat from the North Basin outer shelf in western Ross Sea. The data demonstrates that grounded ice occupied the outer shelf on at least ten occasions during the last 2.0 Ma of the Pleistocene. Although the biostratigraphic resolution is low, the constraints permit correlations to coeval section recently drilled in South McMurdo Sound at the AND-1B drill site. Our interpretation of regional-scale correlations suggests that the Pleistocene dynamics of the WAIS involved grounding-line translations in excess of 600 km. However, the data also suggests that only two major advances of grounded ice occurred since similar to 0.71 Ma. In other words, several of the late Pleistocene sediment cycles at AND-1B must represent only minor advance and retreat of grounded ice to and from South McMurdo Sound. The results prove false the long-standing tacit assumption that the WAIS experienced major advances in association with peak glacials and eustatic lowstands during the last 700 ka of the Pleistocene. These results show that piston cores can be used to constrain the timing of pre-Holocene grounding events. These data also highlight the need for regional-scale correlations to distinguish between major versus minor grounding-line translations of grounded ice in the marine setting. (C) 2011 Elsevier B.V. All rights reserved.</t>
  </si>
  <si>
    <t>[Bart, Philip J.; Sjunneskog, Charlotte; Chow, Juan M.] Louisiana State Univ, Dept Geol &amp; Geophys, Baton Rouge, LA 70803 USA</t>
  </si>
  <si>
    <t>Louisiana State University System; Louisiana State University</t>
  </si>
  <si>
    <t>Bart, PJ (corresponding author), Louisiana State Univ, Dept Geol &amp; Geophys, Baton Rouge, LA 70803 USA.</t>
  </si>
  <si>
    <t>pbart@lsu.edu</t>
  </si>
  <si>
    <t>National Science Foundation [0342484]; [OPP0538475]</t>
  </si>
  <si>
    <t>National Science Foundation(National Science Foundation (NSF));</t>
  </si>
  <si>
    <t>This work was supported by grant OPP0538475 awarded to Philip J Bart, and by the ANDRILL Program supported by the National Science Foundation under Cooperative Agreement No. 0342484 through subawards administered by the ANDRILL Science Management Office at the University of Nebraska-Lincoln, and issued through Northern Illinois University, as part of the ANDRILL U.S. Science Support Program. Any opinions, findings, and conclusions or recommendations expressed in this material are those of the author(s) and do not necessarily reflect the views of the National Science Foundation. We also thank Reed Scherer for helpful review of a previous version of the manuscript, and reviewers Timothy Naish and Matt Olney.</t>
  </si>
  <si>
    <t>NOV 1</t>
  </si>
  <si>
    <t>10.1016/j.margeo.2011.09.005</t>
  </si>
  <si>
    <t>868OY</t>
  </si>
  <si>
    <t>WOS:000298533800008</t>
  </si>
  <si>
    <t>Manderson, L</t>
  </si>
  <si>
    <t>Manderson, Lenore</t>
  </si>
  <si>
    <t>Victoria Team</t>
  </si>
  <si>
    <t>Social and public health effects of climate change in the '40 South'</t>
  </si>
  <si>
    <t>WILEY INTERDISCIPLINARY REVIEWS-CLIMATE CHANGE</t>
  </si>
  <si>
    <t>URBAN HEAT-ISLAND; INTERDECADAL PACIFIC OSCILLATION; WATER-RESOURCES MANAGEMENT; EXTREME RAINFALL EVENTS; RIVER VIRUS-DISEASE; BUENOS-AIRES; CHANGE IMPACTS; RENEWABLE ENERGY; MENTAL-HEALTH; NUTRITION TRANSITION</t>
  </si>
  <si>
    <t>This work provides an overview of the literature on the current and projected social and health effects of climate change in countries affected by sub-Antarctic atmospheric circulation, including Argentina, Australia, Chile, New Zealand, and South Africa. These countries, which for convenience we gloss as '40 South', are already experiencing considerable impact. Climate change particularly impacts on water and food security, extreme weather events and migration. Projections indicate that the continuing impact of climate change may precipitate political and socioeconomic crises, including increased local, regional, and international migration. We highlight the similarity of the countries in terms of geography, current, and projected climate change impacts, adopted mitigation and adaptation strategies, and vulnerable population groups. While the health and social consequences of climate change draw attention to the differences in the social, political, and economic differences between the countries, we argue the strategic and scientific value of comparisons between them. (C) 2011 John Wiley &amp; Sons, Ltd.</t>
  </si>
  <si>
    <t>[Manderson, Lenore; Victoria Team] Monash Univ, Social Sci &amp; Hlth Res Unit, Sch Psychol &amp; Psychiat, Clayton, Vic 3800, Australia</t>
  </si>
  <si>
    <t>Monash University</t>
  </si>
  <si>
    <t>Manderson, L (corresponding author), Monash Univ, Social Sci &amp; Hlth Res Unit, Sch Psychol &amp; Psychiat, Clayton, Vic 3800, Australia.</t>
  </si>
  <si>
    <t>Team, Victoria/K-4870-2017</t>
  </si>
  <si>
    <t>Team, Victoria/0000-0001-6615-6874; Manderson, Lenore/0000-0002-7883-1790</t>
  </si>
  <si>
    <t>1757-7780</t>
  </si>
  <si>
    <t>1757-7799</t>
  </si>
  <si>
    <t>WIRES CLIM CHANGE</t>
  </si>
  <si>
    <t>Wiley Interdiscip. Rev.-Clim. Chang.</t>
  </si>
  <si>
    <t>10.1002/wcc.138</t>
  </si>
  <si>
    <t>Environmental Studies; Meteorology &amp; Atmospheric Sciences</t>
  </si>
  <si>
    <t>855RT</t>
  </si>
  <si>
    <t>WOS:000297582700007</t>
  </si>
  <si>
    <t>Fortner, SK; Lyons, WB; Olesik, JW</t>
  </si>
  <si>
    <t>Fortner, Sarah K.; Lyons, W. Berry; Olesik, John W.</t>
  </si>
  <si>
    <t>Eolian deposition of trace elements onto Taylor Valley Antarctic glaciers</t>
  </si>
  <si>
    <t>APPLIED GEOCHEMISTRY</t>
  </si>
  <si>
    <t>MCMURDO DRY VALLEYS; SOUTHERN VICTORIA LAND; VANDA WRIGHT VALLEY; SNOW; ICE; CHEMISTRY; CLIMATE; METALS; STREAM; SALTS</t>
  </si>
  <si>
    <t>The major ion and trace element chemistry in four 60-110 cm deep snow pits was examined from three Antarctic Taylor Valley glaciers (Commonwealth, Canada and Howard), all located within 20 km of the Ross Sea. Taylor Valley (TV) (77 degrees 30'S, 163 degrees 15'E) is part of the McMurdo Dry Valleys (MDV), the largest ice-free area in Antarctica. Snow chemistry of these glaciers is strongly influenced by cross-valley (SW-NE and NE-SW) winds that deposit eolian materials, including mineral dust and soluble salts. Arsenic, Cd, Cu, Mo, Pb, Sb and Sn in recent TV glacier snow are almost exclusively derived from eolian dust. The relative magnitude of element variations with depth relate to the exposure of snow sites to prevalent winds. Eolian deposition is a primary source of these elements to Canada Glacier snow and supra and proglacial streams. Eolian processes are likely very important to the delivery and availability of nutrients and, potentially toxic elements to dry valley Antarctic ecosystems. (C) 2011 Elsevier Ltd. All rights reserved.</t>
  </si>
  <si>
    <t>[Fortner, Sarah K.; Lyons, W. Berry] Ohio State Univ, Byrd Polar Res Ctr, Columbus, OH 43210 USA; [Fortner, Sarah K.; Lyons, W. Berry; Olesik, John W.] Sch Earth Sci, Columbus, OH 43210 USA</t>
  </si>
  <si>
    <t>University System of Ohio; Ohio State University</t>
  </si>
  <si>
    <t>Fortner, SK (corresponding author), Ohio State Univ, Byrd Polar Res Ctr, 1090 Carmack Dr, Columbus, OH 43210 USA.</t>
  </si>
  <si>
    <t>fortner.27@osu.edu</t>
  </si>
  <si>
    <t>Fortner, Sarah/0000-0002-7075-1825</t>
  </si>
  <si>
    <t>NSF [ANT-0423595]</t>
  </si>
  <si>
    <t>NSF(National Science Foundation (NSF))</t>
  </si>
  <si>
    <t>Funding was provided by NSF Grant ANT-0423595 as part of the McMurdo Long Term Ecological Research Program. Thanks to Rebecca Witherow, Kathleen Welch, Joel Barker, Hassan Basagic, Liz Bagshaw, Lynn Everett, Chris Gardner, Heidi Hussman, Michele Larrimer, Cecelia Mortenson and Rae Spain for their assistance in the field, laboratory and office. Thanks to Diana Wall and Ross Virginia for allowing access to bundt pan collections and to Christine Foreman for her analyses of those samples. Thank you David Lape for constructing snow samplers. We are grateful to Anthony Lutton for his assistance with the SF-ICP-MS.</t>
  </si>
  <si>
    <t>0883-2927</t>
  </si>
  <si>
    <t>APPL GEOCHEM</t>
  </si>
  <si>
    <t>Appl. Geochem.</t>
  </si>
  <si>
    <t>10.1016/j.apgeochem.2011.06.013</t>
  </si>
  <si>
    <t>859ZG</t>
  </si>
  <si>
    <t>WOS:000297913900013</t>
  </si>
  <si>
    <t>Caulfield, JT; Cronin, SJ; Turner, SP; Cooper, LB</t>
  </si>
  <si>
    <t>Caulfield, J. T.; Cronin, S. J.; Turner, S. P.; Cooper, L. B.</t>
  </si>
  <si>
    <t>Mafic Plinian volcanism and ignimbrite emplacement at Tofua volcano, Tonga</t>
  </si>
  <si>
    <t>BULLETIN OF VOLCANOLOGY</t>
  </si>
  <si>
    <t>Tofua; Mafic; Plinian; Tonga; High-grade; Ignimbrite; Caldera</t>
  </si>
  <si>
    <t>PYROCLASTIC FLOW DEPOSITS; MOUNT ST-HELENS; CALDERA COLLAPSE; CAMPANIAN IGNIMBRITE; ERUPTIVE DYNAMICS; CHEJU ISLAND; MODEL; SEGREGATION; MAGNITUDE; VANUATU</t>
  </si>
  <si>
    <t>Tofua Island is the largest emergent mafic volcano within the Tofua arc, Tonga, southwest Pacific. The volcano is dominated by a distinctive caldera averaging 4 km in diameter, containing a freshwater lake in the south and east. The latest paroxysmal (VEI 5-6) explosive volcanism includes two phases of activity, each emplacing a high-grade ignimbrite. The products are basaltic andesites with between 52 wt.% and 57 wt.% SiO2. The first and largest eruption caused the inward collapse of a stratovolcano and produced the 'Tofua' ignimbrite and a sub-circular caldera located slightly northwest of the island's centre. This ignimbrite was deposited in a radial fashion over the entire island, with associated Plinian fall deposits up to 0.5 m thick on islands &gt; 40 km away. Common sub-rounded and frequently cauliform scoria bombs throughout the ignimbrite attest to a small degree of marginal magma-water interaction. The common intense welding of the coarse-grained eruptive products, however, suggests that the majority of the erupted magma was hot, water-undersaturated and supplied at high rates with moderately low fragmentation efficiency and low levels of interaction with external water. We propose that the development of a water-saturated dacite body at shallow (&lt; 6 km) depth resulted in failure of the chamber roof to cause sudden evacuation of material, producing a Plinian eruption column. Following a brief period of quiescence, largescale faulting in the southeast of the island produced a second explosive phase believed to result from recharge of a chemically distinct magma depleted in incompatible elements. This similar, but smaller eruption, emplaced the 'Hokula' Ignimbrite sheet in the northeast of the island. A maximum total volume of 8 km(3) of juvenile material was erupted by these events. The main eruption column is estimated to have reached a height of similar to 12 km, and to have produced a major atmospheric injection of gas, and tephra recorded in the widespread series of fall deposits found on coral islands 40-80 km to the east (in the direction of regional upper-tropospheric winds). Radiocarbon dating of charcoal below the Tofua ignimbrite and organic material below the related fall units imply this eruption sequence occurred post 1,000 years BP. We estimate an eruption magnitude of 2.24x10(13) kg, sulphur release of 12 Tg and tentatively assign this eruption to the AD 1030 volcanic sulphate spike recorded in Antarctic ice sheet records.</t>
  </si>
  <si>
    <t>[Caulfield, J. T.; Turner, S. P.] Macquarie Univ, GEMOC Natl Key Ctr, Dept Earth &amp; Planetary Sci, Sydney, NSW 2109, Australia; [Cronin, S. J.] Massey Univ, Inst Nat Resources, Palmerston North, New Zealand; [Cooper, L. B.] ETH, Inst Geochem &amp; Petrol, CH-8092 Zurich, Switzerland</t>
  </si>
  <si>
    <t>Macquarie University; Massey University; Swiss Federal Institutes of Technology Domain; ETH Zurich</t>
  </si>
  <si>
    <t>Caulfield, JT (corresponding author), Macquarie Univ, GEMOC Natl Key Ctr, Dept Earth &amp; Planetary Sci, Sydney, NSW 2109, Australia.</t>
  </si>
  <si>
    <t>caulfield.jc@gmail.com</t>
  </si>
  <si>
    <t>GAU, geochemist/H-1985-2016; Cronin, Shane Jason/AAC-9964-2020; Turner, Simon/0000-0002-6426-6495</t>
  </si>
  <si>
    <t>Cronin, Shane Jason/0000-0001-7499-603X; Caulfield, John/0000-0003-4325-2278; Turner, Simon/0000-0002-6426-6495</t>
  </si>
  <si>
    <t>ARC Federation; FRST [MAUX0401]; DEST Systemic Infrastructure; ARC LIEF; NCRIS; Macquarie University</t>
  </si>
  <si>
    <t>ARC Federation(Australian Research Council); FRST(New Zealand Foundation for Research, Science and Technology); DEST Systemic Infrastructure(Australian GovernmentDepartment of Industry, Innovation and Science); ARC LIEF(Australian Research Council); NCRIS(Australian GovernmentDepartment of Industry, Innovation and Science); Macquarie University</t>
  </si>
  <si>
    <t>JTC wishes to thank Kelepi Mafi and the Tongan Survey for sampling permission and logistical assistance, Graham Smith for invaluable help with fieldwork and the crew aboard the yacht Bliss for essential coastal sampling and photography during the field season. Oded Navon is thanked for helpful discussion and editorial comments. Detailed and constructive reviews provided by Armin Freundt, Jacopo Tacceucci and James White helped greatly in improving the clarity and scope of the manuscript. ST acknowledges the support of an ARC Federation Fellowship. SJC acknowledges the support of FRST Contract MAUX0401 Learning to live with volcanic risk. The analytical data were obtained using instrumentation funded by DEST Systemic Infrastructure Grants, ARC LIEF, NCRIS, industry partners and Macquarie University. This is contribution 719 from the Australian Research Council National Key Centre for the Geochemical Evolution and Metallogeny of Continents (http://www.gemoc.mq.edu.au).</t>
  </si>
  <si>
    <t>0258-8900</t>
  </si>
  <si>
    <t>1432-0819</t>
  </si>
  <si>
    <t>B VOLCANOL</t>
  </si>
  <si>
    <t>Bull. Volcanol.</t>
  </si>
  <si>
    <t>10.1007/s00445-011-0477-9</t>
  </si>
  <si>
    <t>857RT</t>
  </si>
  <si>
    <t>WOS:000297737100012</t>
  </si>
  <si>
    <t>Mikhalsky, EV; Sheraton, JW</t>
  </si>
  <si>
    <t>Mikhalsky, E. V.; Sheraton, J. W.</t>
  </si>
  <si>
    <t>The Rayner tectonic Province of East Antarctica: Compositional features and geodynamic setting</t>
  </si>
  <si>
    <t>GEOTECTONICS</t>
  </si>
  <si>
    <t>PRINCE-CHARLES MOUNTAINS; ENDERBY LAND; KEMP LAND; GEOCHRONOLOGY; GEOCHEMISTRY; BASEMENT; COMPLEX; ROCKS; AGE; DISCRIMINATION</t>
  </si>
  <si>
    <t>Geochemical and new isotopic (U-Pb, Sm-Nd) data on the Mesoproterozoic metaigneous complexes of the Rayner Province in central East Antarctica (Enderby Land-Kemp Land and the northern Prince Charles Mountains) are presented. These territories are mainly composed of amphibolite-to-granulite-facies orthogneisses, many of which are Y-depleted tonalite gneisses and mafic schists. The igneous complexes of their protolith are largely products of anatexis of the lower crust; mantle-derived and upper crustal rocks are less abundant. The geochemical features of the mafic rocks indicate that they crystallized from high-temperature plume-related mantle melts and low-temperature lithospheric melts. As follows from the published and new Nd model ages, the Rayner Province formed and evolved over the Paleo-to-Mesoproterozoic in the regime of accretionary and collisional tectonics with predominance of accretion of the juvenile Paleoproterozoic crust between 1500-2400 Ma. New data show that in the northern Prince Charles Mountains, granite-gneiss protoliths were emplaced ca. 1040 and 930 Ma ago. The Rayner Province is considered to be a long-living mobile belt formed as a result of collision of Paleoproterozoic island-arc terranes and Archean blocks amalgamating into a continental massif 1050-1000 Ma ago in the course of the growth of the Rodinia supercontinent. In the northern Prince Charles Mountains, thermal processes related to magmatic underplating at the base of the crust were probably important.</t>
  </si>
  <si>
    <t>[Mikhalsky, E. V.] All Russia Sci Res Inst Geol &amp; Mineral Resources, St Petersburg 190121, Russia</t>
  </si>
  <si>
    <t>Mikhalsky, EV (corresponding author), All Russia Sci Res Inst Geol &amp; Mineral Resources, Angliiskii Pr 1, St Petersburg 190121, Russia.</t>
  </si>
  <si>
    <t>emikhalsky@mail.ru</t>
  </si>
  <si>
    <t>Russian Foundation for Basic Research [11-05-00254]</t>
  </si>
  <si>
    <t>We thank V.N. Masolov and A.I. Pogorel'skii from the Antarctic Field Crew of the Polar Marine Geological Exploration Expedition for the samples taken from the Prince Charles Mountains; B.V. Belyatskii and V.P. Kovach for the performed U-Pb and Sm-Nd analyses, and G.E. Grikurov for fruitful discussion of the preliminary version of the manuscript. This study was supported by the Russian Foundation for Basic Research, project no. 11-05-00254.</t>
  </si>
  <si>
    <t>PLEIADES PUBLISHING INC</t>
  </si>
  <si>
    <t>MOSCOW</t>
  </si>
  <si>
    <t>PLEIADES PUBLISHING INC, MOSCOW, 00000, RUSSIA</t>
  </si>
  <si>
    <t>0016-8521</t>
  </si>
  <si>
    <t>1556-1976</t>
  </si>
  <si>
    <t>GEOTECTONICS+</t>
  </si>
  <si>
    <t>Geotectonics</t>
  </si>
  <si>
    <t>10.1134/S0016852111060057</t>
  </si>
  <si>
    <t>854VA</t>
  </si>
  <si>
    <t>WOS:000297521500006</t>
  </si>
  <si>
    <t>Guerra, R; Fetter, E; Ceschim, LMM; Martins, CC</t>
  </si>
  <si>
    <t>Guerra, Roberta; Fetter, Eva; Ceschim, Liziane M. M.; Martins, Cesar C.</t>
  </si>
  <si>
    <t>Trace metals in sediment cores from Deception and Penguin Islands (South Shetland Islands, Antarctica)</t>
  </si>
  <si>
    <t>MARINE POLLUTION BULLETIN</t>
  </si>
  <si>
    <t>Antarctica; Penguin Island; Deception Island; Trace metals; Sediments</t>
  </si>
  <si>
    <t>PLASMA-ATOMIC EMISSION; MARINE; CONTAMINATION; POPULATION; MARITIME; VOLCANO; SERIES</t>
  </si>
  <si>
    <t>This paper presents information on the levels of trace elements in sediments collected at Deception and Penguin Islands and tracks the sources of natural and anthropogenic inputs of metals into this sub-Antarctic region. The results suggest that natural processes, such as volcanic activity, hydrothermal processes and sediment transport, are more important than anthropogenic inputs in accounting for the metal concentrations measured in sediments at Deception Island. The higher levels of trace metals recorded in sediments at Penguin Island seem to reflect the composition of the source rocks of the island, which are dominated by the olivine-basalt group. Our findings show that human activities in the study areas may contribute to negligible levels of trace metals associated with anthropogenic inputs (e.g., Cr and Zn) in sediments, and these results can be used in the future as background levels related to low anthropogenic impacts. (C) 2011 Elsevier Ltd. All rights reserved.</t>
  </si>
  <si>
    <t>[Guerra, Roberta] Univ Bologna, CIRSA, I-48123 Ravenna, Italy; [Guerra, Roberta] Univ Bologna, Dept Phys, I-40126 Bologna, Italy; [Fetter, Eva] Budapest Univ Technol &amp; Econ, Dept Sanit &amp; Environm Engn, H-1111 Budapest, Hungary; [Ceschim, Liziane M. M.; Martins, Cesar C.] Univ Fed Parana, Ctr Estudos Mar, BR-83255000 Ponta Do Parana, PR, Brazil; [Ceschim, Liziane M. M.] Univ Sao Paulo Praca Oceanog, Inst Oceanog, BR-05508120 Sao Paulo, Brazil</t>
  </si>
  <si>
    <t>University of Bologna; University of Bologna; Budapest University of Technology &amp; Economics; Universidade Federal do Parana; Universidade de Sao Paulo</t>
  </si>
  <si>
    <t>Guerra, R (corresponding author), Univ Bologna, CIRSA, Ravenna Campus,163 Via S Alberto, I-48123 Ravenna, Italy.</t>
  </si>
  <si>
    <t>roberta.guerra@unibo.it; ccmart@ufpr.br</t>
  </si>
  <si>
    <t>de Castro Martins, Cesar C/I-1086-2012; Guerra, Roberta/B-8587-2012</t>
  </si>
  <si>
    <t>Guerra, Roberta/0000-0002-7151-6616; de Castro Martins, Cesar/0000-0002-2515-5565</t>
  </si>
  <si>
    <t>Conselho Nacional de Pesquisa (CNPq) [382434/2009-9, 307110/2008-7]; Italian Ministry of Foreign Affairs</t>
  </si>
  <si>
    <t>Conselho Nacional de Pesquisa (CNPq)(Conselho Nacional de Desenvolvimento Cientifico e Tecnologico (CNPQ)); Italian Ministry of Foreign Affairs(Ministry of Foreign Affairs and International Cooperation (Italy))</t>
  </si>
  <si>
    <t>This research forms part of the project Geochemistry of sterols in sediment cores from South Shetland Islands, Antarctic Peninsula: sources, degradation process and local environmental changes (CNPq 550014/2007-1) coordinated by C.C. Martins. Financial support was obtained from the Brazilian Antarctic Program (PROANTAR) by a Grant from Conselho Nacional de Pesquisa (CNPq). Liziane M.M. Ceschim gives thanks for the DTI-3 scholarship (CNPq 382434/2009-9). C.C. Martins gives thanks for the PQ-2 Grant (CNPq 307110/2008-7). This work contributes to the Brazilian National Science and Technology Institute on Antarctic Environmental Research (INCT-APA, acronym in Portuguese). The authors wish to thank the NApOc. Ary Rongel staff for their support during the sampling program and Oc. Pamela E. Cattani (LOGEO-UFPR) for his help with the maps. We are also grateful to the CCBo staff for their assistance with ICP-OES analyses. Eva Fetter's work was funded through a visiting Grant awarded by the Italian Ministry of Foreign Affairs under the Executive Programme for the Scientific and Technological Cooperation between the Italian Republic and Hungary.</t>
  </si>
  <si>
    <t>0025-326X</t>
  </si>
  <si>
    <t>1879-3363</t>
  </si>
  <si>
    <t>MAR POLLUT BULL</t>
  </si>
  <si>
    <t>Mar. Pollut. Bull.</t>
  </si>
  <si>
    <t>10.1016/j.marpolbul.2011.08.012</t>
  </si>
  <si>
    <t>Environmental Sciences; Marine &amp; Freshwater Biology</t>
  </si>
  <si>
    <t>852YQ</t>
  </si>
  <si>
    <t>WOS:000297393800050</t>
  </si>
  <si>
    <t>Izawa, MRM; Flemming, RL; Banerjee, NR; Matveev, S</t>
  </si>
  <si>
    <t>Izawa, Matthew R. M.; Flemming, Roberta L.; Banerjee, Neil R.; Matveev, Sergei</t>
  </si>
  <si>
    <t>QUE 94204: A primitive enstatite achondrite produced by the partial melting of an E chondrite-like protolith</t>
  </si>
  <si>
    <t>CLASSIFICATION; ACAPULCOITES; LODRANITES; METEORITE; ROCKS; EARTH; METAL; MODEL</t>
  </si>
  <si>
    <t>Queen Alexandra Range (QUE) 94204, an enstatite achondrite, is a coarse-grained, highly recrystallized, chondrule-free and unbrecciated rock dominated (about 70 vol%) by anhedral, equigranular crystals of orthoenstatite of nearly endmember composition (Fs(0.1-0.4), Wo(0.3-0.4)) with interstitial plagioclase, kamacite, and troilite. Abundance of approximately 120 degrees triple junctions and the close association of metal-sulfide and plagioclase-rich melts indicate that QUE 94204 has undergone limited partial melting with inefficient melt extraction. Mineral chemistry indicates a high degree of thermal metamorphism. Kamacite in QUE 94204 contains between 2.09 and 2.55 wt% Si, similar to highly metamorphosed EL chondrites. Plagioclase has between 4.31 and 6.66 wt% CaO, higher than other E chondrites but closer in composition to plagioclase from metamorphosed EL chondrites. QUE 94204 troilite contains up to 2.55 wt% Ti, consistent with extensive thermal metamorphism of an E chondrite-like precursor. Results presented in this study indicate that QUE 94204 is the result of low degree, (about 5-20 vol%, probably toward the lower end of this range) partial melting of an E chondrite protolith. Textural and chemical evidence suggests that during the metamorphism of QUE 94204, melts formed first at the Fe, Ni-FeS cotectic near approximately 900 degrees C, followed by plagioclase-pyroxene silicate partial melts near approximately 1100 degrees C. Neither the Fe, Ni-FeS nor the plagioclasepyroxene melts were efficiently segregated or extracted. QUE 94204 belongs to a grouplet of similar primitive enstatite achondrites'' that are analogous to the acapulcoites-lodranites, but that have resulted from the partial melting of an E chondrite-like protolith.</t>
  </si>
  <si>
    <t>[Izawa, Matthew R. M.; Flemming, Roberta L.; Banerjee, Neil R.] Univ Western Ontario, Dept Earth Sci, London, ON N6A 5B7, Canada; [Matveev, Sergei] Univ Alberta, Dept Earth &amp; Atmospher Sci, Edmonton, AB T6G 2E3, Canada</t>
  </si>
  <si>
    <t>Western University (University of Western Ontario); University of Alberta</t>
  </si>
  <si>
    <t>Izawa, MRM (corresponding author), Univ Western Ontario, Dept Earth Sci, 1151 Richmond St London, London, ON N6A 5B7, Canada.</t>
  </si>
  <si>
    <t>matthew.izawa@gmail.com</t>
  </si>
  <si>
    <t>Banerjee, Neil/G-5358-2015</t>
  </si>
  <si>
    <t>Banerjee, Neil/0000-0001-7471-766X; Izawa, Matthew/0000-0001-5456-2912</t>
  </si>
  <si>
    <t>Natural Sciences and Engineering Research Council of Canada; Canada Foundation for Innovation; University of Western Ontario</t>
  </si>
  <si>
    <t>Natural Sciences and Engineering Research Council of Canada(Natural Sciences and Engineering Research Council of Canada (NSERC)CGIAR); Canada Foundation for Innovation(Canada Foundation for InnovationCGIARSpanish Government); University of Western Ontario</t>
  </si>
  <si>
    <t>The authors thank the Antarctic Meteorite Working Group for loan of the QUE 94204 section. This manuscript was greatly improved by reviews from A. E. Rubin, M. Kimura, and additional comments from associate editor A. Ruzicka, all of whom are gratefully acknowledged. Major funding was provided by the Natural Sciences and Engineering Research Council of Canada, the Canada Foundation for Innovation, and the University of Western Ontario Academic Development Fund. This research has made use of the NASA Astrophysics Data System.</t>
  </si>
  <si>
    <t>10.1111/j.1945-5100.2011.01263.x</t>
  </si>
  <si>
    <t>853GQ</t>
  </si>
  <si>
    <t>WOS:000297414600010</t>
  </si>
  <si>
    <t>Cathcart, RB; Finkl, CW; Badescu, V</t>
  </si>
  <si>
    <t>Cathcart, Richard B.; Finkl, Charles W.; Badescu, Viorel</t>
  </si>
  <si>
    <t>Antarctica-to-Western Australia Liquid Freshwater Shipments Using Stauber Bags in a Paternoster-Like Transfer System: Inaugurating a Southern Ocean Antidrought Action Sea-Lane</t>
  </si>
  <si>
    <t>JOURNAL OF COASTAL RESEARCH</t>
  </si>
  <si>
    <t>Climate change; drought; intercontinental freshwater shipment; maritime sea-lane development; Pecero self-rolling bag; macroengineering</t>
  </si>
  <si>
    <t>AMERY ICE SHELF; EAST ANTARCTICA; CLIMATE; IMPACTS; CONSERVATION; VARIABILITY; REGION; ISLAND; WIND</t>
  </si>
  <si>
    <t>Australia is one of the driest continents on earth with most interior lands classified as steppe or desert. With an expanding coastal population pushing farther inland, the need for freshwater increases for urban use, agriculture, and industry and because there is little freshwater at the surface and most of the groundwater is too saline and generally unsuitable for multiple uses, new sources of freshwater must be sought to sustain future development of Western Australia's interior. To mitigate this ongoing macroproblem, it is proposed to establish a new Southern Ocean maritime sea-lane between Antarctica and Western Australia with the first large-scale deployment of very capacious floating liquid freshwater containers (Stauber bags), barges hauled and shuttled regularly by carousel-type supertugboats to convey a directly acquired, essentially cost-free, bulk-harvested potable subglacial Antarctic meltwater possibly siphoned from beneath the floating Amery Ice Shelf and transported to Western Australia. Access of the floating liquid freshwater containers to Perth, the capital city, would be up-slope the offshore Perth Canyon to the continental shelf. Stored containers could lay off in the lee of Rottnest Island at the Perth Terminal. From there, freshwater could be transported to wherever needed in coastal rural and urban Western Australia. On land, Pecero self-rolling bags could be used to distribute all imported freshwater farther inland and serve also as stationary (parked) reservoirs. Stock watering, farm irrigation, and drinking water as well as mineral mine, petroleum refinery, and sewage treatment processing are likely additional income-producing consumptive users. Both bulk long-distance conveyance and long-term storage on land by such means will naturally reduce the present-day stress on Western Australia's domestic water supplies, storage, and delivery systems that are limited by regional climates with long-term seasonal dryness. Freshwater imported would absolutely reduce freshwater stress on Western Australia's excessivelyexploited rivers and excessively mined aquifers.</t>
  </si>
  <si>
    <t>[Cathcart, Richard B.] Geographos, Burbank, CA 91506 USA; [Finkl, Charles W.] Florida Atlantic Univ, Dept Geosci, Charles E Schmidt Coll Sci, Boca Raton, FL 33431 USA; [Badescu, Viorel] Univ Politehn Bucuresti, Fac Mech Engn, Candida Oancea Inst Solar Energy, Bucharest 79590, Romania</t>
  </si>
  <si>
    <t>State University System of Florida; Florida Atlantic University; National University of Science &amp; Technology POLITEHNICA Bucharest</t>
  </si>
  <si>
    <t>Cathcart, RB (corresponding author), Geographos, 1300 W Olive Ave,Suite M, Burbank, CA 91506 USA.</t>
  </si>
  <si>
    <t>rbcathcart@gmail.com; cfinkl@fau.edu; badescu@theta.termo.pub.ro</t>
  </si>
  <si>
    <t>Badescu, Viorel/AAF-2832-2020; Badescu, Viorel M/B-9819-2011</t>
  </si>
  <si>
    <t>Badescu, Viorel/0000-0002-7708-5108; Badescu, Viorel M/0000-0002-7708-5108</t>
  </si>
  <si>
    <t>COASTAL EDUCATION &amp; RESEARCH FOUNDATION</t>
  </si>
  <si>
    <t>810 EAST 10TH STREET, LAWRENCE, KS 66044 USA</t>
  </si>
  <si>
    <t>0749-0208</t>
  </si>
  <si>
    <t>1551-5036</t>
  </si>
  <si>
    <t>J COASTAL RES</t>
  </si>
  <si>
    <t>J. Coast. Res.</t>
  </si>
  <si>
    <t>10.2112/11A-00014.1</t>
  </si>
  <si>
    <t>851NR</t>
  </si>
  <si>
    <t>WOS:000297278300001</t>
  </si>
  <si>
    <t>Rhodes, L; Smith, K; Selwood, A; McNabb, P; Munday, R; Suda, S; Molenaar, S; Hallegraeff, G</t>
  </si>
  <si>
    <t>Rhodes, Lesley; Smith, Kirsty; Selwood, Andrew; McNabb, Paul; Munday, Rex; Suda, Shoichiro; Molenaar, Sam; Hallegraeff, Gustaaf</t>
  </si>
  <si>
    <t>Dinoflagellate Vulcanodinium rugosum identified as the causative organism of pinnatoxins in Australia, New Zealand and Japan</t>
  </si>
  <si>
    <t>PHYCOLOGIA</t>
  </si>
  <si>
    <t>Vulcanodinium rugosum; Peridiniales; Pinnatoxins</t>
  </si>
  <si>
    <t>CULTURE</t>
  </si>
  <si>
    <t>The producers of pinnatoxins E and F were first identified through systematic light microscopy-mass spectrometry (LC-MS) screening of New Zealand (NZ) dinoflagellate isolates. Pinnatoxins E, F and G were subsequently detected for South Australian (AUS) isolates, and a pinnatoxin G producer was recently identified from Okinawa, Japan. The NZ, AUS and Japanese isolates appear morphologically identical to Mediterranean field samples recently described as Vulcanodinium rugosum. Motile forms (24-32 mm long, 20-30 mm wide) have a wide, deeply incised cingulum displaced by 17% of the cell length and a deep sulcus. Photosynthetic motile cells have the same distinctive apical pore complex with raised collar and short canal plate. The reticulate thecal ornamentation resembles that of Bysmatrum because the three intercalary plates are connected. The posterior sulcal plate Sp does not touch the cingulum (as in Bysmatrum, Pentapharsodinium and Ensiculifera). The plate formula for the NZ, AUS and Japanese isolates is Po, X, 4', 3a, 7 '', 6c (5c + T), 5s, 5', 2 ''''. The dominant non-motile life-cycle stage comprises clusters of brown to black, spherical, unornamented, non-calcareous division cells (30-35 mu m diameter). Genetically these isolates fall within the Peridiniales, closely related to the calciodinellid genera, Pentapharsodinium, Ensiculifera and Scrippsiella. The large subunit (LSU) rDNA and internal transcribed spacer (ITS) sequences exhibit sequence differences compared to each other and to the French field material (96-97% LSU and 84-88% ITS similarity, respectively). This variation and pinnatoxin profile differences suggest a possible species complex.</t>
  </si>
  <si>
    <t>[Rhodes, Lesley; Smith, Kirsty; Selwood, Andrew; McNabb, Paul; Molenaar, Sam] Cawthron Inst, Nelson 7042, New Zealand; [Munday, Rex] AgResearch, Hamilton, New Zealand; [Suda, Shoichiro] Univ Ryukyus, Fac Sci, Nishihara, Okinawa 9030213, Japan; [Hallegraeff, Gustaaf] Univ Tasmania, Inst Marine &amp; Antarctic Studies, Hobart, Tas, Australia</t>
  </si>
  <si>
    <t>Cawthron Institute; AgResearch - New Zealand; University of the Ryukyus; University of Tasmania</t>
  </si>
  <si>
    <t>Rhodes, L (corresponding author), Cawthron Inst, 98 Halifax St E,Private Bag 2, Nelson 7042, New Zealand.</t>
  </si>
  <si>
    <t>Selwood, Andrew/AAP-7550-2020; Suda, Shoichiro/ABA-9738-2020; Selwood, Andrew/ABG-8021-2022; Hallegraeff, Gustaaf/C-8351-2013</t>
  </si>
  <si>
    <t>NZ Min. Science and Innovation [CAW0703]</t>
  </si>
  <si>
    <t>NZ Min. Science and Innovation</t>
  </si>
  <si>
    <t>We dedicate this paper to Prof Ojvind Moestrup in recognition of his research group on dinoflagellate ultrastructure, taxonomy and phylogeny. Thanks to S. Waitai and family (sampling), Maggie Atkinson (line drawings), D. Hopcroft (SEMs, Massey Univ.) and J. Adamson (Cawthron). Funded by NZ Min. Science and Innovation, Contract CAW0703.</t>
  </si>
  <si>
    <t>0031-8884</t>
  </si>
  <si>
    <t>2330-2968</t>
  </si>
  <si>
    <t>Phycologia</t>
  </si>
  <si>
    <t>10.2216/11-19.1</t>
  </si>
  <si>
    <t>850OJ</t>
  </si>
  <si>
    <t>WOS:000297204700006</t>
  </si>
  <si>
    <t>Zingone, A; Forlani, G; Percopo, I; Montresor, M</t>
  </si>
  <si>
    <t>Zingone, Adriana; Forlani, Gandi; Percopo, Isabella; Montresor, Marina</t>
  </si>
  <si>
    <t>Morphological characterization of Phaeocystis antarctica (Prymnesiophyceae)</t>
  </si>
  <si>
    <t>Life cycle; Morphology; Phaeocystis antarctica; Prymnesiophyceae; Ultrastructure</t>
  </si>
  <si>
    <t>LIFE-CYCLE; POUCHETII PRYMNESIOPHYCEAE; GENUS PHAEOCYSTIS; SOUTHERN-OCEAN; ROSS SEA; COLONIES; GLOBOSA; BLOOM; SIZE</t>
  </si>
  <si>
    <t>Different stages of the life cycle of Phaeocystis antarctica are described by light and electron microscopy on the basis of cultured material isolated from the Atlantic Sector of the Antarctic Circumpolar Convergence, relatively close to the type locality. Species identity was confirmed molecularly on the basis of small-subunit ribosomal DNA. Colonies (up to 2000 mu m in diameter) are surrounded by a rather thick membrane and are generally spherical, in some cases presenting a conical protrusion with a pointed end at one side. Colonial cells (4-6 mu m) have a rounded or slightly quadrangular outline and possess two chloroplasts. In small and medium-sized colonies, cells may be densely packed under the peripheral colony skin; otherwise they are more or less evenly spaced. Nonmotile cells within or outside the colonies often show one to three short protrusions emerging from a depression between the chloroplast edges. These protrusions may develop into two flagella and one haptonema even within intact colonies. Flagellates of different size (3.5-6.5 mu m) are found in the cultures. Their cell body is rounded, elliptical, or pear-shaped, and has a deep, saddle-shaped groove that is dorsoventrally oriented and flanked by the apical edges of the chloroplasts. Two markedly unequal flagella (&lt; 12 and &lt; 18 mu m, respectively) and a straight and relatively long (&lt; 4.5 mu m) haptonema emerge from the apical groove. Flagellates with scales and five-filament structures were found only in one transmission electron microscope preparation. Scales are extremely thin and of two different sizes, with no clear pattern visible in the material observed. Overall, both flagellates and colonies of P. antarctica present some distinctive characteristics that are discussed in comparison with the other known species in the genus and in the frame of a hypothetical life cycle of the species.</t>
  </si>
  <si>
    <t>[Zingone, Adriana; Forlani, Gandi; Montresor, Marina] Staz Zool Anton Dohrn, Dept Ecol &amp; Evolut Plankton, I-80121 Naples, Italy; [Percopo, Isabella] Staz Zool Anton Dohrn, Serv Taxon &amp; Identificat Marine Phytoplankton, I-80121 Naples, Italy</t>
  </si>
  <si>
    <t>Stazione Zoologica Anton Dohrn di Napoli; Stazione Zoologica Anton Dohrn di Napoli</t>
  </si>
  <si>
    <t>Zingone, A (corresponding author), Staz Zool Anton Dohrn, Dept Ecol &amp; Evolut Plankton, I-80121 Naples, Italy.</t>
  </si>
  <si>
    <t>adriana.zingone@szn.it</t>
  </si>
  <si>
    <t>; Zingone, Adriana/E-4518-2010</t>
  </si>
  <si>
    <t>Montresor, Marina/0000-0002-2475-1787; Zingone, Adriana/0000-0001-5946-6532</t>
  </si>
  <si>
    <t>EU [ASSEMBLE-FP7-INFRA-2008-227799]</t>
  </si>
  <si>
    <t>EU(European Union (EU))</t>
  </si>
  <si>
    <t>This paper is dedicated to Ojvind Moestrup, who has always communicated and shared his enthusiasm for tiny flagellates in his accurate and patient investigations as well as through beautiful images. We thank V. Smetacek (AWI, Bremerhaven, Germany), chief scientist of the ANT XXI-3 expedition during which the material was collected. We also thank V. Rousseau (Universite Libre de Bruxelles, Belgium) for sharing relevant literature and information. F. Iamunno and R. Graziano (Electron Microscopy Service, Stazione Zoologica Anton Dohrn) are acknowledged for EM support. We thank M. Borra (Molecular Biology Services, SZN) and F. Cerino (SZN, presently OGS Trieste, Italy) for the sequences of the three strains, and G. Procaccini (SZN) for their molecular identification. IP was supported by a grant from the EU project ASSEMBLE-FP7-INFRA-2008-227799.</t>
  </si>
  <si>
    <t>INT PHYCOLOGICAL SOC</t>
  </si>
  <si>
    <t>NEW BUSINESS OFFICE, PO BOX 1897, LAWRENCE, KS 66044-8897 USA</t>
  </si>
  <si>
    <t>10.2216/11-36.1</t>
  </si>
  <si>
    <t>WOS:000297204700009</t>
  </si>
  <si>
    <t>Müller, K; Hamran, SE; Sinisalo, A; Hagen, JO</t>
  </si>
  <si>
    <t>Mueller, Karsten; Hamran, Svein-Erik; Sinisalo, Anna; Hagen, Jon-Ove</t>
  </si>
  <si>
    <t>Phase Center of L-Band Radar in Polar Snow and Ice</t>
  </si>
  <si>
    <t>IEEE TRANSACTIONS ON GEOSCIENCE AND REMOTE SENSING</t>
  </si>
  <si>
    <t>Firn; Ground-penetrating radar (GPR); ice; interferometric synthetic aperture radar (InSAR); microwave; phase center; polar regions; snow</t>
  </si>
  <si>
    <t>PULSE RADAR; WEST ANTARCTICA; FIRN; PENETRATION; GHZ; ACCUMULATION; BACKSCATTER; ELEVATION; PROFILE; SUMMIT</t>
  </si>
  <si>
    <t>Backscatter from an aggregate of inhomogeneities combine to form an apparent surface reflection particularly in relation to interferometric synthetic aperture radar. The depth z(phi) of this reflection can reside well below the true surface when the transmissivity at the interface between air and the aggregate is high. Snow and ice provide good examples, for which we calculate z(phi) with different accumulation history and physical properties using a 0.5-3.0-GHz ground-penetrating radar. We acquired our data along transects in Antarctica and Svalbard. We find values of z(phi) &gt; 40 m in low-absorbing Antarctic firn and approximate to 10 meters in glaciers and ice shelves where melt-freeze cycles and lateral mass movement lead to an electrically more heterogeneous snow and ice column. The heterogeneity reduces dielectric contrast more rapidly with depth. Thus, z(phi) is found at shallower depth, but still resides several meters beneath the snow surface.</t>
  </si>
  <si>
    <t>[Mueller, Karsten; Hamran, Svein-Erik; Sinisalo, Anna; Hagen, Jon-Ove] Univ Oslo, Dept Geosci, N-0371 Oslo, Norway</t>
  </si>
  <si>
    <t>University of Oslo</t>
  </si>
  <si>
    <t>Müller, K (corresponding author), Univ Oslo, Dept Geosci, N-0371 Oslo, Norway.</t>
  </si>
  <si>
    <t>karsten.mueller@geo.uio.no; seh@ffi.no; anna.sinisalo@geo.uio.no; j.o.m.hagen@geo.uio.no</t>
  </si>
  <si>
    <t>Sinisalo, Anna/0000-0002-7587-1877</t>
  </si>
  <si>
    <t>Norwegian Polar Institute; Research Council of Norway; National Science Foundation of the United States; IPY GLACIODYN</t>
  </si>
  <si>
    <t>Norwegian Polar Institute; Research Council of Norway(Research Council of Norway); National Science Foundation of the United States(National Science Foundation (NSF)); IPY GLACIODYN</t>
  </si>
  <si>
    <t>Manuscript received June 29, 2010; revised January 3, 2011; accepted March 5, 2011. Date of publication May 31, 2011; date of current version October 28, 2011. This work has been carried out under the umbrella of TASTE-IDEA (Trans-Antarctic Scientific Traverses Expeditions-Ice Divide of East Antarctica) within the framework of IPY project 152 funded by Norwegian Polar Institute, the Research Council of Norway, and the National Science Foundation of the United States and the IPY GLACIODYN project funded by the Research Council of Norway. This work is also a contribution to ITASE (International Trans-Antarctic Scientific Expedition).</t>
  </si>
  <si>
    <t>IEEE-INST ELECTRICAL ELECTRONICS ENGINEERS INC</t>
  </si>
  <si>
    <t>PISCATAWAY</t>
  </si>
  <si>
    <t>445 HOES LANE, PISCATAWAY, NJ 08855-4141 USA</t>
  </si>
  <si>
    <t>0196-2892</t>
  </si>
  <si>
    <t>IEEE T GEOSCI REMOTE</t>
  </si>
  <si>
    <t>IEEE Trans. Geosci. Remote Sensing</t>
  </si>
  <si>
    <t>10.1109/TGRS.2011.2140376</t>
  </si>
  <si>
    <t>Geochemistry &amp; Geophysics; Engineering, Electrical &amp; Electronic; Remote Sensing; Imaging Science &amp; Photographic Technology</t>
  </si>
  <si>
    <t>Geochemistry &amp; Geophysics; Engineering; Remote Sensing; Imaging Science &amp; Photographic Technology</t>
  </si>
  <si>
    <t>851ON</t>
  </si>
  <si>
    <t>WOS:000297280500016</t>
  </si>
  <si>
    <t>Farrell, RL; Arenz, BE; Duncan, SM; Held, BW; Jurgens, JA; Blanchette, RA</t>
  </si>
  <si>
    <t>Farrell, R. L.; Arenz, B. E.; Duncan, S. M.; Held, B. W.; Jurgens, J. A.; Blanchette, R. A.</t>
  </si>
  <si>
    <t>Introduced and indigenous fungi of the Ross Island historic huts and pristine areas of Antarctica</t>
  </si>
  <si>
    <t>Terrestrial; Climate change; Biodiversity; Adaptation</t>
  </si>
  <si>
    <t>ANTARCTOMYCES-PSYCHROTROPHICUS; MICROBIAL-GROWTH; EXPEDITION HUTS; DIVERSITY; SOILS; MICROFUNGI; YEASTS; REGION; DETERIORATION; ORGANISMS</t>
  </si>
  <si>
    <t>This review summarizes research concerning Antarctic fungi at the century-old historic huts of the Heroic Period of exploration in the Ross Dependency 1898-1917 and fungi in pristine terrestrial locations. The motivation of the research was initially to identify potential fungal causes of degradation of the historic huts and artifacts. The research was extended to study fungal presence at pristine sites for comparison purposes and to consider the role of fungi in the respective ecosystems. We employed classical microbiology for isolation of viable organisms, and culture-independent DNA analyses. The research provided baseline data on microbial biodiversity. Principal findings were that there is significant overlap of the yeasts and filamentous fungi isolated from the historic sites, soil, and historic-introduced materials (i.e., wood, foodstuffs) and isolated from environmental samples in pristine locations. Aerial spore monitoring confirmed that winter spore counts were high and, in some cases, similar to those found in summer. Microbial diversity varied between the three Ross Island historic sites, and one historic site showed noticeably higher diversity, which led to the conclusion that this is a variable that should not be generalized. Cultured fungi were cold active, and the broader scientific significance of this finding was that climate change (warming) may not adversely affect these fungal species unless they were out-competed by new arrivals or unfavorable changes in ecosystem domination occur.</t>
  </si>
  <si>
    <t>[Farrell, R. L.; Duncan, S. M.] Univ Waikato, Dept Biol Sci, Hamilton 3240, New Zealand; [Arenz, B. E.; Held, B. W.; Jurgens, J. A.; Blanchette, R. A.] Univ Minnesota, Dept Plant Pathol, St Paul, MN 55108 USA</t>
  </si>
  <si>
    <t>University of Waikato; University of Minnesota System; University of Minnesota Twin Cities</t>
  </si>
  <si>
    <t>Farrell, RL (corresponding author), Univ Waikato, Dept Biol Sci, Private Bag 3105, Hamilton 3240, New Zealand.</t>
  </si>
  <si>
    <t>rfarrell@waikato.ac.nz</t>
  </si>
  <si>
    <t>Blanchette, Robert A./0000-0003-2819-6511</t>
  </si>
  <si>
    <t>Nigel Watson and Antarctic Heritage Trust; National Science Foundation [0537143]; University of Waikato; Directorate For Geosciences; Division Of Polar Programs [0537143] Funding Source: National Science Foundation</t>
  </si>
  <si>
    <t>Nigel Watson and Antarctic Heritage Trust; National Science Foundation(National Science Foundation (NSF)); University of Waikato; Directorate For Geosciences; Division Of Polar Programs(National Science Foundation (NSF)NSF - Directorate for Geosciences (GEO))</t>
  </si>
  <si>
    <t>We thank support personnel of Scott Base and McMurdo Station for their assistance in conducting this research in Antarctica, Antarctica New Zealand, National Science Foundation for logistic support, and Nigel Watson and Antarctic Heritage Trust for support and cooperation. Also, thanks to David Harrowfield of Oamaru and Jackie Aislabie of Landcare Research for helpful discussions and suggestions to the manuscript and to Professor Michael J Danson of University of Bath for helpful discussions of the research. This research is based upon work supported by the National Science Foundation Grant No. 0537143 and the Vice Chancellor's Fund of The University of Waikato.</t>
  </si>
  <si>
    <t>10.1007/s00300-011-1060-8</t>
  </si>
  <si>
    <t>850NV</t>
  </si>
  <si>
    <t>WOS:000297202900005</t>
  </si>
  <si>
    <t>Nielsen, UN; Wall, DH; Adams, BJ; Virginia, RA</t>
  </si>
  <si>
    <t>Nielsen, Uffe N.; Wall, Diana H.; Adams, Byron J.; Virginia, Ross A.</t>
  </si>
  <si>
    <t>Antarctic nematode communities: observed and predicted responses to climate change</t>
  </si>
  <si>
    <t>Antarctica; Climate change; Community composition; Diversity; Nematode; Precipitation; Soil; Temperature</t>
  </si>
  <si>
    <t>MCMURDO DRY VALLEYS; TAYLOR VALLEY; VICTORIA LAND; ROSS ISLAND; BIOTIC INTERACTIONS; SOIL INVERTEBRATES; VASCULAR PLANTS; DIVERSITY; ECOSYSTEM; SURVIVAL</t>
  </si>
  <si>
    <t>The rapidly changing climate in Antarctica is impacting the ecosystems. Since records began, climate changes have varied considerably throughout Antarctica with both positive and negative trends in temperatures and precipitation observed locally. However, over the course of this century a more directional increase in both temperature and precipitation is expected to occur throughout Antarctica. The soil communities of Antarctica are considered simple with most organisms existing at the edge of their physiological capabilities. Therefore, Antarctic soil communities are expected to be particularly sensitive to climate changes. However, a review of the current literature reveals that studies investigating the impact of climate change on soil communities, and in particular nematode communities, in Antarctica are very limited. Of the few studies focusing on Antarctic nematode communities, long-term monitoring has shown that nematode communities respond to changes in local climate trends as well as extreme (or pulse) events. These results are supported by in situ experiments, which show that nematode communities respond to both temperature and soil moisture manipulations. We conclude that the predicted climate changes are likely to exert a strong influence on nematode communities throughout Antarctica and will generally lead to increasing abundance, species richness, and food web complexity, although the opposite may occur locally. The degree to which local communities respond will depend on current conditions, i.e., average temperatures, soil moisture availability, vegetation or more importantly the lack thereof, and the local species pool in combination with the potential for new species to colonize.</t>
  </si>
  <si>
    <t>[Nielsen, Uffe N.; Wall, Diana H.] Colorado State Univ, Dept Biol, Ft Collins, CO 80523 USA; [Nielsen, Uffe N.; Wall, Diana H.] Colorado State Univ, Nat Resource Ecol Lab, Ft Collins, CO 80523 USA; [Adams, Byron J.] Brigham Young Univ, Dept Biol, Provo, UT 84602 USA; [Adams, Byron J.] Brigham Young Univ, Evolutionary Ecol Labs, Provo, UT 84602 USA; [Virginia, Ross A.] Dartmouth Coll, Environm Studies Program, Hanover, NH 03755 USA</t>
  </si>
  <si>
    <t>Colorado State University; Colorado State University; Brigham Young University; Brigham Young University; Dartmouth College</t>
  </si>
  <si>
    <t>Nielsen, UN (corresponding author), Colorado State Univ, Dept Biol, Ft Collins, CO 80523 USA.</t>
  </si>
  <si>
    <t>uffe@nrel.colostate.edu</t>
  </si>
  <si>
    <t>Wall, Diana H/F-5491-2011; Adams, Byron/C-3808-2009</t>
  </si>
  <si>
    <t>Nielsen, Uffe N/0000-0003-2400-7453; Adams, Byron/0000-0002-7815-3352</t>
  </si>
  <si>
    <t>US National Science Foundation [DEB 0344834, OPP 0423595, ANT 0840979]</t>
  </si>
  <si>
    <t>US National Science Foundation(National Science Foundation (NSF))</t>
  </si>
  <si>
    <t>The US National Science Foundation (DEB 0344834, OPP 0423595 and ANT 0840979) supported this work. We also thank David Wharton and an anonymous referee for helpful comments on an earlier version of the manuscript.</t>
  </si>
  <si>
    <t>10.1007/s00300-011-1021-2</t>
  </si>
  <si>
    <t>WOS:000297202900008</t>
  </si>
  <si>
    <t>Roberts, D; Howard, WR; Moy, AD; Roberts, JL; Trull, TW; Bray, SG; Hopcroft, RR</t>
  </si>
  <si>
    <t>Roberts, Donna; Howard, William R.; Moy, Andrew D.; Roberts, Jason L.; Trull, Thomas W.; Bray, Stephen G.; Hopcroft, Russell R.</t>
  </si>
  <si>
    <t>Interannual pteropod variability in sediment traps deployed above and below the aragonite saturation horizon in the Sub-Antarctic Southern Ocean</t>
  </si>
  <si>
    <t>Southern Ocean; Sub-Antarctic; Zooplankton; Pteropod; Aragonite; Aragonite saturation horizon</t>
  </si>
  <si>
    <t>TERRA-NOVA BAY; ROSS SEA; LIMACINA-HELICINA; CARBONIC-ACID; VERTICAL FLUX; ACIDIFICATION; SEAWATER; DISSOCIATION; DISSOLUTION; CONSTANTS</t>
  </si>
  <si>
    <t>Anthropogenic inputs of CO2 are altering ocean chemistry and may alter the role of marine calcifiers in ocean ecosystems. Laboratory research and ocean models suggest calcifiers in polar waters are especially at risk, particularly pteropods: pelagic aragonite-shelled molluscs. However, baseline data for natural populations of pteropods are limited, especially for polar and sub-polar waters. In order to establish baseline data on diversity, preservation state and shell flux of in situ populations of Sub-Antarctic Southern Ocean pteropods, we deployed sediment traps above (1,000 m) and below (2,000 m) the aragonite saturation horizon (ASH) (currently at 1,200 m) from 1997 to 2006 at 47 degrees S, 142 degrees E. We identified seven pteropod taxa. We applied a shell opacity index to each shell collected and found 50% of shells collected above the ASH to be in pristine condition but only 3% of the shells collected below the ASH showed such a high degree of preservation. We estimated pteropod shell mass fluxes for the region (0.17-4.99 mg m(-2) day(-1)), and we identified significant reductions in shell flux for Limacina helicina antarctica forma rangi and Clio recurva to the trap series above the ASH and for Limacina helicina antarctica forma rangi and Limacina helicina antarctica forma antarctica to the trap series below the ASH over the interval 1997-2006. Our data establish a temporal and vertical snapshot of the current Sub-Antarctic pelagic pteropod community and provide a baseline against which to monitor Southern Ocean pteropods responses, if any, to changing ocean conditions projected for the region in the coming decades.</t>
  </si>
  <si>
    <t>[Roberts, Donna; Howard, William R.; Moy, Andrew D.; Roberts, Jason L.; Trull, Thomas W.; Bray, Stephen G.] Univ Tasmania, Antarctic Climate &amp; Ecosystems Cooperat Res Ctr, Hobart, Tas 7001, Australia; [Howard, William R.] Off Chief Scientist, Canberra, ACT 2601, Australia; [Moy, Andrew D.; Roberts, Jason L.] Australian Antarctic Div, Dept Sustainabil Environm Water Populat &amp; Communi, Kingston, Tas 7050, Australia; [Trull, Thomas W.] CSIRO, Marine &amp; Atmospher Res, Hobart, Tas 7000, Australia; [Trull, Thomas W.] Univ Tasmania, Inst Marine &amp; Antarctic Studies, Hobart, Tas 7001, Australia; [Hopcroft, Russell R.] Univ Alaska Fairbanks, Inst Marine Sci, Fairbanks, AK 99775 USA</t>
  </si>
  <si>
    <t>University of Tasmania; Australian Antarctic Division; Commonwealth Scientific &amp; Industrial Research Organisation (CSIRO); University of Tasmania; University of Alaska System; University of Alaska Fairbanks</t>
  </si>
  <si>
    <t>Roberts, D (corresponding author), Univ Tasmania, Antarctic Climate &amp; Ecosystems Cooperat Res Ctr, Private Bag 80, Hobart, Tas 7001, Australia.</t>
  </si>
  <si>
    <t>D.Roberts@acecrc.org.au</t>
  </si>
  <si>
    <t>Hopcroft, Russell R/I-6286-2012; Roberts, Jason L/B-2235-2012; Trull, Tom W/B-7028-2014</t>
  </si>
  <si>
    <t>Roberts, Jason L/0000-0002-3477-4069; Roberts, Donna/0000-0001-6701-6662; Moy, Andrew/0000-0002-7664-9960</t>
  </si>
  <si>
    <t>Australian Government through the Department of Climate Change; Australian Cooperative Research Centres Program; Australian Antarctic Division [1156]</t>
  </si>
  <si>
    <t>Australian Government through the Department of Climate Change(Australian Government); Australian Cooperative Research Centres Program(Australian GovernmentDepartment of Industry, Innovation and ScienceCooperative Research Centres (CRC) Programme); Australian Antarctic Division</t>
  </si>
  <si>
    <t>This work was supported by the Australian Government through the Department of Climate Change and the Australian Cooperative Research Centres Program. The Australian Antarctic Division supports the ongoing sediment trap program (AAS # 1156). We thank Tas van Ommen and Simon Wotherspoon for statistical advice, discussions and critical review of the manuscript, two anonymous reviewers and Steve Comeau for critical reviews that significantly contributed to the final manuscript.</t>
  </si>
  <si>
    <t>10.1007/s00300-011-1024-z</t>
  </si>
  <si>
    <t>WOS:000297202900011</t>
  </si>
  <si>
    <t>Lipenkov, VY; Raynaud, D; Loutre, MF; Duval, P</t>
  </si>
  <si>
    <t>Lipenkov, V. Ya; Raynaud, D.; Loutre, M. F.; Duval, P.</t>
  </si>
  <si>
    <t>On the potential of coupling air content and O2/N2 from trapped air for establishing an ice core chronology tuned on local insolation</t>
  </si>
  <si>
    <t>Paleoclimatology; Ice core dating; Air content in ice cores; O-2/N-2 ratio in air trapped in ice cores; Vostok ice core; Snow metamorphism; Close-off processes; Antarctic local insolation</t>
  </si>
  <si>
    <t>POLAR ICE; ANTARCTICA; CLIMATE; GASES; RECORD; DENSIFICATION; FRACTIONATION; CLOSURE; SURFACE; CYCLES</t>
  </si>
  <si>
    <t>The potential to access an ice core chronology tuned on local insolation has been demonstrated for the first time in the work of M. Bender (2002) linking the variations of O-2/N-2 ratios in the air trapped in the Vostok ice with local (78 S) summertime insolation. More recently, it has been shown that the long-term changes in air content, V. recorded in ice from the high Antarctic plateau are also dominantly imprinted by the local summer insolation (Raynaud et al., 2007). This paper presents a new V record from Vostok, which is compared with the published Vostok O-2/N-2 record for the same period of time (160-390 ka BP) by using the same spectral analysis methods. The spectral differences between the two properties and the possible mechanisms linking them with insolation through the surface snow structure and the close-off processes are discussed. The main result of our study is that the two experimentally independent local insolation proxies lead to absolute (orbital) timescales, which agree together within less than 1 ka on average. This result strongly adds credibility to the total content and the O-2 to N-2 ratio of the air trapped in ice as reliable and complementary tools for accurate dating of existing and future deep ice cores. (C) 2011 Elsevier Ltd. All rights reserved.</t>
  </si>
  <si>
    <t>[Raynaud, D.; Loutre, M. F.; Duval, P.] Lab Glaciol &amp; Geophys Environm, F-38402 St Martin Dheres, France; [Lipenkov, V. Ya] AARI, St Petersburg 199397, Russia; [Loutre, M. F.] Catholic Univ Louvain, Earth &amp; Life Inst, Georges Lemaitre Ctr Earth &amp; Climate Res TECLIM, B-1348 Louvain, Belgium</t>
  </si>
  <si>
    <t>Arctic &amp; Antarctic Research Institute; Universite Catholique Louvain</t>
  </si>
  <si>
    <t>Raynaud, D (corresponding author), Lab Glaciol &amp; Geophys Environm, 54 Rue Moliere,BP 96, F-38402 St Martin Dheres, France.</t>
  </si>
  <si>
    <t>lipenkov@aari.ru; raynaud@lgge.obs.ujf-grenoble.fr; marie-france.loutre@uclouvain.be; duval@lgge.obs.ujf-grenoble.fr</t>
  </si>
  <si>
    <t>Raynaud, Dominique/H-9626-2016; raynaud, dominique/ABG-4718-2020; Loutre, Marie-France/L-3594-2018; Lipenkov, Vladimir/Q-8262-2016</t>
  </si>
  <si>
    <t>Loutre, Marie-France/0000-0001-6944-4038; Lipenkov, Vladimir/0000-0003-4221-5440</t>
  </si>
  <si>
    <t>RFBR-CNRS [05-05-66801]; French INSU/CNRS; CNRS</t>
  </si>
  <si>
    <t>RFBR-CNRS(Russian Foundation for Basic Research (RFBR)Centre National de la Recherche Scientifique (CNRS)); French INSU/CNRS(Centre National de la Recherche Scientifique (CNRS)); CNRS(Centre National de la Recherche Scientifique (CNRS))</t>
  </si>
  <si>
    <t>This work is a contribution to Project 2 of the Subprogram Antarctica of the Russian Federal Targeted Program World Ocean. It has been carried out in the frame of the Russian-French research network (GDRI) Vostok with Russian funding through RFBR-CNRS grant 05-05-66801 and French INSU/CNRS funding. The Russian Antarctic Expedition provided the logistic support at Vostok and the authors gratefully acknowledge the drilling team of the St. Petersburg Mining Institute that made this study possible. We thank K. Kawamura, A. Landais, B. Lemieux-Dudon and A.N. Salamatin, for useful discussions and K. Kawamura for providing the VkO-2006 chronology for the Vostok core. MFL was supported by CNRS during a temporary stay at LGGE. We also thank two anonymous reviewers for their constructive criticisms and comments that have helped to improve the paper.</t>
  </si>
  <si>
    <t>10.1016/j.quascirev.2011.07.013</t>
  </si>
  <si>
    <t>850II</t>
  </si>
  <si>
    <t>WOS:000297187900006</t>
  </si>
  <si>
    <t>[Anonymous]</t>
  </si>
  <si>
    <t>Antarctic ice flows</t>
  </si>
  <si>
    <t>WEATHER</t>
  </si>
  <si>
    <t>0043-1656</t>
  </si>
  <si>
    <t>Weather</t>
  </si>
  <si>
    <t>848AI</t>
  </si>
  <si>
    <t>WOS:000297018000002</t>
  </si>
  <si>
    <t>Sulthana, S; Rajyaguru, PI; Mittal, P; Ray, MK</t>
  </si>
  <si>
    <t>Sulthana, Shaheen; Rajyaguru, Purusharth I.; Mittal, Pragya; Ray, Malay K.</t>
  </si>
  <si>
    <t>rnr Gene from the Antarctic Bacterium Pseudomonas syringae Lz4W, Encoding a Psychrophilic RNase R</t>
  </si>
  <si>
    <t>MESSENGER-RNA; EXORIBONUCLEASE-R; ESCHERICHIA-COLI; LOW-TEMPERATURE; RIBONUCLEASE-II; VACB GENE; IN-VIVO; DEGRADATION; DECAY; EXPRESSION</t>
  </si>
  <si>
    <t>RNase R is a highly processive, hydrolytic 3'-5' exoribonuclease belonging to the RNB/RNR superfamily which plays significant roles in RNA metabolism in bacteria. The enzyme was observed to be essential for growth of the psychrophilic Antarctic bacterium Pseudomonas syringae Lz4W at a low temperature. We present results here pertaining to the biochemical properties of RNase R and the RNase R-encoding gene (rnr) locus from this bacterium. By cloning and expressing a His(6)-tagged form of the P. syringae RNase R (RNase R(Ps)), we show that the enzyme is active at 0 to 4 degrees C but exhibits optimum activity at similar to 25 degrees C. The enzyme is heat labile in nature, losing activity upon incubation at 37 degrees C and above, a hallmark of many psychrophilic enzymes. The enzyme requires divalent cations (Mg(2+) and Mn(2+)) for activity, and the activity is higher in 50 to 150 mM KCl when it largely remains as a monomer. On synthetic substrates, RNase R(Ps) exhibited maximum activity on poly(A) and poly(U) in preference over poly(G) and poly(C). The enzyme also degraded structured malE-malF RNA substrates. Analysis of the cleavage products shows that the enzyme, apart from releasing 5'-nucleotide monophosphates by the processive exoribonuclease activity, produces four-nucleotide end products, as opposed to two-nucleotide products, of RNA chain by Escherichia coli RNase R. Interestingly, three ribonucleotides (ATP, GTP, and CTP) inhibited the activity of RNase R(Ps) in vitro. The ability of the nonhydrolyzable ATP-gamma S to inhibit RNase R(Ps) activity suggests that nucleotide hydrolysis is not required for inhibition. This is the first report on the biochemical property of a psychrophilic RNase R from any bacterium.</t>
  </si>
  <si>
    <t>[Sulthana, Shaheen; Rajyaguru, Purusharth I.; Mittal, Pragya; Ray, Malay K.] Ctr Cellular &amp; Mol Biol, Council Sci &amp; Ind Res, Hyderabad 500007, Andhra Pradesh, India</t>
  </si>
  <si>
    <t>Council of Scientific &amp; Industrial Research (CSIR) - India; CSIR - Centre for Cellular &amp; Molecular Biology (CCMB)</t>
  </si>
  <si>
    <t>Ray, MK (corresponding author), Ctr Cellular &amp; Mol Biol, Council Sci &amp; Ind Res, Uppal Rd, Hyderabad 500007, Andhra Pradesh, India.</t>
  </si>
  <si>
    <t>malay@ccmb.res.in</t>
  </si>
  <si>
    <t>Mittal, Pragya/0000-0002-5881-3739; RAJYAGURU, PURUSHARTH/0000-0003-3794-418X</t>
  </si>
  <si>
    <t>Council of Scientific and Industrial Research (CSIR; India); Volkswagen Foundation (Germany); CSIR; University Grant Commission (UGC; India)</t>
  </si>
  <si>
    <t>Council of Scientific and Industrial Research (CSIR; India)(Council of Scientific &amp; Industrial Research (CSIR) - India); Volkswagen Foundation (Germany)(Volkswagen); CSIR(Council of Scientific &amp; Industrial Research (CSIR) - India); University Grant Commission (UGC; India)(University Grants Commission, India)</t>
  </si>
  <si>
    <t>This study was supported in part by the Council of Scientific and Industrial Research (CSIR; India) and in part by the Volkswagen Foundation (Germany) to M. K. R. Research fellowships awarded by the CSIR to P. I. R. and P. M. and by the University Grant Commission (UGC; India) to S. S. for carrying out the work are also acknowledged.</t>
  </si>
  <si>
    <t>10.1128/AEM.05683-11</t>
  </si>
  <si>
    <t>844PS</t>
  </si>
  <si>
    <t>WOS:000296760200003</t>
  </si>
  <si>
    <t>Sun, JQ; Chen, HP</t>
  </si>
  <si>
    <t>Sun JianQi; Chen HuoPo</t>
  </si>
  <si>
    <t>Predictability of western North Pacific typhoon activity and its factors using DEMETER coupled models</t>
  </si>
  <si>
    <t>CHINESE SCIENCE BULLETIN</t>
  </si>
  <si>
    <t>typhoon prediction; coupled general circulation model; statistical downscaling; multi-model ensemble prediction; DEMETER</t>
  </si>
  <si>
    <t>TROPICAL CYCLONE ACTIVITY; ANTARCTIC OSCILLATION; EL-NINO; FREQUENCY; PREDICTION; MONSOON</t>
  </si>
  <si>
    <t>Climate prediction using a coupled model with a one-tier scheme is an important research direction. In this study, based on 1974-2001 hindcasts obtained from the Development of a European Multimodel Ensemble system for seasonal to inTERannual prediction (DEMETER) project, the capability of coupled general circulation models (CGCMs) to predict six climatic factors that have a close relationship with the western North Pacific typhoon activity is investigated over summer (June-October). Results indicate that all six DEMETER CGCMs well predict the six factors. Using the statistical relationship between these six factors and the typhoon frequency, the ability of the CGCMs to predict typhoon frequency is further explored. It is found that the six CGCMs also well predict the variability in typhoon frequency. Comparison analysis shows that the prediction skill of the statistical downscaling method is much better than that of the raw CGCMs. In addition, the six-model ensemble has the best prediction performance. This study suggests that combining a multi-model ensemble and statistical downscaling greatly improves the CGCM prediction skill, and will be an important research direction for typhoon prediction.</t>
  </si>
  <si>
    <t>[Sun JianQi; Chen HuoPo] Chinese Acad Sci, Inst Atmospher Phys, Nansen Zhu Int Res Ctr NZC, Beijing 100029, Peoples R China; [Chen HuoPo] Chinese Acad Sci, Grad Univ, Beijing 100049, Peoples R China</t>
  </si>
  <si>
    <t>Chinese Academy of Sciences; Institute of Atmospheric Physics, CAS; Chinese Academy of Sciences; University of Chinese Academy of Sciences, CAS</t>
  </si>
  <si>
    <t>Sun, JQ (corresponding author), Chinese Acad Sci, Inst Atmospher Phys, Nansen Zhu Int Res Ctr NZC, Beijing 100029, Peoples R China.</t>
  </si>
  <si>
    <t>sunjq@mail.iap.ac.cn</t>
  </si>
  <si>
    <t>Sun, Jianqi/A-7084-2016; Huopo, Chen/B-7771-2013</t>
  </si>
  <si>
    <t>Huopo, Chen/0000-0003-0760-8353</t>
  </si>
  <si>
    <t>Special Fund for Public Welfare Industry (meteorology) [GYHY200906018]; Chinese Academy of Sciences [KZCX2-YW-Q03-3]; National Basic Research Program of China [2009CB421406]; Norwegian Research Council</t>
  </si>
  <si>
    <t>Special Fund for Public Welfare Industry (meteorology); Chinese Academy of Sciences(Chinese Academy of Sciences); National Basic Research Program of China(National Basic Research Program of China); Norwegian Research Council(Research Council of Norway)</t>
  </si>
  <si>
    <t>The authors would like to thank two anonymous reviewers for suggestions that improved this paper. This work was supported by the Special Fund for Public Welfare Industry (meteorology) (GYHY200906018), the Key Program of the Chinese Academy of Sciences (KZCX2-YW-Q03-3), the National Basic Research Program of China (2009CB421406), and the Norwegian Research Council Project East-Asia DecCen..</t>
  </si>
  <si>
    <t>1001-6538</t>
  </si>
  <si>
    <t>1861-9541</t>
  </si>
  <si>
    <t>CHINESE SCI BULL</t>
  </si>
  <si>
    <t>Chin. Sci. Bull.</t>
  </si>
  <si>
    <t>10.1007/s11434-011-4640-7</t>
  </si>
  <si>
    <t>842ZR</t>
  </si>
  <si>
    <t>WOS:000296641800020</t>
  </si>
  <si>
    <t>Prasad, S; Manasa, P; Buddhi, S; Singh, SM; Shivaji, S</t>
  </si>
  <si>
    <t>Prasad, Sathish; Manasa, Poorna; Buddhi, Sailaja; Singh, Shiv Mohan; Shivaji, Sisinthy</t>
  </si>
  <si>
    <t>Antagonistic interaction networks among bacteria from a cold soil environment</t>
  </si>
  <si>
    <t>FEMS MICROBIOLOGY ECOLOGY</t>
  </si>
  <si>
    <t>Arctic; bacteria; antagonism; microbial diversity</t>
  </si>
  <si>
    <t>ROCK-PAPER-SCISSORS; PROMOTES BIODIVERSITY; MICROORGANISMS; LIFE; COMPETITION; ADAPTATION; PERMAFROST; DIVERSITY; EVOLUTION; SEQUENCES</t>
  </si>
  <si>
    <t>Microbial antagonism in an Arctic soil habitat was demonstrated by assessing the inhibitory interactions between bacterial isolates from the same location. Of 139 isolates obtained from five soil samples, 20 antagonists belonging to the genera, Arthrobacter, Pseudomonas and Flavobacterium were identified. Inter-genus, inter-species and inter-strain antagonism was observed between the interacting members. The extent of antagonism was temperature dependent. In some cases, antagonism was enhanced at 4 C but suppressed at 18 C while in some the reverse phenomenon was observed. To interpret antagonism from an ecological perspective, the interacting members were delineated according to their positional roles in a theoretical antagonistic network. When only one antimicrobial producer (P) was present, all the other members permitted grouping into either sensitive (S) or resistant (R). Composite interactive types such as PSR, PS, PR or SR could be designated only when at least two producers were present. Mapping of all possible antagonistic interaction networks based on the individual positional roles of the interactive types illustrates the existence of complex and interconnected networks among microbial communities.</t>
  </si>
  <si>
    <t>[Prasad, Sathish; Manasa, Poorna; Buddhi, Sailaja; Shivaji, Sisinthy] Ctr Cellular &amp; Mol Biol, Hyderabad 500007, Andhra Pradesh, India; [Singh, Shiv Mohan] Govt India, Minist Earth Sci, Natl Ctr Antarctic &amp; Ocean Res, Vasco Da Gama, Goa, India</t>
  </si>
  <si>
    <t>Council of Scientific &amp; Industrial Research (CSIR) - India; CSIR - Centre for Cellular &amp; Molecular Biology (CCMB); Ministry of Earth Sciences (MoES) - India; National Centre for Polar and Ocean Research (NCPOR)</t>
  </si>
  <si>
    <t>Shivaji, S (corresponding author), Ctr Cellular &amp; Mol Biol, Uppal Rd, Hyderabad 500007, Andhra Pradesh, India.</t>
  </si>
  <si>
    <t>shivas@ccmb.res.in</t>
  </si>
  <si>
    <t>Prasad, Sathish/AAH-5305-2020</t>
  </si>
  <si>
    <t>Bhamidimarri, Poorna Manasa/0000-0002-7418-0492; shivaji, sisinthy/0000-0003-0376-4658</t>
  </si>
  <si>
    <t>Council of Scientific and Industrial Research; Government of India; NCAOR; Ministry of Earth Sciences, Government of India</t>
  </si>
  <si>
    <t>Council of Scientific and Industrial Research; Government of India(Council of Scientific &amp; Industrial Research (CSIR) - India); NCAOR; Ministry of Earth Sciences, Government of India(Ministry of Earth Science (MoES), Government of India)</t>
  </si>
  <si>
    <t>We would like to thank the Council of Scientific and Industrial Research; Government of India for financial support to S.S. S.S. would like to thank NCAOR and Ministry of Earth Sciences, Government of India for providing the financial and logistic support for the trip to Arctic.</t>
  </si>
  <si>
    <t>0168-6496</t>
  </si>
  <si>
    <t>FEMS MICROBIOL ECOL</t>
  </si>
  <si>
    <t>FEMS Microbiol. Ecol.</t>
  </si>
  <si>
    <t>10.1111/j.1574-6941.2011.01171.x</t>
  </si>
  <si>
    <t>845UN</t>
  </si>
  <si>
    <t>WOS:000296849000019</t>
  </si>
  <si>
    <t>Juschus, O; Pavlov, M; Schwamborn, G; Preusser, F; Fedorov, G; Melles, M</t>
  </si>
  <si>
    <t>Juschus, Olaf; Pavlov, Maksim; Schwamborn, Georg; Preusser, Frank; Fedorov, Grigory; Melles, Martin</t>
  </si>
  <si>
    <t>Late Quaternary lake-level changes of Lake El'gygytgyn, NE Siberia</t>
  </si>
  <si>
    <t>QUATERNARY RESEARCH</t>
  </si>
  <si>
    <t>Lake El'gygytgyn; Siberian Arctic; Late Quaternary; Lake-level changes</t>
  </si>
  <si>
    <t>GROUND-PENETRATING RADAR; IMPACT CRATER; NORTHEASTERN SIBERIA; CENTRAL CHUKOTKA; CORE PG1351; SEDIMENTS; RECORD; RUSSIA; BAIKAL; AGE</t>
  </si>
  <si>
    <t>Lake El'gygytgyn is situated in a 3.6 Ma old impact crater in northeastern Siberia. Presented here is a reconstruction of the Quaternary lake-level history as derived from sediment cores from the southern lake shelf. There, a cliff-like bench 10 m below the modern water level has been investigated. Deep-water sediments on the shelf indicate high lake levels during a warm Mid-Pleistocene period. One period with low lake level prior to Marine Oxygen Isotope Stage (MIS) 3 has been identified, followed by a period of high lake level (10 m above present). In the course of MIS 2 the lake level dropped to -10 m. At the end of MIS 2 the bench was formed and coarse beach sedimentation occurred. Subsequently, the lake level rose rapidly to the Holocene level. Changes in water level are likely linked to climate variability. During relatively temperate periods the lake becomes free of ice in summer. Strong wave actions transport sediment parallel to the coast and towards the outlet, where the material tends to accumulate, resulting in lake level rise. During cold periods the perennial lake ice cover hampers any wave activity and pebble-transport, keeping the outlet open and causing the lake level to drop. (C) 2011 University of Washington. Published by Elsevier Inc. All rights reserved.</t>
  </si>
  <si>
    <t>[Juschus, Olaf] Tech Univ Berlin, Inst Appl Geosci, D-13355 Berlin, Germany; [Pavlov, Maksim; Fedorov, Grigory] Arctic &amp; Antarctic Res Inst, St Petersburg 199397, Russia; [Schwamborn, Georg] Alfred Wegener Inst Polar &amp; Marine Res, D-14471 Potsdam, Germany; [Preusser, Frank] Univ Bern, Inst Geol Sci, CH-3012 Bern, Switzerland; [Melles, Martin] Univ Cologne, Inst Geol &amp; Mineral, D-50674 Cologne, Germany</t>
  </si>
  <si>
    <t>Technical University of Berlin; Arctic &amp; Antarctic Research Institute; Helmholtz Association; Alfred Wegener Institute, Helmholtz Centre for Polar &amp; Marine Research; University of Bern; University of Cologne</t>
  </si>
  <si>
    <t>Juschus, O (corresponding author), Tech Univ Berlin, Inst Appl Geosci, Ackerstr 76,Sek ACK 1-1, D-13355 Berlin, Germany.</t>
  </si>
  <si>
    <t>olaf.juschus@web.de</t>
  </si>
  <si>
    <t>Fedorov, Grigory/N-5788-2019; Melles, Martin/J-4070-2012; Павлов, Максим/N-9444-2015; Fedorov, Grigory/N-3444-2013; Schwamborn, Georg Johannes/ABC-9636-2020</t>
  </si>
  <si>
    <t>Fedorov, Grigory/0000-0003-2269-4501; Melles, Martin/0000-0003-0977-9463; Павлов, Максим/0000-0003-2749-0153; Fedorov, Grigory/0000-0003-2269-4501; Schwamborn, Georg Johannes/0000-0001-9635-0539; Preusser, Frank/0000-0002-5654-1346</t>
  </si>
  <si>
    <t>German Federal Ministry for Education and Research (BMBF) [03G0586A, 03G0586B]; German Research Foundation (DFG) [JU 465/2-1]</t>
  </si>
  <si>
    <t>German Federal Ministry for Education and Research (BMBF)(Federal Ministry of Education &amp; Research (BMBF)); German Research Foundation (DFG)(German Research Foundation (DFG))</t>
  </si>
  <si>
    <t>We thank Julie Brigham-Grette (Amherst, USA), Andreas Dehnert (Zurich, Switzerland), and Pavel Minyuk (Magadan, Russia) for their assistance in coring during the expedition in 2003. Special thanks are due to Stefan Engels (Stockholm, Sweden), Volker Wennrich and Bernd Wagner (Cologne, Germany), Lutz Schirrmeister (Potsdam, Germany) and especially Olga Glushkova (Magadan, Russia) for their comments and assistance.The comments of Dmitry Subetto and Georg Stauch markedly improved the quality of the article. The work was mainly funded by the German Federal Ministry for Education and Research (BMBF; grant no. 03G0586A, B) and the German Research Foundation (DFG, JU 465/2-1).</t>
  </si>
  <si>
    <t>0033-5894</t>
  </si>
  <si>
    <t>1096-0287</t>
  </si>
  <si>
    <t>QUATERNARY RES</t>
  </si>
  <si>
    <t>Quat. Res.</t>
  </si>
  <si>
    <t>10.1016/j.yqres.2011.06.010</t>
  </si>
  <si>
    <t>843LA</t>
  </si>
  <si>
    <t>WOS:000296672100017</t>
  </si>
  <si>
    <t>Remenyi, TA; Nesterenko, PN; Bowie, AR; Butler, ECV; Haddad, PR</t>
  </si>
  <si>
    <t>Remenyi, Tomas A.; Nesterenko, Pavel N.; Bowie, Andrew R.; Butler, Edward C. V.; Haddad, Paul R.</t>
  </si>
  <si>
    <t>Fast and sensitive determination of aluminium with RP-HPLC using an ultra-short monolithic column</t>
  </si>
  <si>
    <t>ANALYTICAL METHODS</t>
  </si>
  <si>
    <t>PERFORMANCE LIQUID-CHROMATOGRAPHY; FLOW-INJECTION ANALYSIS; ION CHROMATOGRAPHY; DISSOLVED ALUMINUM; NATURAL-WATERS; SPECIATION; COMPLEXATION; SEPARATION; SEAWATER; BUFFERS</t>
  </si>
  <si>
    <t>A fast and sensitive reversed-phase high-performance liquid-chromatographic method for determination of aluminium in aqueous samples has been developed. The fluorescent aluminium-lumogallion complex (lambda(ex) 505 nm, lambda(em) 574 nm), was formed with a pre-column reagent and then separated on a Chromolith (R) RP-18e Guard column using a two-tiered, stepped gradient program, with matrix elimination (5/95 (v/v) methanol/water), followed by elution (90/10 (v/v) methanol/water). This method achieved a run time of 2.5 min without compromising sensitivity (limit of detection = 5.6 x 10(-10) M, limit of quantification = 7.2 x 10(-7) M), precision (3.5% at 3.71 x 10(-6) M) or accuracy (recovery = 97.5% +/- 3.2%, n = 5, P = 0.95). This represents an improvement in run time by &gt;50% compared to the fastest previously published method [Lee et al., Clin. Chem., 1996, 42, 1405-1411]. This method uses MES buffer (2-(N-morpholino) ethanesulfonic acid), which compared to other buffers is more easily purified, does not complex with aluminium, and can be used in lower concentrations. This method was applied to analysis of: deionised water for column comparison; seawater for matrix interference effects; and tea-infusion for calibration and recovery studies.</t>
  </si>
  <si>
    <t>[Remenyi, Tomas A.; Nesterenko, Pavel N.; Haddad, Paul R.] Univ Tasmania, Australian Ctr Res Separat Sci, Sch Chem, Hobart, Tas 7001, Australia; [Remenyi, Tomas A.] Univ Tasmania, Inst Marine &amp; Antarctic Studies, Hobart, Tas 7001, Australia; [Remenyi, Tomas A.; Bowie, Andrew R.; Butler, Edward C. V.] Univ Tasmania, Antarctic Climate &amp; Ecosyst Cooperat Res Ctr, Hobart, Tas 7001, Australia; [Butler, Edward C. V.] Commonwealth Sci &amp; Ind Res Org Marine &amp; Atmospher, Hobart, Tas 7001, Australia</t>
  </si>
  <si>
    <t>University of Tasmania; University of Tasmania; University of Tasmania; Antarctic Climate &amp; Ecosystems Cooperative Research Centre (ACE CRC); Commonwealth Scientific &amp; Industrial Research Organisation (CSIRO)</t>
  </si>
  <si>
    <t>Nesterenko, PN (corresponding author), Univ Tasmania, Australian Ctr Res Separat Sci, Sch Chem, Private Bag 75, Hobart, Tas 7001, Australia.</t>
  </si>
  <si>
    <t>Pavel.Nesterenko@utas.edu.au</t>
  </si>
  <si>
    <t>Nesterenko, Pavel N./A-4766-2012; Bowie, Andrew/C-8677-2013</t>
  </si>
  <si>
    <t>Nesterenko, Pavel N./0000-0002-9997-0650; Butler, Edward/0000-0002-6660-3985; Haddad, Paul/0000-0001-9579-7363; Bowie, Andrew/0000-0002-5144-7799; Remenyi, Tomas/0000-0002-4145-9323</t>
  </si>
  <si>
    <t>Australian Centre for Research on Separation Science; Antarctic Climate &amp; Ecosystems Cooperative Research Centre; Institute for Marine and Antarctic Studies; University of Tasmania [IRGS 100097]; CSIRO-UTAS; CSIRO</t>
  </si>
  <si>
    <t>Australian Centre for Research on Separation Science; Antarctic Climate &amp; Ecosystems Cooperative Research Centre(Australian GovernmentDepartment of Industry, Innovation and ScienceCooperative Research Centres (CRC) Programme); Institute for Marine and Antarctic Studies; University of Tasmania; CSIRO-UTAS(Commonwealth Scientific &amp; Industrial Research Organisation (CSIRO)); CSIRO(Commonwealth Scientific &amp; Industrial Research Organisation (CSIRO))</t>
  </si>
  <si>
    <t>This study was supported by the Australian Centre for Research on Separation Science; the Antarctic Climate &amp; Ecosystems Cooperative Research Centre; the Institute for Marine and Antarctic Studies; IRGS 100097 grant of the University of Tasmania; is supported by a joint CSIRO-UTAS PhD scholarship in Quantitative Marine Science (QMS) and a top-up CSIRO PhD stipend (through the Marine and Atmospheric Research division). Special thanks to Prof. Brett Paull for help with corrections to the paper.</t>
  </si>
  <si>
    <t>1759-9660</t>
  </si>
  <si>
    <t>1759-9679</t>
  </si>
  <si>
    <t>ANAL METHODS-UK</t>
  </si>
  <si>
    <t>Anal. Methods</t>
  </si>
  <si>
    <t>10.1039/c1ay05192j</t>
  </si>
  <si>
    <t>Chemistry, Analytical; Food Science &amp; Technology; Spectroscopy</t>
  </si>
  <si>
    <t>Chemistry; Food Science &amp; Technology; Spectroscopy</t>
  </si>
  <si>
    <t>842QP</t>
  </si>
  <si>
    <t>WOS:000296614600008</t>
  </si>
  <si>
    <t>Sagnotti, L; Macrì, P; Lucchi, R; Rebesco, M; Camerlenghi, A</t>
  </si>
  <si>
    <t>Sagnotti, Leonardo; Macri, Patrizia; Lucchi, Renata; Rebesco, Michele; Camerlenghi, Angelo</t>
  </si>
  <si>
    <t>A Holocene paleosecular variation record from the northwestern Barents Sea continental margin</t>
  </si>
  <si>
    <t>GEOCHEMISTRY GEOPHYSICS GEOSYSTEMS</t>
  </si>
  <si>
    <t>Barents Sea; Holocene; Storfjorden; geomagnetic paleosecular variation; relative paleointensity</t>
  </si>
  <si>
    <t>GEOMAGNETIC SECULAR VARIATION; ANTARCTIC SOUTH ATLANTIC; RELATIVE PALEOINTENSITY; PALEOMAGNETIC RECORDS; SEDIMENT CORES; DIPOLE-MOMENT; POLAR VORTEX; FIELD; CALIBRATION; REMANENCE</t>
  </si>
  <si>
    <t>A high-resolution paleomagnetic and rock magnetic study has been carried out on sediment cores collected in glaciomarine silty-clay sequences from the continental shelf and slope of the southern Storfjorden trough-mouth fan, on the northwestern Barents Sea continental margin. The Storfjorden sedimentary system was investigated during the SVAIS and EGLACOM cruises, when 10 gravity cores, with a variable length from 1.03 m to 6.41 m, were retrieved. Accelerator mass spectrometry (AMS) C-14 analyses on 24 samples indicate that the cores span a time interval that includes the Holocene, the last deglaciation phase and in some cores the last glacial maximum. The sediments carry a well-defined characteristic remanent magnetization and have a valuable potential to reconstruct the paleosecular variation (PSV) of the geomagnetic field, including relative paleointensity (RPI) variations. The paleomagnetic data allow reconstruction of past dynamics and amplitude of the geomagnetic field variations at high northern latitudes (75 degrees-76 degrees N). At the same time, the rock magnetic and paleomagnetic data allow a high-resolution correlation of the sedimentary sequences and a refinement of their preliminary age models. The Holocene PSV and RPI records appear particularly sound, since they are consistent between cores and they can be correlated to the closest regional stacking curves (UK PSV, FENNOSTACK and FENNORPIS) and global geomagnetic model for the last 7 ka (CALS7k.2). The computed amplitude of secular variation is lower than that outlined by some geomagnetic field models, suggesting that it has been almost independent from latitude during the Holocene.</t>
  </si>
  <si>
    <t>[Sagnotti, Leonardo; Macri, Patrizia] Ist Nazl Geofis &amp; Vulcanol, I-00143 Rome, Italy; [Lucchi, Renata; Rebesco, Michele] Ist Nazl Oceanog &amp; Geofis Sperimentale, I-34010 Trieste, Italy; [Camerlenghi, Angelo] Ist Catalana Rec &amp; Estudis Avancats, E-08028 Barcelona, Spain; [Camerlenghi, Angelo] Univ Barcelona, Dept Estratig Paleontol &amp; Geociencies Marines, Fac Geol, E-08028 Barcelona, Spain</t>
  </si>
  <si>
    <t>Istituto Nazionale Geofisica e Vulcanologia (INGV); Istituto Nazionale di Oceanografia e di Geofisica Sperimentale; University of Barcelona</t>
  </si>
  <si>
    <t>Sagnotti, L (corresponding author), Ist Nazl Geofis &amp; Vulcanol, Via Vigna Murata 605, I-00143 Rome, Italy.</t>
  </si>
  <si>
    <t>leonardo.sagnotti@ingv.it</t>
  </si>
  <si>
    <t>Camerlenghi, Angelo/AAG-3852-2019; Rebesco, Michele/B-7462-2014; Camerlenghi, Angelo/O-1593-2013; Camerlenghi, Angelo/C-8816-2011; Sagnotti, Leonardo/AFM-3916-2022; Macrì, Patrizia/ABD-2144-2021</t>
  </si>
  <si>
    <t>Camerlenghi, Angelo/0000-0002-8128-9533; Rebesco, Michele/0000-0002-9492-4081; Camerlenghi, Angelo/0000-0002-8128-9533; Sagnotti, Leonardo/0000-0003-3944-201X; Macrì, Patrizia/0000-0003-2287-4019; Lucchi, Renata Giulia/0000-0001-5111-6968</t>
  </si>
  <si>
    <t>Spanish IPY project SVAIS [POL2006-07390/CGL]; Spanish IPY project IPY-NICE STREAMS [CTM2009-06370-E/ANT]; IPY-related Italian project OGS EGLACOM; IPY-related Italian project PNRA MELTSTORM</t>
  </si>
  <si>
    <t>Spanish IPY project SVAIS; Spanish IPY project IPY-NICE STREAMS; IPY-related Italian project OGS EGLACOM; IPY-related Italian project PNRA MELTSTORM</t>
  </si>
  <si>
    <t>This study has been supported by Spanish IPY projects SVAIS (POL2006-07390/CGL) and IPY-NICE STREAMS (CTM2009-06370-E/ANT), and by IPY-related Italian projects OGS EGLACOM and PNRA MELTSTORM. The authors wish to acknowledge the cooperation of captains Pedro Luis de la Puente Garcia-Ganges (BIO Hesperides), Franco Sedmak and Carmine Teta (OGS-Explora) and their crew, and of the technical staff at the UTM (CSIC, Barcelona) and the RIMA Department (OGS, Trieste). We thank the careful reviewers by Stefanie Brachfeld and Francesco Barletta. Their comments and suggestions allowed us to improve considerably the manuscript.</t>
  </si>
  <si>
    <t>1525-2027</t>
  </si>
  <si>
    <t>GEOCHEM GEOPHY GEOSY</t>
  </si>
  <si>
    <t>Geochem. Geophys. Geosyst.</t>
  </si>
  <si>
    <t>Q11Z33</t>
  </si>
  <si>
    <t>10.1029/2011GC003810</t>
  </si>
  <si>
    <t>842XC</t>
  </si>
  <si>
    <t>WOS:000296634100001</t>
  </si>
  <si>
    <t>Cuffey, KM; Kavanaugh, JL</t>
  </si>
  <si>
    <t>Cuffey, K. M.; Kavanaugh, J. L.</t>
  </si>
  <si>
    <t>How nonlinear is the creep deformation of polar ice? A new field assessment</t>
  </si>
  <si>
    <t>GEOLOGY</t>
  </si>
  <si>
    <t>VELOCITY; GLACIER; ISLAND; FLOW</t>
  </si>
  <si>
    <t>Most analyses of glacial systems require a relationship between strain rates and stresses for ice deforming in creep. For conditions relevant to glacier flow, much evidence shows that strain rates increase approximately as deviatoric stress raised to a power n. Field and laboratory experiments suggest that n approximate to 3, but values span a wide range and controversy persists. Most field efforts to determine n seek clarity by examining situations with simple stress states. We instead use a fully three-dimensional model to interpret measurements of flow of an Antarctic outlet glacier that follows a tortuous path through a mountain range. By comparing observed flow to models with different parameter values, we conclude that the effective n must be between 2.6 and 5.1 (99% confidence). The best match occurs with n approximate to 3.5. We conclude that use of the traditional value is appropriate for polar ice deforming at stresses of 0.6-1.2 x 10(5) Pa.</t>
  </si>
  <si>
    <t>[Cuffey, K. M.] Univ Calif Berkeley, Dept Geog, Berkeley, CA 94720 USA; [Kavanaugh, J. L.] Univ Alberta, Dept Earth &amp; Atmospher Sci, Edmonton, AB T6G 2E3, Canada</t>
  </si>
  <si>
    <t>University of California System; University of California Berkeley; University of Alberta</t>
  </si>
  <si>
    <t>Cuffey, KM (corresponding author), Univ Calif Berkeley, Dept Geog, Berkeley, CA 94720 USA.</t>
  </si>
  <si>
    <t>U.S. National Science Foundation [OPP-0125579]</t>
  </si>
  <si>
    <t>This work was supported by U.S. National Science Foundation grant OPP-0125579 to Cuffey. We thank the three anonymous referees for their thoughtful comments.</t>
  </si>
  <si>
    <t>0091-7613</t>
  </si>
  <si>
    <t>10.1130/G32259.1</t>
  </si>
  <si>
    <t>842OA</t>
  </si>
  <si>
    <t>WOS:000296607600011</t>
  </si>
  <si>
    <t>Mueller, IA; Grim, JM; Beers, JM; Crockett, EL; O'Brien, KM</t>
  </si>
  <si>
    <t>Mueller, Irina A.; Grim, Jeffrey M.; Beers, Jody M.; Crockett, Elizabeth L.; O'Brien, Kristin M.</t>
  </si>
  <si>
    <t>Inter-relationship between mitochondrial function and susceptibility to oxidative stress in red- and white-blooded Antarctic notothenioid fishes</t>
  </si>
  <si>
    <t>Antarctic fish; mitochondria; oxidative stress</t>
  </si>
  <si>
    <t>FATTY-ACID-COMPOSITION; LIPID-PEROXIDATION; TEMPERATURE INCREASE; COMPLEX-III; TREMATOMUS-BERNACCHII; SUPEROXIDE-DISMUTASE; UNCOUPLING PROTEINS; THERMAL-ACCLIMATION; LIVER-MITOCHONDRIA; GOLDFISH TISSUES</t>
  </si>
  <si>
    <t>It is unknown whether Antarctic fishes can defend themselves against oxidative stress induced by elevations in temperature. We hypothesized that Antarctic icefishes, lacking the oxygen-binding protein hemoglobin, might be more vulnerable to temperature-induced oxidative stress compared with red-blooded notothenioids because of differences in their mitochondrial properties. Mitochondria from icefishes have higher densities of phospholipids per mg of mitochondrial protein compared with red-blooded species, and these phospholipids are rich in polyunsaturated fatty acids (PUFA), which can promote the formation of reactive oxygen species (ROS). Additionally, previous studies have shown that multiple tissues in icefishes have lower levels of antioxidants compared with red-blooded species. We quantified several properties of mitochondria, including proton leak, rates of ROS production, membrane composition and susceptibility to lipid peroxidation (LPO), the activity of superoxide dismutase (SOD) and total antioxidant power (TAOP) in mitochondria isolated from hearts of icefishes and red-blooded notothenioids. Mitochondria from icefishes were more tightly coupled than those of red-blooded fishes at both 2 degrees C and 10 degrees C, which increased the production of ROS when the electron transport chain was disrupted. The activity of SOD and TAOP per mg of mitochondrial protein was equivalent between icefishes and red-blooded species, but TAOP normalized to mitochondrial phospholipid content was significantly lower in icefishes compared with red-blooded fishes. Additionally, membrane susceptibility to peroxidation was only detectable in icefishes at 1 C and not in red-blooded species. Together, our results suggest that the high density of mitochondrial phospholipids in hearts of icefishes may make them particularly vulnerable to oxidative stress as temperatures rise.</t>
  </si>
  <si>
    <t>[Mueller, Irina A.; O'Brien, Kristin M.] Univ Alaska, Inst Arctic Biol, Fairbanks, AK 99775 USA; [Grim, Jeffrey M.; Crockett, Elizabeth L.] Ohio Univ, Dept Biol Sci, Athens, OH 45701 USA; [Beers, Jody M.] Univ Maine, Sch Marine Sci, Orono, ME 04469 USA</t>
  </si>
  <si>
    <t>University of Alaska System; University of Alaska Fairbanks; University System of Ohio; Ohio University; University of Maine System; University of Maine Orono</t>
  </si>
  <si>
    <t>O'Brien, KM (corresponding author), Univ Alaska, Inst Arctic Biol, Fairbanks, AK 99775 USA.</t>
  </si>
  <si>
    <t>kmobrien@alaska.edu</t>
  </si>
  <si>
    <t>National Science Foundation [ANT 0741301, ANT-0739637]; Division Of Polar Programs; Directorate For Geosciences [1142720] Funding Source: National Science Foundation; Office of Polar Programs (OPP); Directorate For Geosciences [0741301] Funding Source: National Science Foundation</t>
  </si>
  <si>
    <t>National Science Foundation(National Science Foundation (NSF)); Division Of Polar Programs; Directorate For Geosciences(National Science Foundation (NSF)NSF - Directorate for Geosciences (GEO)); Office of Polar Programs (OPP); Directorate For Geosciences(National Science Foundation (NSF)NSF - Directorate for Geosciences (GEO))</t>
  </si>
  <si>
    <t>This work was supported by grants from the National Science Foundation [ANT 0741301 to K.M.O. and E.L.C.; work by J.M.B was supported by ANT-0739637 to Bruce D. Sidell].</t>
  </si>
  <si>
    <t>COMPANY OF BIOLOGISTS LTD</t>
  </si>
  <si>
    <t>BIDDER BUILDING CAMBRIDGE COMMERCIAL PARK COWLEY RD, CAMBRIDGE CB4 4DL, CAMBS, ENGLAND</t>
  </si>
  <si>
    <t>10.1242/jeb.062042</t>
  </si>
  <si>
    <t>842GD</t>
  </si>
  <si>
    <t>WOS:000296581500008</t>
  </si>
  <si>
    <t>Polgári, Z; Szoboszlai, N; Ovári, M; Záray, G</t>
  </si>
  <si>
    <t>Polgari, Zsofia; Szoboszlai, Norbert; Ovari, Mihaly; Zaray, Gyula</t>
  </si>
  <si>
    <t>Possibilities and limitations of the total reflection X-ray fluorescence spectrometry for the determination of low Z elements in biological samples</t>
  </si>
  <si>
    <t>MICROCHEMICAL JOURNAL</t>
  </si>
  <si>
    <t>TXRF; Low Z elements; Microwave assisted digestion; Direct analysis; Certified reference materials</t>
  </si>
  <si>
    <t>SINGLE DAPHNIA SPECIMENS; PHASE ACID DIGESTION; LIGHT-ELEMENTS; MATRICES</t>
  </si>
  <si>
    <t>The analytical capability of the laboratory scale vacuum total reflection X-ray fluorescence (TXRF) spectrometer (Wobistrax) was studied for the determination of the Z elements (Na, Mg, P, S, K and Ca) in different biological matrices represented by the following certified reference materials: MURST-ISS-A2 Antarctic krill, IAEA-331 spinach, NIST 1577a bovine liver, and SERONORM (TM) Trace Elements Serum Level 1. First, the stability of the response factors (relative sensitivity) against Ti internal standard was checked in the concentration range of 1 to 1000 mg/L in a diluted nitric acid matrix. It has been found that the upper limit of the analytical concentration range for K and Ca can be as high as 1000 mg/L; on the other hand, the remaining elements cannot be determined above a concentration of some tens mg/L. The established response factors were used for the elemental analysis of the four certified reference materials after normal-volume microwave assisted acid digestion. In the case of the serum sample, different preparation methods were compared as follow: direct analysis, microwave assisted acid digestion in normal-volume and micro-vessels, as well as the vapor-phase digestion directly on the TXRF carrier plates. On the basis of the results, the normal-volume digestion results in rather high dilution of the samples; thus, elements at low concentration could not be detected in some of the samples. On the other hand, this method offers the highest rate of both organic matrix decomposition and inorganic matrix dilution; thus, the background and the standard deviation of the results were the lowest. In general, this method was found to be useful for the analysis of samples with high dissolved (organic + inorganic) content if the analytes are present at a concentration considerable above the quantification limit. In the case of the microscale and the vapor-phase digestion, both the organic and inorganic matters remain at elevated concentration; thus, higher background and self-absorption of the fluorescent radiation occurred, deteriorating the analytical performance. (C) 2011 Elsevier B.V. All rights reserved.</t>
  </si>
  <si>
    <t>[Polgari, Zsofia; Szoboszlai, Norbert; Ovari, Mihaly; Zaray, Gyula] Eotvos Lorand Univ, Inst Chem, Dept Analyt Chem, Lab Environm Chem &amp; Bioanalyt, H-1518 Budapest, Hungary; [Zaray, Gyula] Eotvos Lorand Univ, Cooperat Res Ctr Environm Chem, H-1117 Budapest, Hungary</t>
  </si>
  <si>
    <t>Eotvos Lorand University; Hungarian Academy of Sciences; Eotvos Lorand University</t>
  </si>
  <si>
    <t>Ovári, M (corresponding author), Eotvos Lorand Univ, Inst Chem, Dept Analyt Chem, Lab Environm Chem &amp; Bioanalyt, POB 32, H-1518 Budapest, Hungary.</t>
  </si>
  <si>
    <t>ovari@chem.elte.hu</t>
  </si>
  <si>
    <t>Szoboszlai, Norbert/B-5699-2009</t>
  </si>
  <si>
    <t>Szoboszlai, Norbert/0000-0002-3991-3996</t>
  </si>
  <si>
    <t>0026-265X</t>
  </si>
  <si>
    <t>MICROCHEM J</t>
  </si>
  <si>
    <t>Microchem J.</t>
  </si>
  <si>
    <t>10.1016/j.microc.2011.06.002</t>
  </si>
  <si>
    <t>831ZX</t>
  </si>
  <si>
    <t>WOS:000295770700027</t>
  </si>
  <si>
    <t>Jorge-Villar, SE; Edwards, HGM; Benning, LG</t>
  </si>
  <si>
    <t>Jorge-Villar, Susana E.; Edwards, Howell G. M.; Benning, Liane G.</t>
  </si>
  <si>
    <t>AMASE 2004 Team</t>
  </si>
  <si>
    <t>Raman spectroscopic analysis of arctic nodules: relevance to the astrobiological exploration of Mars</t>
  </si>
  <si>
    <t>ANALYTICAL AND BIOANALYTICAL CHEMISTRY</t>
  </si>
  <si>
    <t>Raman spectroscopy; Nodules; Extremophiles; Scytonemin; Carotenoids; AMASE</t>
  </si>
  <si>
    <t>ANTARCTIC HABITATS; IN-SITU; LIFE; COLONIZATION; SEARCH; ORIGIN</t>
  </si>
  <si>
    <t>The discovery of small, spherical nodules termed 'blueberries' in Gusev Crater on Mars, by the NASA rover Opportunity has given rise to much debate on account of their interesting and novel morphology. A terrestrial analogue in the form of spherical nodules of similar size and morphology has been analysed using Raman spectroscopy; the mineralogical composition has been determined and evidence found for the biological colonisation of these nodules from the spectral signatures of cyanobacterial protective biochemical residues such as scytonemin, carotenoids, phycocyanins and xanthophylls. This is an important result for the recognition of future sites for the planned astrobiological exploration of planetary surfaces using remote robotic instrumentation in the search for extinct and extant life biosignatures and for the expansion of putative terrestrial Mars analogue geological niches and morphologies.</t>
  </si>
  <si>
    <t>[Jorge-Villar, Susana E.] Univ Burgos, Fac Humanidades &amp; Educ, Area Geodinam Interna, Burgos 09001, Castille Y Leon, Spain; [Edwards, Howell G. M.] Univ Bradford, Ctr Astrobiol &amp; Extremophiles Res, Sch Life Sci, Bradford BD7 1DP, W Yorkshire, England; [Benning, Liane G.] Univ Leeds, Sch Earth &amp; Environm, Leeds LS2 9JT, W Yorkshire, England</t>
  </si>
  <si>
    <t>Universidad de Burgos; University of Bradford; University of Leeds</t>
  </si>
  <si>
    <t>Jorge-Villar, SE (corresponding author), Univ Burgos, Fac Humanidades &amp; Educ, Area Geodinam Interna, Calle Villadiego, Burgos 09001, Castille Y Leon, Spain.</t>
  </si>
  <si>
    <t>seju@ubu.es; h.g.m.edwards@bradford.ac.uk; L.G.Benning@leeds.ac.uk</t>
  </si>
  <si>
    <t>Jorge-Villar, Susana E./A-8927-2011; Benning, Liane G./E-7071-2011</t>
  </si>
  <si>
    <t>Jorge-Villar, Susana E./0000-0003-1676-4438; Benning, Liane G./0000-0001-9972-5578</t>
  </si>
  <si>
    <t>Fundacion Universidad de Burgos, Departamento de Didacticas Especificas (University of Burgos); Caja Burgos, Camara de Comercio de Burgos; Bodegas Martin Berdugo; School of Earth and Environment, University of Leeds; World University Network (WUN); EPSRC</t>
  </si>
  <si>
    <t>Fundacion Universidad de Burgos, Departamento de Didacticas Especificas (University of Burgos); Caja Burgos, Camara de Comercio de Burgos; Bodegas Martin Berdugo; School of Earth and Environment, University of Leeds; World University Network (WUN); EPSRC(UK Research &amp; Innovation (UKRI)Engineering &amp; Physical Sciences Research Council (EPSRC))</t>
  </si>
  <si>
    <t>The work of S.E.J.V. was supported by Fundacion Universidad de Burgos, Departamento de Didacticas Especificas (University of Burgos), Caja Burgos, Camara de Comercio de Burgos and Bodegas Martin Berdugo. L.G.B. acknowledges the funding provided by the School of Earth and Environment, University of Leeds, and the World University Network (WUN). H.G.M.E acknowledges funding from EPSRC for supporting the Raman analyses. S.E.J.V. and L.G.B. also greatly acknowledge field, infrastructure and moral support from all members of the Arctic Mars Svalbard Analog Expedition 2004 (AMASE) team; without them, this work would not have been possible. We would specifically like to thank Kjell Ove Storvik who has taken the photographs of the rock samples used in this study.</t>
  </si>
  <si>
    <t>1618-2642</t>
  </si>
  <si>
    <t>1618-2650</t>
  </si>
  <si>
    <t>ANAL BIOANAL CHEM</t>
  </si>
  <si>
    <t>Anal. Bioanal. Chem.</t>
  </si>
  <si>
    <t>10.1007/s00216-011-5385-5</t>
  </si>
  <si>
    <t>839HV</t>
  </si>
  <si>
    <t>WOS:000296357200027</t>
  </si>
  <si>
    <t>Chryssanthou, E; Wennberg, H; Bonnedahl, J; Olsen, B</t>
  </si>
  <si>
    <t>Chryssanthou, E.; Wennberg, H.; Bonnedahl, J.; Olsen, B.</t>
  </si>
  <si>
    <t>Occurrence of yeasts in faecal samples from Antarctic and South American seabirds</t>
  </si>
  <si>
    <t>MYCOSES</t>
  </si>
  <si>
    <t>Candida; Caracara; Debaryomyces; gull; penguin; goose</t>
  </si>
  <si>
    <t>CANDIDA-ALBICANS; CRYPTOCOCCUS SPP.; NEOFORMANS; PIGEONS; INFECTIONS; CARRIERS</t>
  </si>
  <si>
    <t>During an expedition to the Southern Argentinean town of Ushuaia, the Antarctic Peninsula, Antarctic Islands and the Falkland Islands, we collected 94 faecal specimens from wild birds to screen for yeast within the different bird species. The yeast species were identified by morphological features and commercial characterisation kits. From 54% of the specimens, we isolated 122 strains representing 29 yeast species. Debaryomyces hansenii, Candida lambica and Candida krusei were the most frequently isolated species. We found a plethora of yeasts in birds living in proximity to humans, whereas birds living in more remote areas were colonised with a lower number of fungal species.</t>
  </si>
  <si>
    <t>[Chryssanthou, E.; Wennberg, H.] Karolinska Univ Hosp, Dept Clin Microbiol, SE-17176 Stockholm, Sweden; [Bonnedahl, J.] Kalmar Cty Hosp, Dept Med Sci, Kalmar, Sweden; [Bonnedahl, J.; Olsen, B.] Uppsala Univ, Dept Med Sci, Div Infect Dis, Uppsala, Sweden; [Olsen, B.] Linnaeus Univ, Sect Zoonot Ecol &amp; Epidemiol, Kalmar, Sweden</t>
  </si>
  <si>
    <t>Karolinska Institutet; Karolinska University Hospital; Uppsala University; Linnaeus University</t>
  </si>
  <si>
    <t>Chryssanthou, E (corresponding author), Karolinska Univ Hosp, Dept Clin Microbiol, SE-17176 Stockholm, Sweden.</t>
  </si>
  <si>
    <t>erja.chryssanthou@karolinska.se</t>
  </si>
  <si>
    <t>Bonnedahl, Jonas/GZG-8435-2022</t>
  </si>
  <si>
    <t>Olsen, Bjorn/0000-0002-4646-691X; Bonnedahl, Jonas/0000-0002-3182-389X</t>
  </si>
  <si>
    <t>Swedish Research Council VR; Swedish Research Council FORMAS</t>
  </si>
  <si>
    <t>Swedish Research Council VR(Swedish Research Council); Swedish Research Council FORMAS(Swedish Research Council Formas)</t>
  </si>
  <si>
    <t>Quark Expedition is greatly acknowledged for their logistic support. This study was supported by the Swedish Research Council VR and the Swedish Research Council FORMAS.</t>
  </si>
  <si>
    <t>0933-7407</t>
  </si>
  <si>
    <t>1439-0507</t>
  </si>
  <si>
    <t>Mycoses</t>
  </si>
  <si>
    <t>E811</t>
  </si>
  <si>
    <t>E815</t>
  </si>
  <si>
    <t>10.1111/j.1439-0507.2011.02031.x</t>
  </si>
  <si>
    <t>Dermatology; Mycology</t>
  </si>
  <si>
    <t>837XJ</t>
  </si>
  <si>
    <t>WOS:000296243700021</t>
  </si>
  <si>
    <t>Coscia, MR; Varriale, S; Giacomelli, S; Oreste, U</t>
  </si>
  <si>
    <t>Coscia, Maria Rosaria; Varriale, Sonia; Giacomelli, Stefano; Oreste, Umberto</t>
  </si>
  <si>
    <t>Antarctic teleost immunoglobulins: More extreme, more interesting</t>
  </si>
  <si>
    <t>Antibody response to parasites; Extracellular membrane proximal domain; Alternative mRNA splicing; Antarctic teleost; VH gene family</t>
  </si>
  <si>
    <t>VARIABLE-REGION DIVERSITY; GADUS-MORHUA L.; TREMATOMUS-BERNACCHII; HEAVY-CHAIN; RAINBOW-TROUT; LIGHT-CHAIN; NOTOTHENIOID FISHES; ONCORHYNCHUS-MYKISS; COLD ADAPTATION; VH GENES</t>
  </si>
  <si>
    <t>We have investigated the immunoglobulin molecule and the genes encoding it in teleosts living in the Antarctic seas at the constant temperature of -1.86 degrees C. The majority of Antarctic teleosts belong to the suborder Notothenioidei (Perciformes), which includes only a few non-Antarctic species. Twenty-one Antarctic and two non-Antarctic Notothenioid species were included in our studies. We sequenced immunoglobulin light chains in two species and mu heavy chains, partially or totally, in twenty species. In the case of heavy chain, genomic DNA and the cDNA encoding the secreted and the membrane form were analyzed. From one species, Trematomus bernacchii, a spleen cDNA library was constructed to evaluate the diversity of VH gene segments. T bernacchii IgM, purified from the serum and bile, was characterized. Homology Modelling and Molecular Dynamics were used to determine the molecular structure of T. bernacchii and Chionodraco hamatus immunoglobulin domains. This paper sums up the previous results and broadens them with the addition of unpublished data. (C) 2010 Elsevier Ltd. All rights reserved.</t>
  </si>
  <si>
    <t>[Coscia, Maria Rosaria; Varriale, Sonia; Giacomelli, Stefano; Oreste, Umberto] CNR, Inst Prot Biochem, I-80131 Naples, Italy</t>
  </si>
  <si>
    <t>Consiglio Nazionale delle Ricerche (CNR); Istituto di Biochimica delle Proteine (IBP-CNR)</t>
  </si>
  <si>
    <t>Coscia, MR (corresponding author), CNR, Inst Prot Biochem, Via P Castellino 111, I-80131 Naples, Italy.</t>
  </si>
  <si>
    <t>mr.coscia@ibp.cnr.it; s.varriale@ibp.cnr.it; s.giacomelli@ibp.cnr.it; u.oreste@ibp.cnr.it</t>
  </si>
  <si>
    <t>Coscia, Maria Rosaria/AAU-1808-2021</t>
  </si>
  <si>
    <t>10.1016/j.fsi.2010.10.018</t>
  </si>
  <si>
    <t>836QL</t>
  </si>
  <si>
    <t>WOS:000296126100009</t>
  </si>
  <si>
    <t>Doubleday, ZA; White, J; Pecl, GT; Semmens, JM</t>
  </si>
  <si>
    <t>Doubleday, Zoe A.; White, Jimmy; Pecl, Gretta T.; Semmens, Jayson M.</t>
  </si>
  <si>
    <t>Age determination in merobenthic octopuses using stylet increment analysis: assessing future challenges using Macroctopus maorum as a model</t>
  </si>
  <si>
    <t>age determination; merobenthic; octopus; stylet increment analysis (SIA)</t>
  </si>
  <si>
    <t>VULGARIS CUVIER; COMMON OCTOPUS; GROWTH LINES; PALLIDUS; SIZE; CEPHALOPODA; OCTOPODIDAE; VALIDATION; TOOLS</t>
  </si>
  <si>
    <t>Stylet increment analysis (SIA) is a method recently developed to age octopuses; it involves the enumeration of daily growth increments within stylets (an internal shell). To examine the potential of SIA in a merobenthic octopus species, SIA was applied to Macroctopus maorum collected from southeast Australia and New Zealand (n = 147). The stylets had clear concentric growth increments and a core-like region. However, low increment counts (&lt;= 224 d) produced non-feasibly high (&lt;= 21.7% body weight per day) instantaneous growth rates, based on the assumption that increment number relates to age (d). In the light of these results, the issues surrounding the application of SIA to merobenthic octopuses is discussed, particularly in relation to the lack of understanding in regard to stylet development in the early life history stages and the importance of validating age at first increment formation.</t>
  </si>
  <si>
    <t>[Doubleday, Zoe A.; White, Jimmy; Pecl, Gretta T.; Semmens, Jayson M.] Univ Tasmania, Inst Marine &amp; Antarctic Studies, Hobart, Tas 7001, Australia; [White, Jimmy] Univ Tasmania, Sch Zool, Hobart, Tas 7001, Australia</t>
  </si>
  <si>
    <t>Doubleday, ZA (corresponding author), Univ Tasmania, Inst Marine &amp; Antarctic Studies, Private Bag 49, Hobart, Tas 7001, Australia.</t>
  </si>
  <si>
    <t>zoeanned@utas.edu.au</t>
  </si>
  <si>
    <t>Pecl, Gretta/D-7267-2011; Doubleday, Zoe/N-9955-2013; Doubleday, Zoe/AAU-6278-2020; Doubleday, Zoe/N-9955-2013</t>
  </si>
  <si>
    <t>Pecl, Gretta/0000-0003-0192-4339; Doubleday, Zoe/0000-0003-0045-6377; Semmens, Jayson/0000-0003-1742-6692; Doubleday, Zoe/0000-0002-6850-3507</t>
  </si>
  <si>
    <t>Australian Research Council [C00107233]</t>
  </si>
  <si>
    <t>We thank Jono Ricketts for his assistance in providing octopus samples from Tasmania, and Megan Oliver and Darryl Sykes for overseeing the collection and storage of octopuses in New Zealand. We also thank Stephen Leporati and Leon Barmuta for their assistance in the project. The research was approved by the Animal Ethics Committee of the University of Tasmania under project number A0009286. Funding was provided through an Australian Research Council Linkage Grant awarded to JMS (C00107233).</t>
  </si>
  <si>
    <t>10.1093/icesjms/fsr135</t>
  </si>
  <si>
    <t>834SX</t>
  </si>
  <si>
    <t>WOS:000295985500009</t>
  </si>
  <si>
    <t>Janosik, AM; Halanych, KM</t>
  </si>
  <si>
    <t>Janosik, Alexis M.; Halanych, Kenneth M.</t>
  </si>
  <si>
    <t>Unrecognized Antarctic Biodiversity: A Case Study of the Genus Odontaster (Odontasteridae; Asteroidea) (vol 50, pg 981, 2010)</t>
  </si>
  <si>
    <t>INTEGRATIVE AND COMPARATIVE BIOLOGY</t>
  </si>
  <si>
    <t>Halanych, Kenneth/A-9480-2009</t>
  </si>
  <si>
    <t>Halanych, Kenneth/0000-0002-8658-9674</t>
  </si>
  <si>
    <t>1540-7063</t>
  </si>
  <si>
    <t>INTEGR COMP BIOL</t>
  </si>
  <si>
    <t>Integr. Comp. Biol.</t>
  </si>
  <si>
    <t>10.1093/icb/icr117</t>
  </si>
  <si>
    <t>836HK</t>
  </si>
  <si>
    <t>WOS:000296101600017</t>
  </si>
  <si>
    <t>Pearson, MD; Noller, HF</t>
  </si>
  <si>
    <t>Pearson, Michael D.; Noller, Harry F.</t>
  </si>
  <si>
    <t>The Draft Genome of Planococcus donghaensis MPA1U2 Reveals Nonsporulation Pathways Controlled by a Conserved Spo0A Regulon</t>
  </si>
  <si>
    <t>BACILLUS-SUBTILIS</t>
  </si>
  <si>
    <t>The Planococcaceae are extreme survivors, having been cultured from environments such as deep sea sediments, marine solar salterns, glaciers, permafrost, Antarctic deserts, and sea ice brine. The family contains both sporulating and nonsporulating genera. Here we present the unclosed, draft genome sequence of Planococcus donghaensis strain MPA1U2, a nonsporulating psychrotrophic bacterium isolated from surface coastal water of the Pacific Ocean.</t>
  </si>
  <si>
    <t>Univ Calif Santa Cruz, Dept Mol Cell &amp; Dev Biol, Santa Cruz, CA 95064 USA; Univ Calif Santa Cruz, Ctr Mol Biol, RNA, Santa Cruz, CA 95064 USA</t>
  </si>
  <si>
    <t>University of California System; University of California Santa Cruz; University of California System; University of California Santa Cruz</t>
  </si>
  <si>
    <t>Pearson, MD (corresponding author), Max Planck Inst Biophys Chem, Fassberg 11, D-37077 Gottingen, Germany.</t>
  </si>
  <si>
    <t>mpearso@gwdg.de</t>
  </si>
  <si>
    <t>NIH; NSF</t>
  </si>
  <si>
    <t>NIH(United States Department of Health &amp; Human ServicesNational Institutes of Health (NIH) - USA); NSF(National Science Foundation (NSF))</t>
  </si>
  <si>
    <t>This work was supported by grants from the NIH and NSF (to H.F.N.).</t>
  </si>
  <si>
    <t>10.1128/JB.05983-11</t>
  </si>
  <si>
    <t>836XW</t>
  </si>
  <si>
    <t>WOS:000296153400032</t>
  </si>
  <si>
    <t>Santora, JA; Reiss, CS</t>
  </si>
  <si>
    <t>Santora, Jarrod A.; Reiss, Christian S.</t>
  </si>
  <si>
    <t>Geospatial variability of krill and top predators within an Antarctic submarine canyon system</t>
  </si>
  <si>
    <t>SOUTH SHETLAND ISLANDS; EUPHAUSIA-SUPERBA; FUR SEALS; MEGAPTERA-NOVAEANGLIAE; SPATIAL-DISTRIBUTION; SCOTIA SEA; ECOSYSTEM; FISHERIES; PENGUINS; COMPETITION</t>
  </si>
  <si>
    <t>The spatial distribution patterns of krill, seabirds (penguin, petrel and albatross), fur seals and baleen whales were mapped in nearshore waters (&lt; 50 km from land) to investigate their habitat selection within two adjacent submarine canyons near Livingston Island, Antarctica. Three shipboard surveys were conducted (February 2005-2007), and an echosounder was used to measure the distribution and abundance of krill while simultaneously conducting visual surveys to map seabird and marine mammals. Using a multispecies approach, we test the hypothesis that spatial organization of krill and top predators co-vary according to fine-scale changes in bathymetry in the nearshore marine environment. GAMs are used to examine the effect of sea depth, slope and distance to isobaths on the spatial distribution and abundance of krill and predators. Spatial distribution patterns of krill and predators relate to fine-scale (1-10 km) changes in bathymetry and exhibit cross-shelf gradients in abundance. Krill were concentrated along the shelf-break and abundant within both submarine canyons. Predators exhibited different preferences for locations within the submarine canyon system that relates to their foraging behavior. Penguins concentrated closer to shore and within the head of the east submarine canyon immediately adjacent to a breeding colony. Whales were also concentrated over the head of the east canyon (overlapping with penguins), whereas albatrosses and fur seals were concentrated in the west canyon. Fur seals also showed preference for steep slopes and were concentrated along the shelf-break. Petrels exhibited peaks in abundance throughout both submarine canyons. Owing to their orientation, size and proximity to the coastline, submarine canyons provide important habitat heterogeneity for krill and a variety of predators. This study highlights the multispecies approach for studying spatial ecology of top predators and krill and has implications for marine spatial management of the Scotia Sea.</t>
  </si>
  <si>
    <t>[Santora, Jarrod A.] NOAA, SW Fisheries Ctr, Santa Cruz, CA 95060 USA; [Reiss, Christian S.] SW Fisheries Sci Ctr, Antarctic Ecosyst Res Div, La Jolla, CA 92037 USA</t>
  </si>
  <si>
    <t>Santora, JA (corresponding author), NOAA, SW Fisheries Ctr, 110 Shaffer Rd, Santa Cruz, CA 95060 USA.</t>
  </si>
  <si>
    <t>NOAA; Office of Polar Programs at the National Science Foundation [OPP-9983751, OPP-0633939]</t>
  </si>
  <si>
    <t>NOAA(National Oceanic Atmospheric Admin (NOAA) - USA); Office of Polar Programs at the National Science Foundation(National Science Foundation (NSF))</t>
  </si>
  <si>
    <t>We greatly appreciate the effort of Michael P. Force and Douglas J. Futuyma for collecting predator observations, the assistance of Anthony C. Cossio for processing acoustic data and Valerie J. Loeb for measuring krill length-frequency. We thank three anonymous reviewers for their comments that helped strengthen the paper. Support for this project was provided by NOAA's Antarctic Marine Living Resources program (contracts to JAS) and the Office of Polar Programs at the National Science Foundation (OPP-9983751 to RR Veit and OPP-0633939 to Joseph Warren and David Demer).</t>
  </si>
  <si>
    <t>10.1007/s00227-011-1753-0</t>
  </si>
  <si>
    <t>836DG</t>
  </si>
  <si>
    <t>WOS:000296088600013</t>
  </si>
  <si>
    <t>Carroll, EL; Patenaude, NJ; Childerhouse, SJ; Kraus, SD; Fewster, RM; Baker, CS</t>
  </si>
  <si>
    <t>Carroll, E. L.; Patenaude, N. J.; Childerhouse, S. J.; Kraus, S. D.; Fewster, R. M.; Baker, C. S.</t>
  </si>
  <si>
    <t>Abundance of the New Zealand subantarctic southern right whale population estimated from photo-identification and genotype mark-recapture</t>
  </si>
  <si>
    <t>MICROSATELLITE LOCI; EUBALAENA-AUSTRALIS; HUMPBACK WHALES; SURVIVAL; ERRORS; IDENTIFICATION; AMPLIFICATION; VALIDATION; PROGRAM; SAMPLES</t>
  </si>
  <si>
    <t>The abundance of New Zealand subantarctic southern right whales (Eubalaena australis) was estimated for the first time using mark-recapture methods based on photo-identification and microsatellite genotyping (13 loci). Individual identification photographs of 383 whales and microsatellite genotypes of 235 whales were collected during annual austral winter field surveys from 1995 to 1998. Given the 4-year survey period and lack of geographic and demographic closure, we estimated super-population abundance using the POPAN Jolly-Seber model implemented in the software programme MARK. Models with constant survivorship but time-varying capture probability and probability of entry into the population were the most suitable due to the survey design. This provided estimates of abundance in 1998 of 908 non-calf whales (95% C.L. = 755, 1,123) for the photo-identification and 910 non-calf whales (95% C.L. = 641, 1,354) for the microsatellite genotype data sets. The current estimate of 900 whales may represent less than 5% of the pre-whaling abundance in New Zealand waters.</t>
  </si>
  <si>
    <t>[Carroll, E. L.; Patenaude, N. J.; Baker, C. S.] Univ Auckland, Sch Biol Sci, Auckland 1, New Zealand; [Patenaude, N. J.] LGL Ltd, Environm Res Associates, King City, ON L7B 1A6, Canada; [Childerhouse, S. J.] Australian Antarctic Div, DSEWPC, Australian Marine Mammal Ctr, Kingston, Tas 7050, Australia; [Kraus, S. D.] New England Aquarium, Cent Wharf, Boston, MA 02110 USA; [Fewster, R. M.] Univ Auckland, Dept Stat, Auckland 1, New Zealand; [Baker, C. S.] Oregon State Univ, Hatfield Marine Sci Ctr, Dept Fisheries &amp; Wildlife, Newport, OR 97365 USA; [Baker, C. S.] Oregon State Univ, Marine Mammal Inst, Hatfield Marine Sci Ctr, Newport, OR 97365 USA</t>
  </si>
  <si>
    <t>University of Auckland; Australian Antarctic Division; University of Auckland; Oregon State University; Oregon State University</t>
  </si>
  <si>
    <t>Carroll, EL (corresponding author), Univ Auckland, Sch Biol Sci, Private Bag 92019, Auckland 1, New Zealand.</t>
  </si>
  <si>
    <t>ecar026@aucklanduni.ac.nz</t>
  </si>
  <si>
    <t>Carroll, Emma/U-9133-2019</t>
  </si>
  <si>
    <t>Carroll, Emma/0000-0003-3193-7288; Fewster, Rachel/0000-0002-4384-978X; Kraus, Scott/0000-0003-4367-6548</t>
  </si>
  <si>
    <t>Whale and Dolphin Conservation Society; U.S. Department of State; Auckland University Research Council; NZ Marsden Fund; DOC; Heseltine Trust; OMV NZ Ltd.; Tertiary Education Commission</t>
  </si>
  <si>
    <t>Whale and Dolphin Conservation Society; U.S. Department of State; Auckland University Research Council; NZ Marsden Fund(Royal Society of New ZealandMarsden Fund (NZ)); DOC; Heseltine Trust; OMV NZ Ltd.; Tertiary Education Commission</t>
  </si>
  <si>
    <t>Samples were collected under NZ Department of Conservation (DOC) Marine Mammal Research permit and University of Auckland Animal Ethics Committee approved protocol (to C. S. Baker) in the Auckland Islands. The 1995-1998 Auckland Islands field trips were funded by Whale and Dolphin Conservation Society, the U.S. Department of State (Program for Cooperative US/NZ Antarctic Research), the Auckland University Research Council and the NZ Marsden Fund. Logistic support was given by the Southland DOC Conservancy University of Auckland and the Australian Antarctic Division. We thank the Captain and crew of the 'Evohe' for their help and support in the field. Laboratory work was funded by the NZ Marsden Fund, DOC, the Heseltine Trust and an OMV NZ Ltd. Scholarship to EC. EC was supported by a Tertiary Education Commission Top Achiever Scholarship. Thanks to Rochelle Constantine, Jennifer Jackson and two anonymous reviewers who provided helpful comments on an earlier version of the manuscript.</t>
  </si>
  <si>
    <t>10.1007/s00227-011-1757-9</t>
  </si>
  <si>
    <t>WOS:000296088600016</t>
  </si>
  <si>
    <t>Gil, DG; Escudero, G; Zaixso, HE</t>
  </si>
  <si>
    <t>Gil, Damian G.; Escudero, Graciela; Zaixso, Hector E.</t>
  </si>
  <si>
    <t>Brooding and development of Anasterias minuta (Asteroidea: Forcipulata) in Patagonia, Argentina</t>
  </si>
  <si>
    <t>ANTARCTIC SEA STAR; REPRODUCTIVE EFFORT; BENTHIC DEVELOPMENT; COMMUNITY STRUCTURE; WAVE EXPOSURE; ADULT SIZE; ECHINODERMATA; LARVAL; EVOLUTION; CYCLE</t>
  </si>
  <si>
    <t>Brooding, embryonic and larval development, and the influence of environmental and biological factors in tidepool habitats were studied in the sea star, Anasterias minuta, at various sites along similar to 220 km of the Patagonian coast. This species has a benthic, lecithotrophic development that includes eight distinct developmental stages. A larval organ, the connection cord, is developed from a small preoral lobe at early stages of development and becomes larger and thinner at advanced stages. Fecundity and average egg size increased with female body size. The regression of log egg number to log sea-star size and weight at different sites had a slope significantly less than 3.0, resulting in negative allometry and indicating that brood capacity was limited in large females. Development was generally synchronous among sites, but varied within each brood at advanced stages, with more developed brooded larvae located at the periphery of the brood mass. Brooding was synchronous among various populations at different years and spatial scales, and extended over a period of 8 months. The highest proportion of brooding females occurred during May and June (austral winter). Juveniles were released mainly during September. The likelihood of finding brooding sea stars decreased with increasing sea water temperature, tidal height, and wave exposure, and increased with increasing body size. Both body size of brooding females and brooding rate were higher in the infralittoral fringe than at midlittoral levels. A revision of the current model of brooding behavior and development among forcipulate sea stars is given.</t>
  </si>
  <si>
    <t>[Gil, Damian G.; Zaixso, Hector E.] Univ Nacl Patagonia San Juan Bosco UNPSJB, Inst Desarrollo Costero, RA-9000 Comodoro Rivadavia, Chubut, Argentina; [Gil, Damian G.] FCN UNPSJB, Dept Gen Biol, RA-9000 Comodoro Rivadavia, Chubut, Argentina; [Escudero, Graciela] Ctr Nacl Patagon CENPAT, Puerto Madryn, Chubut, Argentina; [Zaixso, Hector E.] Consejo Nacl Invest Cient &amp; Tecn CONICET, Buenos Aires, DF, Argentina</t>
  </si>
  <si>
    <t>Universidad Nacional de la Patagonia San Juan Bosco; Centro Nacional Patagonico (CENPAT); Consejo Nacional de Investigaciones Cientificas y Tecnicas (CONICET)</t>
  </si>
  <si>
    <t>Gil, DG (corresponding author), Univ Nacl Patagonia San Juan Bosco UNPSJB, Inst Desarrollo Costero, Ciudad Univ,Km 4, RA-9000 Comodoro Rivadavia, Chubut, Argentina.</t>
  </si>
  <si>
    <t>gil_damian@hotmail.com</t>
  </si>
  <si>
    <t>Gil, Damian Gaspar/ABF-8094-2021</t>
  </si>
  <si>
    <t>Gil, Damian Gaspar/0000-0002-8084-2181</t>
  </si>
  <si>
    <t>10.1007/s00227-011-1760-1</t>
  </si>
  <si>
    <t>WOS:000296088600018</t>
  </si>
  <si>
    <t>Bowie, AR; Griffiths, FB; Dehairs, F; Trull, TW</t>
  </si>
  <si>
    <t>Bowie, Andrew R.; Griffiths, F. Brian; Dehairs, Frank; Trull, Thomas W.</t>
  </si>
  <si>
    <t>Oceanography of the subantarctic and Polar Frontal Zones south of Australia during summer: Setting for the SAZ-Sense study</t>
  </si>
  <si>
    <t>Subantarctic ocean; Water column structure; Nutrient distributions; Chlorophyll distributions</t>
  </si>
  <si>
    <t>PRIMARY PRODUCTIVITY; IRON FERTILIZATION; SEASONAL EVOLUTION; OCEAN; CHLOROPHYLL; GROWTH; AVAILABILITY; VARIABILITY; SECTION; SECTOR</t>
  </si>
  <si>
    <t>This paper provides a description of the physical and chemical properties (temperature, salinity, macro-nutrient, and oxygen concentrations) and bulk biomass indicators (chlorophyll and beam attenuation) prevailing in the subantarctic zone and polar front zones south of Tasmania (Australia) during the 'Sensitivity of the subantarctic zone to environmental change' (SAZ-Sense) expedition carried out in the austral summer of 2007. Phytoplankton biomass showed a characteristic north-south gradient of decreasing chlorophyll from the subantarctic zone to Polar Frontal Zone, as well as a zonal gradient in the northern subantarctic zone, with an increase in chlorophyll from southwest to southeast of Tasmania. The representativeness of the observations was assessed by comparison to previous studies including satellite observation of chlorophyll biomass over a 10-year period. We consider the possible role of spatial differences in: (i) ocean water masses and frontal systems, (ii) upper mixed layer stratification at three process stations, and (iii) nutrient availability, in controlling the observed variations in phytoplankton biomass in the region. Zonal gradients of the basic oceanographic physical and chemical conditions in the subantarctic zone were relatively small and therefore unlikely to control the three-fold west-to-east differences observed in the accumulation of phytoplankton biomass. The zonal variation in subantarctic zone chlorophyll biomass appears to be driven at least partly by greater micro-nutrient (iron) supply to the waters east of Tasmania, as reported also by others (Bowie et al., 2009; Mongin et al., 2011a). Despite this condition, the region of higher phytoplankton biomass to the southeast of Tasmania was only marginally more productive than the region of lower biomass west of Tasmania and south of the polar front, and exported less particulate carbon than the lower biomass waters (Jacquet et al., 2011). (C) 2011 Elsevier Ltd. All rights reserved.</t>
  </si>
  <si>
    <t>[Bowie, Andrew R.; Griffiths, F. Brian; Trull, Thomas W.] Univ Tasmania, ACE CRC, Hobart, Tas 7001, Australia; [Griffiths, F. Brian; Trull, Thomas W.] CSIRO Div Marine &amp; Atmospher Res, Hobart, Tas 7001, Australia; [Dehairs, Frank] Vrije Univ Brussel, Earth Syst Sci Res Grp, Brussels, Belgium; [Dehairs, Frank] Vrije Univ Brussel, Analyt &amp; Environm Chem Dept, Brussels, Belgium; [Trull, Thomas W.] Univ Tasmania, Inst Marine &amp; Antarctic Studies, Hobart, Tas 7001, Australia</t>
  </si>
  <si>
    <t>University of Tasmania; Antarctic Climate &amp; Ecosystems Cooperative Research Centre (ACE CRC); Commonwealth Scientific &amp; Industrial Research Organisation (CSIRO); Vrije Universiteit Brussel; Vrije Universiteit Brussel; University of Tasmania</t>
  </si>
  <si>
    <t>Bowie, AR (corresponding author), Univ Tasmania, ACE CRC, Private Bag 80, Hobart, Tas 7001, Australia.</t>
  </si>
  <si>
    <t>Andrew.Bowie@utas.edu.au</t>
  </si>
  <si>
    <t>Trull, Tom W/B-7028-2014; Bowie, Andrew/C-8677-2013</t>
  </si>
  <si>
    <t>Bowie, Andrew/0000-0002-5144-7799</t>
  </si>
  <si>
    <t>Australian Government Cooperative Research Centres through the Antarctic Climate and Ecosystems CRC (ACE CRC); Australian Antarctic Science project [2720]</t>
  </si>
  <si>
    <t>Australian Government Cooperative Research Centres through the Antarctic Climate and Ecosystems CRC (ACE CRC)(Australian GovernmentDepartment of Industry, Innovation and ScienceCooperative Research Centres (CRC) Programme); Australian Antarctic Science project</t>
  </si>
  <si>
    <t>We would like to thank the captain, officers and crew of the RSV Aurora Australis for their help during SAZ-Sense. We are grateful to Richard Matear for preparation of Fig. 8, Mark Rosenberg and the hydrography team for provision of CTD data, Miguel de Salas for provision of chlorophyll a data, Neil Johnson and Alicia Navidad for nutrients analysis, and Alan Poole and Aaron Spurr for technical support. This research was supported by the Australian Government Cooperative Research Centres Programme through the Antarctic Climate and Ecosystems CRC (ACE CRC) and Australian Antarctic Science project #2720.</t>
  </si>
  <si>
    <t>21-22</t>
  </si>
  <si>
    <t>10.1016/j.dsr2.2011.05.033</t>
  </si>
  <si>
    <t>831WS</t>
  </si>
  <si>
    <t>WOS:000295762400002</t>
  </si>
  <si>
    <t>Herraiz-Borreguero, L; Rintoul, SR</t>
  </si>
  <si>
    <t>Herraiz-Borreguero, Laura; Rintoul, Stephen Rich</t>
  </si>
  <si>
    <t>Regional circulation and its impact on upper ocean variability south of Tasmania</t>
  </si>
  <si>
    <t>Subantarctic Mode Water variability; Antarctic Intermediate Water; Subantarctic Zone; Mesoscale features</t>
  </si>
  <si>
    <t>POLAR FRONTAL ZONES; BAROCLINIC TRANSPORT VARIABILITY; ANTARCTIC CIRCUMPOLAR CURRENT; AUSTRALIA; EXPORT; IRON</t>
  </si>
  <si>
    <t>Ocean colour images of the Subantarctic Zone (SAZ) south of Tasmania show a higher biomass in the east than in the west. To identify the main features of the regional circulation and the physical drivers of the east/west contrast, we used World Ocean Circulation Experiment hydrographic sections SR3 and P11S (west and east of Tasmania, respectively), Argo float profiles and trajectories, and high resolution climatology. The East Australian Current and the Tasman Outflow are the mechanisms driving the variability in the eastern Subantarctic Zone. This region has a weak flow and an enhanced input of subtropical waters through eddies, interleaving and a subsurface salinity maximum intruding from the north to south. In the western Subantarctic Zone, the regional circulation is dominated by a northwestward circulation and a deep reaching anticyclonic recirculation. The South Tasman Rise acts as a barrier, inhibiting exchange between waters southeast and southwest of Tasmania. The regional circulation and mixing processes result in the strong contrast in water properties between the eastern and western Subantarctic Zone: cooler and fresher in the west and warmer and saltier in the east. The Subantarctic Mode Water (SAMW) pycnostad is more prominent in the west, with a local variety of SAMW associated with the anticyclonic recirculation west of the South Tasman Rise. Antarctic Intermediate Water (AAIW) formed in the southeastern Pacific and southwestern Atlantic Oceans meet in the SAZ south of Tasmania. Cool, fresh, and well-ventilated AAIW is found in the west and southeast SAZ. Relatively warm, salty and low oxygen AAIW enters the SAZ from the Tasman Sea, after having traversed the Pacific Ocean subtropical gyre. Enhanced input of subtropical water high in micronutrients (such as iron) in the east likely supports the higher surface biomass observed there. The physical processes responsible for maintaining the east/west contrast south of Tasmania (e.g. regional circulation, eddies and intrusions) are likely to drive variability in physical and biogeochemical properties of SAMW. AAIW, and the Subantarctic Zone elsewhere in the Southern Ocean. (C) 2011 Elsevier Ltd. All rights reserved.</t>
  </si>
  <si>
    <t>[Herraiz-Borreguero, Laura; Rintoul, Stephen Rich] Antarctic Climate &amp; Ecosyst Cooperat Res Ctr, Hobart, Tas, Australia</t>
  </si>
  <si>
    <t>Antarctic Climate &amp; Ecosystems Cooperative Research Centre (ACE CRC)</t>
  </si>
  <si>
    <t>Herraiz-Borreguero, L (corresponding author), Antarctic Climate &amp; Ecosyst Cooperat Res Ctr, Hobart, Tas, Australia.</t>
  </si>
  <si>
    <t>lherraiz@utas.edu.au</t>
  </si>
  <si>
    <t>Rintoul, Stephen R/A-1471-2012; Herraiz-Borreguero, Laura/D-5795-2015</t>
  </si>
  <si>
    <t>Rintoul, Stephen R/0000-0002-7055-9876; Herraiz-Borreguero, Laura/0000-0002-4455-801X</t>
  </si>
  <si>
    <t>Australian Government Cooperative Research Centres through Antarctic Climate and Ecosystems CRC (ACE CRC); Australian Antarctic Science project [2720]; CSIRO-University of Tasmania</t>
  </si>
  <si>
    <t>Australian Government Cooperative Research Centres through Antarctic Climate and Ecosystems CRC (ACE CRC)(Australian GovernmentDepartment of Industry, Innovation and ScienceCooperative Research Centres (CRC) Programme); Australian Antarctic Science project; CSIRO-University of Tasmania(Commonwealth Scientific &amp; Industrial Research Organisation (CSIRO))</t>
  </si>
  <si>
    <t>The ARGO data were collected and made freely available by the International ARGO Project and the national programs that contribute to it (http://www.argo.ucsd.edu/, http://wo.jcommops.org/cgi-bin/WebObjects/Argo). CSIRO Atlas of Regional Seas (CARS2006a) was provided by J. Dunn and K. Ridgway (http://www.marine.csiro.au/similar to dunn/cars2006/). This research was supported by the Australian Government Cooperative Research Centres Program through the Antarctic Climate and Ecosystems CRC (ACE CRC) and Australian Antarctic Science project #2720. LHB is supported by a joint CSIRO-University of Tasmania Ph.D. scholarship in Quantitative Marine Science.</t>
  </si>
  <si>
    <t>10.1016/j.dsr2.2011.05.022</t>
  </si>
  <si>
    <t>WOS:000295762400003</t>
  </si>
  <si>
    <t>Mongin, M; Matear, R; Chamberlain, M</t>
  </si>
  <si>
    <t>Mongin, Mathieu; Matear, Richard; Chamberlain, Matthew</t>
  </si>
  <si>
    <t>Seasonal and spatial variability of remotely sensed chlorophyll and physical fields in the SAZ-Sense region</t>
  </si>
  <si>
    <t>Sub-Antarctic Zone; High nutrient low chlorophyll; Chlorophyll-a; Sea surface temperature; Mesoscale variability</t>
  </si>
  <si>
    <t>ANTARCTIC ZONE SOUTH; POLAR FRONTAL ZONES; AUSTRALIAN SECTOR; OCEAN; IRON; DISTRIBUTIONS; CIRCULATION; EVOLUTION; SECTION; MODEL</t>
  </si>
  <si>
    <t>The Sub Antarctic Zone Sensitivity to environmental change (SAZ-Sense) project focused on the northern boundary of the Southern Ocean south of Tasmania where there is a persistent and large summer zonal gradient in remote sensed ocean color surface chlorophyll (Chl). This paper presents the seasonality and spatial variability of surface Chl, nutrients, temperature, light availability in the region. First, we verify that remotely sensed ocean color zonal gradient reflects a real gradient in Chl. From seasonal and spatial patterns in the region, we conclude that neither temperature, macro-nutrients nor light availability can account for the observed large zonal gradient in the surface Chl. Other factors such as iron or ecosystem structure must explain the gradient. We also explore variability in the remote sensed observations during the cruise. At the SAZ east station, there is high mesoscale variability with corresponding high variability in Chl concentrations, with the spatial variability around the station exceeding the expected difference between the SAZ east and SAZ west processes stations. The interpretation of the collected cruise station data, particularly at the SAZ east site needs to consider mesoscale variability. Comparison of Seawifs images with cruise data shows good agreement, particularly for low Chl values (less than 1.5 mg m(-3)). (C) 2011 Elsevier Ltd. All rights reserved.</t>
  </si>
  <si>
    <t>[Mongin, Mathieu; Matear, Richard; Chamberlain, Matthew] CSIRO Marine &amp; Atmospher Res, Hobart, Tas 7001, Australia; [Mongin, Mathieu] Antarctic Climate &amp; Ecosyst CRC, Hobart, Tas 7001, Australia</t>
  </si>
  <si>
    <t>Commonwealth Scientific &amp; Industrial Research Organisation (CSIRO); University of Tasmania</t>
  </si>
  <si>
    <t>Mongin, M (corresponding author), CSIRO Marine &amp; Atmospher Res, Hobart, Tas 7001, Australia.</t>
  </si>
  <si>
    <t>Mathieu.Mongin@csiro.au</t>
  </si>
  <si>
    <t>Chamberlain, Matthew/D-4805-2012; mongin, mathieu/G-4169-2015; matear, richard/C-5133-2011</t>
  </si>
  <si>
    <t>mongin, mathieu/0000-0001-9647-0530; matear, richard/0000-0002-3225-0800; Chamberlain, Matthew/0000-0002-3287-3282</t>
  </si>
  <si>
    <t>Australian Commonwealth Cooperative Research Centres the CSIRO Wealth; Australian Climate change science programme</t>
  </si>
  <si>
    <t>Australian Commonwealth Cooperative Research Centres the CSIRO Wealth(Australian GovernmentDepartment of Industry, Innovation and ScienceCooperative Research Centres (CRC) Programme); Australian Climate change science programme</t>
  </si>
  <si>
    <t>We thank Andrew Bowie, Brian Griffiths and Thomas Trull for insightful discussions, as well as Andrew Lenton and 3 anonymous reviewers for constructive comments. This work was funded by the Australian Commonwealth Cooperative Research Centres Program the CSIRO Wealth from Ocean Flagship and Australian Climate change science programme.</t>
  </si>
  <si>
    <t>10.1016/j.dsr2.2011.06.002</t>
  </si>
  <si>
    <t>WOS:000295762400004</t>
  </si>
  <si>
    <t>Lannuzel, D; Bowie, AR; Remenyi, T; Lam, P; Townsend, A; Ibisanmi, E; Butler, E; Wagener, T; Schoemann, V</t>
  </si>
  <si>
    <t>Lannuzel, Delphine; Bowie, Andrew R.; Remenyi, Tomas; Lam, Phoebe; Townsend, Ashley; Ibisanmi, Enitan; Butler, Edward; Wagener, Thibaut; Schoemann, Veronique</t>
  </si>
  <si>
    <t>Distributions of dissolved and particulate iron in the sub-Antarctic and Polar Frontal Southern Ocean (Australian sector)</t>
  </si>
  <si>
    <t>Iron; Distributions; Macro-nutrients; Biogeochemistry; Southern Ocean</t>
  </si>
  <si>
    <t>PHYTOPLANKTON GROWTH; SILICIC-ACID; CHEMILUMINESCENCE DETECTION; CIRCUMPOLAR CURRENT; SEASONAL EVOLUTION; EXPERIMENT SOFEX; FLOW-INJECTION; CARBON-DIOXIDE; PACIFIC SECTOR; ZONES SOUTH</t>
  </si>
  <si>
    <t>This paper presents iron (Fe) profiles in the upper 1000 m from nine short-term (transect) stations and three long-term (process) stations occupied in the Australian sector of the Southern Ocean during the SAZ-Sense expedition in austral summer (January-February) 2007. Strong vertical and horizontal gradients in Fe concentrations were observed between the 18 sampled profiles (i.e. 0.09-0.63 nmol/l dissolved Fe (dFe)). Average dFe concentrations in surface gggwaters in the northern Sub-Antarctic Zone (SAZ-N) West (station P1) were 0.27 +/- 0.04 nmol/l. This is lower in the SAZ-N East region (station P3 and around) where average dFe values in the mixed layer were 0.48 +/- 0.10 nmol/l. The Polar Front (PF) station (P2) exhibited the lowest average surface Fe values (i.e., 0.22 +/- 0.02 nmol/l). Iron concentrations in deep waters down to 1000 m were more uniform (0.25-0.37 nmol/l dFe), which is in accordance with values reported elsewhere in remote waters of the Southern Ocean, but lower than those observed in the North Atlantic and North Pacific basins. A strong decoupling was observed between dFe and nutrient cycles at all stations. Particulate Fe levels were generally very low for all SAZ stations ( &lt;0.08-1.38 nmol/l), with higher values observed at stations collected near Tasmania and in the SAZ-N East region. The intrusion of subtropical waters, enriched with Fe from sediments or dust further north, is thought to mediate Fe input to the SAZ-N and STZ areas, while input from below would be the main source of Fe in the PF region. We applied the tracer Fe* (Fe*= [dFe] - R-Fe:p x [PO43-] where R-Fe:P is the algal uptake ratio) to estimate the degree to which the water masses were Fe limited. In this study, Fe* tended to be negative and decreased with increasing depths and latitude. Positive Fe* values. indicating Fe sufficiency, were observed in the (near-)surface waters collected in the SAZ-N East and near continental sources, where primary production was higher and ultimately limited by the lack of macro-nutrients, not Fe. Micro-organisms residing in the SAZ-N West and PF on the other hand experienced negative Fe*, indicating a strong co-limitation by low silicic acid concentration and Fe supply (and light in the case of PF). (C) 2011 Elsevier Ltd. All rights reserved.</t>
  </si>
  <si>
    <t>[Lannuzel, Delphine; Bowie, Andrew R.; Remenyi, Tomas] Univ Tasmania, Antarctic Climate &amp; Ecosyst CRC, Hobart, Tas 7001, Australia; [Lannuzel, Delphine] Univ Tasmania, Inst Marine &amp; Antarctic Studies, Hobart, Tas 7001, Australia; [Lam, Phoebe] Woods Hole Oceanog Inst, Woods Hole, MA 02543 USA; [Townsend, Ashley] Univ Tasmania, Cent Sci Lab, Hobart, Tas 7001, Australia; [Ibisanmi, Enitan] Univ Otago, Dept Chem, Dunedin, New Zealand; [Butler, Edward] Ctr Australian Weather &amp; Climate Res, Hobart, Tas 7001, Australia; [Wagener, Thibaut] CNRS, UMR Caserne Nicolas 7093, Lab Oceanog Villefranche, F-06238 Villefranche Sur Mer, France; [Schoemann, Veronique] Univ Libre Brussels, Fac Sci, B-1050 Brussels, Belgium</t>
  </si>
  <si>
    <t>University of Tasmania; University of Tasmania; Woods Hole Oceanographic Institution; University of Tasmania; University of Otago; Commonwealth Scientific &amp; Industrial Research Organisation (CSIRO); Sorbonne Universite; Centre National de la Recherche Scientifique (CNRS); Universite Libre de Bruxelles</t>
  </si>
  <si>
    <t>Lannuzel, D (corresponding author), Univ Tasmania, Antarctic Climate &amp; Ecosyst CRC, Private Bag 80, Hobart, Tas 7001, Australia.</t>
  </si>
  <si>
    <t>delphine.lannuzel@utas.edu.au</t>
  </si>
  <si>
    <t>Lam, Phoebe/GQQ-7325-2022; Townsend, Ashley/J-7445-2014; lannuzel, delphine/J-7937-2014; Bowie, Andrew/C-8677-2013</t>
  </si>
  <si>
    <t>Townsend, Ashley/0000-0002-2972-2678; Remenyi, Tomas/0000-0002-4145-9323; Lam, Phoebe J./0000-0001-6609-698X; lannuzel, delphine/0000-0001-6154-1837; wagener, thibaut/0000-0002-3968-0678; Bowie, Andrew/0000-0002-5144-7799; Butler, Edward/0000-0002-6660-3985</t>
  </si>
  <si>
    <t>Belgian Federal Science Policy Office [SD/CA/03A, 0A/00/025]; Australian Government Cooperative Research Centres through Antarctic Climate and Ecosystems CRC (ACE CRC); Australian Antarctic Science project [2720]; European Network of Excellence EUR-OCEANS [511106-2]</t>
  </si>
  <si>
    <t>Belgian Federal Science Policy Office(Belgian Federal Science Policy Office); Australian Government Cooperative Research Centres through Antarctic Climate and Ecosystems CRC (ACE CRC)(Australian GovernmentDepartment of Industry, Innovation and ScienceCooperative Research Centres (CRC) Programme); Australian Antarctic Science project; European Network of Excellence EUR-OCEANS</t>
  </si>
  <si>
    <t>We would like to thank the captain, officers and crew of the RSV Aurora Australis for all their support during SAZ-Sense. We are grateful to Mark Rosenberg and the CTD team for temperature and salinity data, to Neil Johnson and Alicia Navidad for nutrients analysis, and to Alan Poole and Aaron Spurr for technical support. This research was supported by the Belgian Federal Science Policy Office (Contracts SD/CA/03A, 0A/00/025), the Australian Government Cooperative Research Centres Program through the Antarctic Climate and Ecosystems CRC (ACE CRC) and Australian Antarctic Science project #2720. This study is also a contribution to the SOLAS international research initiative and the European Network of Excellence EUR-OCEANS (Contract no.511106-2).</t>
  </si>
  <si>
    <t>10.1016/j.dsr2.2011.05.027</t>
  </si>
  <si>
    <t>WOS:000295762400005</t>
  </si>
  <si>
    <t>Ibisanmi, E; Sander, SG; Boyd, PW; Bowie, AR; Hunter, KA</t>
  </si>
  <si>
    <t>Ibisanmi, Enitan; Sander, Sylvia G.; Boyd, Philip W.; Bowie, Andrew R.; Hunter, Keith A.</t>
  </si>
  <si>
    <t>Vertical distributions of iron-(III) complexing ligands in the Southern Ocean</t>
  </si>
  <si>
    <t>Iron biogeochemistry; Distributions; Iron; Ligands; Seawater; Southern Ocean</t>
  </si>
  <si>
    <t>CATHODIC STRIPPING VOLTAMMETRY; EQUATORIAL PACIFIC-OCEAN; NATURAL ORGANIC-LIGANDS; NORTHEAST ATLANTIC-OCEAN; IRON-BINDING LIGANDS; FRONTAL ZONES SOUTH; SAZ-SENSE; PHYTOPLANKTON BLOOM; COPPER COMPLEXATION; CHEMICAL SPECIATION</t>
  </si>
  <si>
    <t>Electrochemically derived iron speciation data from four vertical profiles to 1000 m depth were obtained during the SAZ-Sense voyage to offshore waters south of Australia in summer (January/February, 2007). The dual aims of this study were firstly to devise a new operational definition to represent the 'complexing capacity', or total concentration of iron-complexing ligands, and subsequently derive vertical profiles of these ligand classes. Secondly, to compare the vertical trends for each ligand class with vertical distributions in oceanic properties thought to control ligand production (i.e. siderophores produced by bacteria and particle remineralisation). Based on simulated ligand titrations, we operationally defined Sigma L as the overall class of ligands, which represents all iron-complexing ligands detectable under the analytical conditions chosen. The stability constant of Sigma L is a weighted average for these ligands. The ligand titration data suggests the presence of an excess of iron-complexing ligands throughout the water column with an average concentration of [Sigma L]=0.75 +/- 0.20 nM (n=47), and an average stability constant of log KFeSL.Fe3+ = 21.50 +/- 0.24 (n=47). Here, based on the range of observed stability constants we define a distinctly different class of extremely strong ligands (L-1) to be the ligand class with a stability constant of log KFeL1.Fe3+ &gt;= 22, whereas Sigma L ranged from 21.00 to 21.95 for log KFeL1.Fe3+ . L-1 had an average concentration and stability constant of 0.42 +/- 0.10 nM (n =14) and 22.97 +/- 0.48 (n =14), respectively. L-1 was only found in three of the four depth profiles, and was restricted to the upper ocean (i.e. &lt; 200 m depth), whereas Sigma L was observed at all sampling depths down to 1000 m. Heterotrophic bacterial abundances (a proxy for siderophore production) were always the highest in the surface mixed layer (50-72 m depth for the 4 stations) then decreased sharply, whereas POC downward flux (a proxy for remineralisation) was greatest below the surface mixed layer then decreased exponentially. It has been suggested that siderophores control L-1 production whereas the remainder of Sigma L may be set by particle breakdown (Hunter and Boyd, 2007). Hence we should expect some vertical partitioning of L-1 (present &lt; 70 m depth) and Sigma L (present over the water column). However, profiles at all stations in subtropical, subantarctic, and polar waters exhibited distinguishable concentrations of L-1 to 200 m depth (i.e. straddling both regions of putative L-1 and Sigma L production). There remain issues with the separation of different ligand classes, such that since [L-1] &lt;= [Fe], deeper in the water column, the concentration of L-1 cannot be resolved, and hence the provenance of both L-1 and Sigma L cannot be clearly assigned. (C) 2011 Elsevier Ltd. All rights reserved.</t>
  </si>
  <si>
    <t>[Ibisanmi, Enitan; Boyd, Philip W.] Univ Otago, Dept Chem, Natl Inst Water &amp; Atmospher Res, Ctr Chem &amp; Phys Oceanog, Dunedin, New Zealand; [Bowie, Andrew R.] Univ Tasmania, Antarctic Climate &amp; Ecosyst CRC, Hobart, Tas, Australia</t>
  </si>
  <si>
    <t>National Institute of Water &amp; Atmospheric Research (NIWA) - New Zealand; University of Otago; University of Tasmania</t>
  </si>
  <si>
    <t>Ibisanmi, E (corresponding author), Univ Otago, Dept Chem, Natl Inst Water &amp; Atmospher Res, Ctr Chem &amp; Phys Oceanog, POB 56, Dunedin, New Zealand.</t>
  </si>
  <si>
    <t>eibisanmi@chemistry.otago.ac.nz</t>
  </si>
  <si>
    <t>Sander, Sylvia/AAC-3559-2022; Boyd, Philip/J-7624-2014; Bowie, Andrew/C-8677-2013</t>
  </si>
  <si>
    <t>Sander, Sylvia/0000-0001-9581-9737; Boyd, Philip/0000-0001-7850-1911; Bowie, Andrew/0000-0002-5144-7799</t>
  </si>
  <si>
    <t>University of Otago; National Institute of Water and Atmospheric Research (NIWA); Australian Government Cooperative Research Centres through Antarctic Climate and Ecosystems CRC (ACE CRC); Australian Antarctic Science project [2720]</t>
  </si>
  <si>
    <t>University of Otago; National Institute of Water and Atmospheric Research (NIWA); Australian Government Cooperative Research Centres through Antarctic Climate and Ecosystems CRC (ACE CRC)(Australian GovernmentDepartment of Industry, Innovation and ScienceCooperative Research Centres (CRC) Programme); Australian Antarctic Science project</t>
  </si>
  <si>
    <t>Special thanks to the officers and crew of the Aurora Australis who made this work possible. We thank Mark Rosenberg (hydrography and nutrients), Isabelle Dumont (bacteria), Frank Dehairs's group (POC), and the trace metal clean sampling team on board. We also wish to thank Imelda Velasquez for her helpful comments. We acknowledge financial support from both the University of Otago and the National Institute of Water and Atmospheric Research (NIWA). This research was partially supported by the Australian Government Cooperative Research Centres Programme through the Antarctic Climate and Ecosystems CRC (ACE CRC) and Australian Antarctic Science project #2720.</t>
  </si>
  <si>
    <t>10.1016/j.dsr2.2011.05.028</t>
  </si>
  <si>
    <t>WOS:000295762400006</t>
  </si>
  <si>
    <t>Simulation of chlorophyll and iron supplies in the Sub Antarctic Zone South of Australia</t>
  </si>
  <si>
    <t>Iron; Chlorophyll; HNLC; Sub Antarctic Zone; Dust</t>
  </si>
  <si>
    <t>POLAR FRONTAL ZONES; COASTAL PHYTOPLANKTON; DATA ASSIMILATION; DISSOLVED IRON; SAZ-SENSE; OCEAN; VARIABILITY; SECTION; MODEL; DUST</t>
  </si>
  <si>
    <t>The Sub Antarctic Zone (SAZ) is part of the high nutrient low chlorophyll region of the Southern Ocean where low iron availability limits phytoplankton productivity. In the Tasman Sea, the SAZ displays a unique and large zonal gradient in the surface chlorophyll concentrations. In situ measurements show higher dissolved iron in the east than in the west which could explain the zonal chlorophyll gradient. To assess and quantify the major sources of iron in this region, we use an eddy-resolving model to simulate the dissolved Fe distribution arising from both the shelf and the dust supply of iron. The simulation showed that dissolved Fe from the shelf is only transported eastward to about 155 E and the shelf source of dissolved iron is unable to supply iron to the entire Tasman Sea SAZ region even when we assume that there no iron losses. The simulation with the atmospheric source of iron showed that through a combination of atmospheric transport and ocean transport, enough dissolved Fe can be supplied to the entire Tasman Sea SAZ region to relieve iron limitation. From the model simulations, we conclude that atmospheric iron supply is essential to generating the observed gradient of the chlorophyll in the SAZ region of the Tasman Sea. (C) 2011 Elsevier Ltd. All rights reserved.</t>
  </si>
  <si>
    <t>[Matear, Richard; Chamberlain, Matthew] CSIRO Marine &amp; Atmospher Res, Hobart, Tas 7001, Australia; [Mongin, Mathieu] Antarctic Climate &amp; Ecosyst CRC, Hobart, Tas 7001, Australia</t>
  </si>
  <si>
    <t>Chamberlain, Matthew/0000-0002-3287-3282; mongin, mathieu/0000-0001-9647-0530; matear, richard/0000-0002-3225-0800</t>
  </si>
  <si>
    <t>Australian Government Cooperative Research Centres through Antarctic Climate and Ecosystems CRC (ACE CRC); CSIRO; Australian Climate Change Science Programme</t>
  </si>
  <si>
    <t>Australian Government Cooperative Research Centres through Antarctic Climate and Ecosystems CRC (ACE CRC)(Australian GovernmentDepartment of Industry, Innovation and ScienceCooperative Research Centres (CRC) Programme); CSIRO(Commonwealth Scientific &amp; Industrial Research Organisation (CSIRO)); Australian Climate Change Science Programme</t>
  </si>
  <si>
    <t>We thank Andrew Bowie, Andrew Lenton and Brian Griffiths for insightful discussions and 2 anonymous reviewers for their constructive comments and reviews. This research was supported by the Australian Government Cooperative Research Centres Programme through the Antarctic Climate and Ecosystems CRC (ACE CRC), the CSIRO Wealth from Ocean Flagship and Australian Climate Change Science Programme.</t>
  </si>
  <si>
    <t>10.1016/j.dsr2.2011.06.001</t>
  </si>
  <si>
    <t>WOS:000295762400007</t>
  </si>
  <si>
    <t>de Salas, MF; Eriksen, R; Davidson, AT; Wright, SW</t>
  </si>
  <si>
    <t>de Salas, Miguel F.; Eriksen, Ruth; Davidson, Andrew T.; Wright, Simon W.</t>
  </si>
  <si>
    <t>Protistan communities in the Australian sector of the Sub-Antarctic Zone during SAZ-Sense</t>
  </si>
  <si>
    <t>Southern Ocean; Marine protists; Phytoplankton; Protozoa; Pigments; CHEMTAX; Iron; Silica</t>
  </si>
  <si>
    <t>POLAR FRONTAL ZONES; NATURAL IRON FERTILIZATION; SOUTHERN-OCEAN; PRIMARY PRODUCTIVITY; EMILIANIA-HUXLEYI; CARBON EXPORT; CROZET BASIN; PHYTOPLANKTON; VARIABILITY; PIGMENT</t>
  </si>
  <si>
    <t>Protistan species composition and abundance in the Sub-Antarctic Zone (SAZ) and Polar Front Zone (PET) south of Tasmania were determined by microscopy and pigment analysis from samples collected during the Sub-Antarctic Zone Sensitivity of the sub-Antarctic Zone to Environmental Change (SAZ-Sense) voyage, in January and February of 2007. A primary goal of this voyage was to determine the potential effects of climate change-induced natural iron fertilisation of the SAZ on the protistan community by exploring differences between communities in waters west of Tasmania, which are low in iron, and eastern waters, which are fertilised by continental iron input and mixing across the subtropical front. The SAZ is a sink for anthropogenic CO2 in spring, but the magnitude of this may vary depending on seasonal changes in protistan abundance, composition and trophodynamics. Protistan species composition and abundance in the western Sub-Antarctic Zone at process station 1 (P1) showed a community in which low carbon biomass was dominated by a Thalassiosira sp., which was very weakly silicified under strong silica limitation. Protistan cell carbon was dominated by diatoms and nano-picoflagellates at process station 2 (P2) in the Polar Front Zone (PFZ), while dinoflagellates dominated in the iron-enriched waters of eastern SAZ at station 3 (P3). Iron enrichment enhanced production and favoured proliferation of small flagellates during summer in the silica-depleted eastern SAZ rather than large diatoms, though the effect this may have on the vertical export of particulate organic carbon (POC) is still unclear. Crown Copyright (C) 2011 Published by Elsevier Ltd. All rights reserved.</t>
  </si>
  <si>
    <t>[de Salas, Miguel F.; Eriksen, Ruth; Davidson, Andrew T.; Wright, Simon W.] Australian Antarctic Div, Kingston, Tas 7050, Australia</t>
  </si>
  <si>
    <t>Wright, SW (corresponding author), Australian Antarctic Div, 203 Channel Hwy, Kingston, Tas 7050, Australia.</t>
  </si>
  <si>
    <t>Simon.Wright@aad.gov.au</t>
  </si>
  <si>
    <t>Eriksen, Ruth/J-7760-2014</t>
  </si>
  <si>
    <t>Eriksen, Ruth/0000-0002-5184-2465</t>
  </si>
  <si>
    <t>10.1016/j.dsr2.2011.05.032</t>
  </si>
  <si>
    <t>WOS:000295762400008</t>
  </si>
  <si>
    <t>Evans, C; Thomson, PG; Davidson, AT; Bowie, AR; van den Enden, R; Witte, H; Brussaard, CPD</t>
  </si>
  <si>
    <t>Evans, Claire; Thomson, Paul G.; Davidson, Andrew T.; Bowie, Andrew R.; van den Enden, Rick; Witte, Harry; Brussaard, Corina P. D.</t>
  </si>
  <si>
    <t>Potential climate change impacts on microbial distribution and carbon cycling in the Australian Southern Ocean</t>
  </si>
  <si>
    <t>Southern Ocean; Marine microbes; Phytoplankton; Heterotrophic nanoflagellates; Bacteria; Viruses; Climate change; Carbon cycling; 43-54 degrees S and 140-155 degrees E</t>
  </si>
  <si>
    <t>SUBTROPICAL CONVERGENCE REGION; NUCLEIC-ACID CONTENT; POLAR FRONTAL ZONES; CROZET BASIN; BACTERIAL-GROWTH; ORGANIC-CARBON; FLOW-CYTOMETRY; FOOD-WEB; PHYTOPLANKTON; IRON</t>
  </si>
  <si>
    <t>Changes in oceanic circulation and physiochemical parameters due to climate change may alter the distribution, structure and function of marine microbial communities, thereby altering the action of the biological carbon pump. One area of current and predicted future change is the sub-Antarctic zone (SAZ) to the southeast of Tasmania, Australia, where a southward shift in westerly winds appears to be forcing warmer and macronutrient-poor subtropical waters into the sub-Antarctic zone (SAZ). We investigated the impact of these subtropical waters on the microbial community of the SAZ on the SAZ-Sense cruise during the austral summer of 2007. The abundance of pico- and nanoeukaryotic algae, cyanobacteria, heterotrophic nanoflagellates, bacteria and viruses was determined by flow cytometry at stations in the Polar Frontal Zone (PFZ), the SAZ and in Subtropical Zone (STZ). Using cluster and similarity profile analyses on integrated microbial abundances over the top 200 m, we found that microbial communities located in the potential future SAZ to the southeast of Tasmania formed two distinct groups from those of the remainder of the SAZ and the PFZ. In the waters of the potential future SAZ, shallow mixed layers and increased iron concentrations elevated cyanobacterial, bacterial and viral abundances and increased percentage high DNA bacteria, resulting in communities similar to those of subtropical waters. Conversely, waters of the PFZ exhibited relatively low concentrations of autotrophic and heterotrophic microbes and viruses, indicative of the iron limitation in this region. A Distance Based Linear Model determined that salinity and nitrogen availability (nitrate, nitrite and ammonia concentrations) were the most influential environmental parameters over the survey, explaining 72% of the variation in microbial community structure. The microbial community of the potential future SAZ showed a shift away from particulate carbon export from the photic zone towards increased production by smaller cells, increased significance of the microbial loop and viral lysis. These changes would promote carbon recycling within the photic zone, thereby potentially decreasing the capacity of the future SAZ to absorb CO2. (C) 2011 Elsevier Ltd. All rights reserved.</t>
  </si>
  <si>
    <t>[Evans, Claire; Witte, Harry; Brussaard, Corina P. D.] Royal Netherlands Inst Sea Res, Dept Biol Oceanog, NL-1790 AB Den Burg, Texel, Netherlands; [Thomson, Paul G.; Davidson, Andrew T.; van den Enden, Rick] Australian Antarctic Div, Dept Environm &amp; Water Resources, Kingston, Tas 7050, Australia; [Thomson, Paul G.; Davidson, Andrew T.; Bowie, Andrew R.] Univ Tasmania, ACECRC, Hobart, Tas 7001, Australia</t>
  </si>
  <si>
    <t>Utrecht University; Royal Netherlands Institute for Sea Research (NIOZ); Australian Antarctic Division; University of Tasmania</t>
  </si>
  <si>
    <t>Evans, C (corresponding author), Royal Netherlands Inst Sea Res, Dept Biol Oceanog, POB 59, NL-1790 AB Den Burg, Texel, Netherlands.</t>
  </si>
  <si>
    <t>claire.evans@nioz.nl</t>
  </si>
  <si>
    <t>Bowie, Andrew/C-8677-2013</t>
  </si>
  <si>
    <t>10.1016/j.dsr2.2011.05.019</t>
  </si>
  <si>
    <t>WOS:000295762400009</t>
  </si>
  <si>
    <t>Westwood, KJ; Griffiths, FB; Webb, JP; Wright, SW</t>
  </si>
  <si>
    <t>Westwood, Karen J.; Griffiths, F. Brian; Webb, Jason P.; Wright, Simon W.</t>
  </si>
  <si>
    <t>Primary production in the Sub-Antarctic and Polar Frontal Zones south of Tasmania, Australia; SAZ-Sense survey, 2007</t>
  </si>
  <si>
    <t>Gross primary production; Limiting factors; Iron; Silicate; Irradiance</t>
  </si>
  <si>
    <t>IRON FERTILIZATION; PACIFIC SECTOR; PHYTOPLANKTON PHOTOSYNTHESIS; COMMUNITY STRUCTURE; SEASONAL EVOLUTION; SURFACE WATERS; CARBON EXPORT; CHLOROPHYLL-A; DISSOLVED FE; OCEAN CO2</t>
  </si>
  <si>
    <t>The Sub-Antarctic Zone (SAZ) in the Southern Ocean provides a significant sink for atmospheric CO2 and quantification of this sink is therefore important in models of climate change. During the SAZ-Sense (Sub-Antarctic Sensitivity to Environmental Change) survey conducted during austral summer 2007, we examined CO2 sequestration through measurement of gross primary production rates using C-14. Sampling was conducted in the SAZ to the south-west and south-east of Tasmania, and in the Polar Frontal Zone (PFZ) directly south of Tasmania. Despite higher chlorophyll biomass off the south-east of Tasmania, production measurements were similar to the south-west with rates of 986.2 +/- 500.4 and 1304.3 +/- 300.1 mg C m(-2) d(-1), respectively. Assimilation numbers suggested the onset of cell senescence by the time of sampling in the south-east, with healthy phytoplankton populations to the southwest sampled three weeks earlier. Production in the PFZ (475.4 +/- 168.7 mg C m(-2) d(-1)) was lower than the SAZ, though not significantly. The PFZ was characterised by a defined deep chlorophyll maximum near the euphotic depth (75 m) with low production due to significant light limitation. A healthy and less light-limited phytoplankton population occupied the mixed layer of the PFZ, allowing more notable production there despite lower chlorophyll. A hypothesis that iron availability would enhance gross primary production in the SAZ was not supported due to the seasonal effect that masked possible responses. However, highest production (2572.5 mg C m(-2) d(-1)) was measured nearby in the Sub-Tropical Zone off south-east Tasmania in a region where iron was likely to be non-limiting (Bowie et al., 2009. Biogeochemical iron budgets of the Southern Ocean south of Australia: decoupling of iron and nutrient cycles in the subantarctic zone by the summertime supply. Global Biogeochemical Cycles 23(4), doi:10.1029/2009GB003500). Crown Copyright (C) 2011 Published by Elsevier Ltd. All rights reserved.</t>
  </si>
  <si>
    <t>[Westwood, Karen J.; Wright, Simon W.] Australian Antarctic Div, Kingston, Tas 7050, Australia; [Westwood, Karen J.; Griffiths, F. Brian; Wright, Simon W.] Antarctic Climate &amp; Ecosyst Cooperat Res Ctr, Hobart, Tas 7001, Australia; [Griffiths, F. Brian] CSIRO Div Marine &amp; Atmospher Res, Hobart, Tas 7001, Australia; [Webb, Jason P.] Murdoch Univ, Algae R&amp;D Ctr, Sch Biol Sci &amp; Biotechnol, Perth, WA 6150, Australia</t>
  </si>
  <si>
    <t>Australian Antarctic Division; Antarctic Climate &amp; Ecosystems Cooperative Research Centre (ACE CRC); Commonwealth Scientific &amp; Industrial Research Organisation (CSIRO); Murdoch University</t>
  </si>
  <si>
    <t>Westwood, KJ (corresponding author), Australian Antarctic Div, 203 Channel Highway, Kingston, Tas 7050, Australia.</t>
  </si>
  <si>
    <t>karen.westwood@aad.gov.au</t>
  </si>
  <si>
    <t>Westwood, Karen/0000-0003-1060-7140</t>
  </si>
  <si>
    <t>Australian Antarctic Division; CSIRO; CSIRO Division of Marine and Atmospheric Research</t>
  </si>
  <si>
    <t>Australian Antarctic Division; CSIRO(Commonwealth Scientific &amp; Industrial Research Organisation (CSIRO)); CSIRO Division of Marine and Atmospheric Research</t>
  </si>
  <si>
    <t>We would like to thank Captain Scott Laughlin and the crew of RSV Aurora Australis for their expertise in supporting this work. Thanks also to Rick van den Enden, Dr. Imojen Pearce, and Dr. Martina Doblin for HPLC sampling and analysis, Dr. Bronte Tilbrook, Kate Berry and Kristina Paterson for DIC analysis, Dr. Andrew Bowie for dissolved iron measurements, and Mark Rosenberg and the CTD team for temperature and salinity data. For technical support we would like to thank Allan Poole and Aaron Spurr. This research was supported by the Australian Antarctic Division as well as the CSIRO Wealth from Oceans National Research Flagship and the CSIRO Division of Marine and Atmospheric Research. K.J. Westwood, F.B. Griffiths and S.W. Wright are part of the Australian Government Cooperative Research Centres Programme through the Antarctic Climate and Ecosystems Cooperative Research Centre (ACE CRC).</t>
  </si>
  <si>
    <t>10.1016/j.dsr2.2011.05.017</t>
  </si>
  <si>
    <t>WOS:000295762400010</t>
  </si>
  <si>
    <t>Doblin, MA; Petrou, KL; Shelly, K; Westwood, K; van den Enden, R; Wright, S; Griffiths, B; Ralph, PJ</t>
  </si>
  <si>
    <t>Doblin, Martina A.; Petrou, Katherina L.; Shelly, Kirsten; Westwood, Karen; van den Enden, Rick; Wright, Simon; Griffiths, Brian; Ralph, Peter J.</t>
  </si>
  <si>
    <t>Diel variation of chlorophyll-a fluorescence, phytoplankton pigments and productivity in the Sub-Antarctic and Polar Front Zones south of Tasmania, Australia</t>
  </si>
  <si>
    <t>Chlorophyll-a fluorescence; Photochemical efficiency; Primary production; Photoprotection; Photosynthesis; Phytoplankton</t>
  </si>
  <si>
    <t>DIADINOXANTHIN DE-EPOXIDASE; HIGH LIGHT STRESS; MARINE-PHYTOPLANKTON; IRON-LIMITATION; PACIFIC-OCEAN; SAZ-SENSE; COMMUNITY STRUCTURE; EQUATORIAL PACIFIC; PAM FLUORESCENCE; PHOTOSYNTHESIS</t>
  </si>
  <si>
    <t>Marine primary production is a fundamental measure of the ocean's capacity to convert carbon dioxide to particulate organic carbon for the marine foodweb, and as such is an essential variable used in ecosystem and biogeochemical models to assess trophic dynamics and carbon cycling. The Sub-Antarctic Zone (SAZ) is a major sink for atmospheric carbon and exhibits large gradients in ocean conditions on both temporal and spatial scales. In this dynamic system, an understanding of small-scale temporal changes is critical for modelling primary production at larger scales. Thus, we investigated diel effects on maximum quantum yield of PSII (F-V/F-M), photosynthetic pigment pools and primary productivity in the western (Diel 1) and eastern SAZ region (Diel 3) south of Tasmania, Australia, and compared this to a station at the polar front (Diel 2). Phytoplankton in the eastern SAZ had the greatest diel response, with cells showing decreased F-V/F-M and increased biosynthesis and transformation of xanthophyll and other photoprotective pigments during the day, but only in the surface waters (0 and 10 m). Diel responses diminished by 30 m. Cells in the western SAZ had similar responses across the depths sampled, increasing their F-V/F-M during the night and increasing their xanthophyll pigment content during the day. Phytoplankton at the polar front (Diel 2) showed intermediate diel-related variations in photophysiology, with xanthophyll conversion and increases in photoprotective pigments during the day but constant F-V/F-M. These diel changes at all sampling stations had little impact on carbon fixation rates, although cells sampled from the deep chlorophyll maximum at the polar front had significantly lower maximum carbon fixation and minimum saturating irradiance (E-k) compared to the other depths and stations. Considering the oceanographic context, cells at Diel 1 and 2 received less light and were more deeply mixed than cells at Diel 3, causing a dampening of the diel response. These results highlight that phytoplankton in the SAZ is regulated by the physical processes of mixing and light provision, but short-term diel effects on maximum quantum yield of PSII and photoprotective pigments may not propagate to changes in carbon fixation, particularly when cells are nutrient replete. If however, the more stratified eastern SAZ (which had the greatest diel responses) is indicative of how the SAZ region might respond to climate change, then diel effects may become more prominent in the future. Crown Copyright (C) 2011 Published by Elsevier Ltd. All rights reserved.</t>
  </si>
  <si>
    <t>[Doblin, Martina A.; Petrou, Katherina L.; Ralph, Peter J.] Univ Technol Sydney, Dept Environm Sci, Sydney, NSW 2007, Australia; [Shelly, Kirsten] Monash Univ, Sch Biol Sci, Clayton, Vic 3800, Australia; [Westwood, Karen; van den Enden, Rick; Wright, Simon] Australian Antarctic Div, Kingston, Tas 7050, Australia; [Griffiths, Brian] CSIRO Marine &amp; Atmospher Res, Hobart, Tas 7001, Australia</t>
  </si>
  <si>
    <t>University of Technology Sydney; Monash University; Australian Antarctic Division; Commonwealth Scientific &amp; Industrial Research Organisation (CSIRO)</t>
  </si>
  <si>
    <t>Doblin, MA (corresponding author), Univ Technol Sydney, Dept Environm Sci, POB 123 Broadway, Sydney, NSW 2007, Australia.</t>
  </si>
  <si>
    <t>martina.doblin@uts.edu.au; katherina.petrou@uts.edu.au; kirsten.shelly@monash.sci.edu.au; karen.westwood@aad.gov.au; rick.vandenenden@aad.gov.au; simon.wright@aad.gov.au; brian.griffiths@csiro.au; peter.ralph@uts.edu.au</t>
  </si>
  <si>
    <t>Doblin, Martina/L-1804-2019; Ralph, Peter/L-1527-2019</t>
  </si>
  <si>
    <t>Doblin, Martina/0000-0001-8750-3433; Ralph, Peter/0000-0002-3103-7346; Petrou, Katherina/0000-0002-2703-0694; Westwood, Karen/0000-0003-1060-7140</t>
  </si>
  <si>
    <t>Australian Research Council [DP0773558]; Australian Antarctic Division [2752]; Australian Postgraduate Award; CSIRO; Australian Research Council [DP0773558] Funding Source: Australian Research Council</t>
  </si>
  <si>
    <t>Australian Research Council(Australian Research Council); Australian Antarctic Division; Australian Postgraduate Award(Australian Government); CSIRO(Commonwealth Scientific &amp; Industrial Research Organisation (CSIRO)); Australian Research Council(Australian Research Council)</t>
  </si>
  <si>
    <t>We would like to thank the captain Scott Laughlin, and crew of the RSV Aurora Australis, the chief scientists, all the expeditioners on the SAZ-Sense voyage and the operations management team who made the voyage possible. Thanks also to the editors for their efforts in bringing the SAZ volume together, to Paul Thomson for providing the map used in Fig. 1 and to Kadija Oubelkheir for her assistance with calculations and useful discussions. The manuscript also significantly benefited from comments by three anonymous reviewers. This research was carried out with the funding support from the Australian Research Council (DP0773558 awarded to P.J.R.) and Australian Antarctic Division (award #2752). K.P. was supported by an Australian Postgraduate Award and a CSIRO postgraduate top-up scholarship.</t>
  </si>
  <si>
    <t>10.1016/j.dsr2.2011.05.021</t>
  </si>
  <si>
    <t>WOS:000295762400012</t>
  </si>
  <si>
    <t>Cavagna, AJ; Elskens, M; Griffiths, FB; Fripiat, F; Jacquet, SHM; Westwood, KJ; Dehairs, F</t>
  </si>
  <si>
    <t>Cavagna, Anne-Julie; Elskens, Marc; Griffiths, F. Brian; Fripiat, Francois; Jacquet, Stephanie H. M.; Westwood, Karen J.; Dehairs, Frank</t>
  </si>
  <si>
    <t>Contrasting regimes of production and potential for carbon export in the Sub-Antarctic and Polar Frontal Zones south of Tasmania</t>
  </si>
  <si>
    <t>Gross primary production; New production; f-ratio; Southern Ocean; Polar Frontal Zone; Sub-Antarctic Zone; Australian sector</t>
  </si>
  <si>
    <t>CHLOROPHYLL MAXIMUM; AUSTRALIAN SECTOR; BIOGENIC SILICA; NITRATE UPTAKE; MIXED-LAYER; N UPTAKE; OCEAN; IRON; NITROGEN; NUTRIENT</t>
  </si>
  <si>
    <t>We report on mid-summer gross primary production and new production in the Sub-Antarctic Zone (SAZ) and the Polar Frontal Zone (PFZ) south of Tasmania during the SAZ-Sense expedition (January-February 2007). The aim of our study was to assess how well documented regional variability in surface Chl-a biomass translates into variability of primary production and potential export in the area. The selected sites for process studies contrasted in terms of euphotic and mixed layer depths, macro nutrient concentrations and primary production with short term (days) temporal variability of production. Daily euphotic layer integrated gross primary production (from short term C-13 incubations) was higher in the SAZ than in the FEZ by about an order of magnitude. Within the SAZ highest production was reached south-west of Tasmania, contrasting with surface ocean Chl-a biomass which was highest in the eastern SAZ. In most cases regenerated production (from N-15-ammonium uptake experiments) was significantly larger than new production (from N-15-nitrate uptake experiments) with f-ratios mostly &lt;= 0.3. Mixed layer and euphotic layer depths, relative availability of nitrate and ammonium, level of Fe sufficiency, grazing pressure, and opposing effect of Fe and ammonium on nitrate uptake, appear to control these regional differences in SAZ production. Overall low new production values reflected a low relative potential for carbon export in the area, confirming the low export ratios reported by others. These conditions prevail throughout the study area but, unexpectedly, are most marked in the eastern SAZ where Fe was reported not to be limiting. For the eastern SAZ we speculate that the availability of ammonium sustained by grazing pressure inhibited nitrate uptake and primary production by counteracting the effects of Fe sufficiency and mixed layer shallowness, which are factors potentially conducive to enhanced production. This lower production combined with decreased f-ratios led to the observed poor potential for carbon export and poor carbon sequestration in the SAZ-East. (C) 2011 Elsevier Ltd. All rights reserved.</t>
  </si>
  <si>
    <t>[Cavagna, Anne-Julie; Elskens, Marc; Jacquet, Stephanie H. M.; Dehairs, Frank] Vrije Univ Brussel, Dept Analyt &amp; Environm Chem &amp; Earth Syst Sci, Brussels, Belgium; [Cavagna, Anne-Julie; Fripiat, Francois] RMCA, Dept Geol &amp; Mineral, Sect Mineral &amp; Petrog, Tervuren, Belgium; [Griffiths, F. Brian; Westwood, Karen J.] Antarctic Climate &amp; Ecosyst Cooperat Res Ctr, Hobart, Tas, Australia; [Fripiat, Francois] Univ Libre Bruxelles, Dept Sci Terre &amp; Environm, Brussels, Belgium; [Westwood, Karen J.] Australian Antarctic Div, Kingston, Tas 7050, Australia</t>
  </si>
  <si>
    <t>Vrije Universiteit Brussel; Royal Museum for Central Africa; Antarctic Climate &amp; Ecosystems Cooperative Research Centre (ACE CRC); Universite Libre de Bruxelles; Australian Antarctic Division</t>
  </si>
  <si>
    <t>Cavagna, AJ (corresponding author), Vrije Univ Brussel, Dept Analyt &amp; Environm Chem &amp; Earth Syst Sci, Brussels, Belgium.</t>
  </si>
  <si>
    <t>acavagna@vub.ac.be</t>
  </si>
  <si>
    <t>Fripiat, François/ABB-8918-2021; jacquet, stéphanie/K-8678-2016</t>
  </si>
  <si>
    <t>Westwood, Karen/0000-0003-1060-7140; Fripiat, Francois/0000-0002-2591-6301; Elskens, Marc/0000-0002-8862-9422; Cavagna, Anne-Julie/0000-0002-0185-0360</t>
  </si>
  <si>
    <t>Federal Belgian Science Policy Office (Belspo), Brussels, Belgium [EV/37/7C, EV/03/7A, SD/CA/03A]; Vrije Universiteit Brussel [GOA 22, 53]; EU [WP5-SYSSO-1056]; Australian Government Cooperative Research Centre through Antarctic Climate and Ecosystems CRC (ACE CRC); Australian Antarctic Science [2720]; CSIRO; Bureau of Meteorology</t>
  </si>
  <si>
    <t>Federal Belgian Science Policy Office (Belspo), Brussels, Belgium(Belgian Federal Science Policy Office); Vrije Universiteit Brussel; EU(European Union (EU)); Australian Government Cooperative Research Centre through Antarctic Climate and Ecosystems CRC (ACE CRC)(Australian GovernmentDepartment of Industry, Innovation and ScienceCooperative Research Centres (CRC) Programme); Australian Antarctic Science; CSIRO(Commonwealth Scientific &amp; Industrial Research Organisation (CSIRO)); Bureau of Meteorology(Bureau of Meteorology - Australia)</t>
  </si>
  <si>
    <t>We thank the captain and crew of R/V Aurora Australis for their efficient assistance during work at sea. We are grateful to many colleagues who helped us during work on board, and especially to Mark Rosenberg and the CTD team. We also thank Neil Johnston and Alicia Navidad (CSIRO-Perth and Hobart) for the on-board nutrient measurements and Michael Korntheuer (ANCH/VUB- Brussels) for his technical assistance during IRMS analysis. We acknowledge two anonymous reviewers whose constructive comments and criticisms considerably improved the manuscript. This research was supported by the Federal Belgian Science Policy Office (Belspo) under the Science for Sustainable Development (SDD) programme, Brussels, Belgium (BELCANTO contracts EV/37/7C, EV/03/7A, SD/CA/03A), the Vrije Universiteit Brussel (projects GOA 22 &amp; 53) and the EU FP6 Network of Excellence EurOceans. This research was also supported by the Australian Government Cooperative Research Centre Program through the Antarctic Climate and Ecosystems CRC (ACE CRC) and Australian Antarctic Science project #2720, CSIRO Wealth from Oceans Flagship, and the Centre for Australian Weather and Climate Research a partnership of the Bureau of Meteorology and CSIRO. A.J.C acknowledges support by the EU FP6 Network of Excellence EurOceans for her Ph.D. scholarship (project number WP5-SYSSO-1056). The authors thank also the NERC Earth Observation Data Acquisition and Analysis Service (NEODAAS) for supplying the ocean color image in Fig. 1 for this study.</t>
  </si>
  <si>
    <t>10.1016/j.dsr2.2011.05.026</t>
  </si>
  <si>
    <t>WOS:000295762400016</t>
  </si>
  <si>
    <t>Ebersbach, F; Trull, TW; Davies, DM; Bray, SG</t>
  </si>
  <si>
    <t>Ebersbach, Friederike; Trull, Thomas W.; Davies, Diana M.; Bray, Stephen G.</t>
  </si>
  <si>
    <t>Controls on mesopelagic particle fluxes in the Sub-Antarctic and Polar Frontal Zones in the Southern Ocean south of Australia in summer-Perspectives from free-drifting sediment traps</t>
  </si>
  <si>
    <t>Sinking particles; Export flux; Mesopelagic; Southern Ocean; SAZ; PFZ</t>
  </si>
  <si>
    <t>PLANKTONIC COMMUNITY STRUCTURE; NORTHERN BARENTS SEA; CARBON FLUX; ORGANIC-CARBON; VERTICAL FLUX; MARINE SNOW; CLIMATE-CHANGE; SINKING RATES; IRON; EXPORT</t>
  </si>
  <si>
    <t>The SAZ-Sense project examined ecosystem controls on Southern Ocean carbon export during austral summer (January-February 2007) at three locations: P1 in the low biomass Subantarctic Zone (SAZ) west of Tasmania, P3 in a region of elevated biomass in the SAZ east of Tasmania fuelled by enhanced iron supply, and P2 in High-Nutrient/Low Chlorophyll (HNLC) Polar Frontal Zone (PFZ) waters south of P1 and P3. Sinking particles were collected using (i) a cylindrical time-series (PPS3/3) trap for bulk geochemical fluxes, (ii) indented rotating sphere (IRS) traps operated as in-situ settling columns to determine the flux distribution across sinking-rate fractions, and (iii) cylindrical traps filled with polyacrylamide gels to obtain intact particles for image analysis. Particulate organic carbon (POC) flux at 150 m (PPS3/3 trap) was highest at P1, lower at P2, and lowest at P3 (3.3 +/- 1.8, 2.1 +/- 0.9, and 0.9 +/- 0.4 mmol m(-2) d(-1), respectively). Biogenic silica (BSi) flux was very low in the SAZ (0.2 +/- 0.2 and 0.02 +/- 0.005 mmol m(-2) d(-1) at P1 and P3, respectively) and much higher in the PFZ (2.3 +/- 0.5 mmol m(-2) d(-1) at P2). Hence, the high biomass site P3 did not exhibit a correspondingly high flux of either POC or BSi. Separation of sinking-rate fractions with the IRS traps (at 170 and 320 m depth) was only successful at the PFZ site P2, where a relatively uniform distribution of flux was observed with similar to 1/3 of the POC sinking faster than 100 m d(-1) and 1/3 sinking slower than 10 m d(-1). Analysis of thousands of particles collected with the gel traps (at 140, 190, 240, and 290 m depth) enabled us to identify 5 different categories: fluff-aggregates (low-density porous or amorphous aggregates), faecal-aggregates (denser aggregates composed of different types of particles), cylindrical and ovoid faecal pellets, and isolated phyto-cells (chains and single cells). Faecal-aggregates dominated the flux at all sites, and were larger in size at P1 in comparison to P3. The PFZ site P2 differed strongly from both SAZ sites in having a much higher abundance of diatoms and relatively small-sized faecal-aggregates. Overall, the particle images suggest that grazing was an important influence on vertical export at all three sites, with differences in the extents of large aggregate formation and direct diatom export further influencing the differences among the sites. (C) 2011 Elsevier Ltd. All rights reserved.</t>
  </si>
  <si>
    <t>[Ebersbach, Friederike] Univ Bremen, Alfred Wegener Inst Polar &amp; Marine Res, Int Grad Sch Marine Sci GLOMAR, D-27570 Bremerhaven, Germany; [Ebersbach, Friederike; Trull, Thomas W.; Davies, Diana M.; Bray, Stephen G.] Antarctic Climate &amp; Ecosyst Cooperat Res Ctr, Hobart, Tas 7001, Australia; [Trull, Thomas W.] Ctr Australian Weather &amp; Climate Res, Hobart, Tas 7001, Australia; [Trull, Thomas W.] Univ Tasmania, Inst Marine &amp; Antarctic Studies, Hobart, Tas 7001, Australia</t>
  </si>
  <si>
    <t>University of Bremen; Helmholtz Association; Alfred Wegener Institute, Helmholtz Centre for Polar &amp; Marine Research; Antarctic Climate &amp; Ecosystems Cooperative Research Centre (ACE CRC); Commonwealth Scientific &amp; Industrial Research Organisation (CSIRO); University of Tasmania</t>
  </si>
  <si>
    <t>Ebersbach, F (corresponding author), Univ Bremen, Alfred Wegener Inst Polar &amp; Marine Res, Int Grad Sch Marine Sci GLOMAR, Handelshafen 12, D-27570 Bremerhaven, Germany.</t>
  </si>
  <si>
    <t>friederike.ebersbach@awi.de</t>
  </si>
  <si>
    <t>Trull, Tom W/B-7028-2014</t>
  </si>
  <si>
    <t>Davies, Diana M./0000-0001-6304-3938</t>
  </si>
  <si>
    <t>Australian Government Cooperative Research Centres through Antarctic Climate and Ecosystems CRC (ACE CRC); Australian Antarctic Science [2720, 1156]; Australian Antarctic Division; CSIRO Marine and Atmospheric Research; GLOMAR</t>
  </si>
  <si>
    <t>Australian Government Cooperative Research Centres through Antarctic Climate and Ecosystems CRC (ACE CRC)(Australian GovernmentDepartment of Industry, Innovation and ScienceCooperative Research Centres (CRC) Programme); Australian Antarctic Science; Australian Antarctic Division; CSIRO Marine and Atmospheric Research(Commonwealth Scientific &amp; Industrial Research Organisation (CSIRO)); GLOMAR</t>
  </si>
  <si>
    <t>This research was in part supported by the Australian Government Cooperative Research Centres Programme through the Antarctic Climate and Ecosystems CRC (ACE CRC), Australian Antarctic Science projects #2720 and #1156, the Australian Antarctic Division, CSIRO Marine and Atmospheric Research, and the captain and crew of R.S.V. Aurora Australis. The NERC Earth Observation Data Acquisition and Analysis Service (NEODAAS) supplied data for the ocean colour image provided by the Plymouth Marine Laboratory. The Institute National des Sciences de l'Univers (INSU, France) provided the PPS3/3 trap, and F. Dehair (Vrije Universiteit Brussel, Belgium) provided one IRS trap. Thanks to D. Mclaughlin (moorings preparation), C. Moy (gel preparation), M. Rosenberg (assistance with trap deployments), C. Bloomfield (biogenic silica analysis), and T. Rodemann (UTAS Central Science Laboratory, elemental analysis). U. Passow, U. Bathmann, E. Nothig, C. Klaas, D. Wolf-Gladrow and B. Griffiths are thanked for thoughtful discussions, as are two anonymous reviewers who helped to improve the manuscript. F. Ebersbach was funded by GLOMAR (Ph.D. scholarship).</t>
  </si>
  <si>
    <t>10.1016/j.dsr2.2011.05.025</t>
  </si>
  <si>
    <t>WOS:000295762400018</t>
  </si>
  <si>
    <t>Jacquet, SHM; Lam, PJ; Trull, T; Dehairs, F</t>
  </si>
  <si>
    <t>Jacquet, S. H. M.; Lam, P. J.; Trull, T.; Dehairs, F.</t>
  </si>
  <si>
    <t>Carbon export production in the subantarctic zone and polar front zone south of Tasmania</t>
  </si>
  <si>
    <t>Th-234; Export production; Southern Ocean; Carbon transfer efficiency</t>
  </si>
  <si>
    <t>PARTICULATE ORGANIC-CARBON; PARTICLE EXPORT; SMALL-VOLUME; TWILIGHT ZONE; OCEAN; TH-234; IRON; FLUX; REMINERALIZATION; AUSTRALIA</t>
  </si>
  <si>
    <t>We studied the water column distribution of total Th-234 in subantarctic (SAZ) and polar front (PFZ) zone systems south of Tasmania during mid-austral summer 2007. The objective was to assess whether the observed zonal differences in biomass in this sector translated into variability of the carbon export and sequestration potential, and to identify possible causes inducing this variability. This study is part of a broader investigation focusing on macro- and micronutrient availability controlling ecosystem functioning in this area. Surface deficits in Th-234 activities were observed at every station. Th-234 export fluxes calculated from the Th-234 activity deficits assuming steady state conditions showed higher Th-234 export fluxes in the western than eastern SAZ, both of which were higher than those in the PFZ. Th-234 fluxes sampled by free-drifting IRS and PPS-3 sediment traps at 150 and 170 m during short-term deployments ( similar to 6 days) at the three process stations were significantly lower than those obtained by the Th-234-deficit method. Possible reasons for this discrepancy are discussed. Carbon export fluxes were calculated based on the total Th-234 fluxes (Th-234 deficit method) and the C:Th ratio for the &gt; 54 pm particle size fraction from the appropriate export depth. The &gt; 54 pm C:Th ratio was significantly lower in the eastern SAZ than the western SAZ or PFZ, resulting in carbon export fluxes that were lowest in the eastern SAZ. Overall, export fluxes range from 3.6 +/- 1.5 to 13.2 +/- 3.1 mmol C m(-2) d(-1). Carbon export fluxes are compared with gross primary production, new production and mesopelagic remineralization fluxes obtained by others during the same cruise. Contrary to expectations, we found higher export production in the PFZ and the western SAZ where biomass and dissolved Fe were lower than in the eastern SAZ. Significant differences in community structure of both primary producers and consumers likely contributed to this difference between the three regions. This pattern of higher shallow export continued into the mesopelagic, with lower remineralization efficiency in PFZ and SAZ-West compared to SAZ-East. Within the SAZ, east and west sites thus differed in their efficiency of carbon sequestration into the deep ( &gt; 600 m) water column, with SAZ-West exceeding the sequestration capacity of SAZ-East. If the SAZ-East region can be used as an analog for a future climate warming scenario, our results suggest that export production at high latitudes could decrease, despite increased primary production. (C) 2011 Elsevier Ltd. All rights reserved.</t>
  </si>
  <si>
    <t>[Jacquet, S. H. M.; Dehairs, F.] Vrije Univ Brussel, Earth Syst Sci Res Grp, Brussels, Belgium; [Jacquet, S. H. M.; Dehairs, F.] Vrije Univ Brussel, Analyt &amp; Environm Chem Dept, Brussels, Belgium; [Lam, P. J.] Woods Hole Oceanog Inst, Dept Marine Chem &amp; Geochem, Woods Hole, MA 02543 USA; [Trull, T.] Univ Tasmania, CSIRO Marine &amp; Atmospher Res, ACE CRC, Hobart, Tas 7001, Australia; [Trull, T.] Univ Tasmania, IASOS, Hobart, Tas 7001, Australia</t>
  </si>
  <si>
    <t>Vrije Universiteit Brussel; Vrije Universiteit Brussel; Woods Hole Oceanographic Institution; Commonwealth Scientific &amp; Industrial Research Organisation (CSIRO); University of Tasmania; Antarctic Climate &amp; Ecosystems Cooperative Research Centre (ACE CRC); University of Tasmania</t>
  </si>
  <si>
    <t>Jacquet, SHM (corresponding author), COM, Lab Oceanog Phys &amp; Biogeochim, UMR 6535, Marseille, France.</t>
  </si>
  <si>
    <t>stephanie.jacquet@univmed.fr</t>
  </si>
  <si>
    <t>Lam, Phoebe/GQQ-7325-2022; jacquet, stéphanie/K-8678-2016; Trull, Tom W/B-7028-2014</t>
  </si>
  <si>
    <t>Lam, Phoebe J./0000-0001-6609-698X</t>
  </si>
  <si>
    <t>Belgian Federal Science Policy (Belspo), Brussels, Belgium [EV/37/7C, EV/03/7A, SD/CA/03A B]; Vrije Universiteit Brussel [GOA 22, 53]; Research Foundation Flanders [G.0021.04]; WHOI; Australian Government Cooperative Research Centres through Antarctic Climate and Ecosystems CRC (ACE CRC); Australian Antarctic Science project [2720]; Reuben F. and Elizabeth B. Richards and the John E. and Anne W. Sawyer Endowed Funds</t>
  </si>
  <si>
    <t>Belgian Federal Science Policy (Belspo), Brussels, Belgium(Belgian Federal Science Policy Office); Vrije Universiteit Brussel; Research Foundation Flanders(FWO); WHOI; Australian Government Cooperative Research Centres through Antarctic Climate and Ecosystems CRC (ACE CRC)(Australian GovernmentDepartment of Industry, Innovation and ScienceCooperative Research Centres (CRC) Programme); Australian Antarctic Science project; Reuben F. and Elizabeth B. Richards and the John E. and Anne W. Sawyer Endowed Funds</t>
  </si>
  <si>
    <t>We thank the captain and crew of Aurora Australis for their assistance during work at sea. We are indebted to chief scientist Brian Griffiths (CSIRO - ACE-CRC) assisted by Simon Wright (AAD) for skillful leadership during the cruise and to Mark Rosenberg and the CTD team (ACE CRC-CSIRO) for managing rosette operation and CTD data. We are grateful to Diana Davies for setting-up and managing the SAZ-Sense web-site and data base. Jacques Navez and Laurence Monin (MRAC, Tervuren) greatly helped during sample processing and element analysis by ICP-MS. We thank Ken Buesseler for use of his equipment at sea as well as very helpful discussions about data analysis and interpretation. This research was supported by the Belgian Federal Science Policy (Belspo) under SDD Science for Sustainable Development, programme, Brussels, Belgium (BELCANTO contracts EV/37/7C, EV/03/7A, SD/CA/03A &amp; B); Vrije Universiteit Brussel (projects GOA 22 &amp; 53) and the Research Foundation Flanders (contract G.0021.04). P.J. Lam was supported by the WHOI Postdoctoral Scholar Program and by the Reuben F. and Elizabeth B. Richards and the John E. and Anne W. Sawyer Endowed Funds in Support of Scientific Staff. T. Trull was supported by the Australian Government Cooperative Research Centres Programme through the Antarctic Climate and Ecosystems CRC (ACE CRC) and Australian Antarctic Science project #2720.</t>
  </si>
  <si>
    <t>10.1016/j.dsr2.2011.05.035</t>
  </si>
  <si>
    <t>WOS:000295762400019</t>
  </si>
  <si>
    <t>Kidston, M; Matear, R; Baird, ME</t>
  </si>
  <si>
    <t>Kidston, Mehera; Matear, Richard; Baird, Mark E.</t>
  </si>
  <si>
    <t>Parameter optimisation of a marine ecosystem model at two contrasting stations in the Sub-Antarctic Zone</t>
  </si>
  <si>
    <t>Data assimilation; Ecosystem modelling; Phytoplankton; Phytoplankton dynamics; Iron</t>
  </si>
  <si>
    <t>SOUTHERN-OCEAN; NORTH-ATLANTIC; SAZ-SENSE; PRIMARY PRODUCTIVITY; 1D-ECOSYSTEM MODEL; PACIFIC SECTOR; MIXED-LAYER; 3 LOCATIONS; AUSTRALIA; BATS</t>
  </si>
  <si>
    <t>SeaWiFS surface chlorophyll estimates in the Sub-Antarctic Zone show low concentrations south west of Tasmania and high concentrations south east of Tasmania. Data assimilation experiments were performed using simulated annealing to obtain parameter estimates of a simple nitrogen based mixed-layer marine ecosystem model at two locations in this region (station P1 at 140 degrees E, 46.5 degrees S and station P3 at 152 degrees E, 45.5 degrees S). The assimilation methods and parameter sensitivities are assessed in a twin experiment. This assessment determined that inversion method was successful at estimating the correct parameters but that only a sub-set of the model parameters can be uniquely determined using chlorophyll a observations. An analysis of parameter uncertainties shows at both stations accurate parameterisations of phytoplankton growth and zooplankton mortality, and the biological recycling processes are required to realistically model chlorophyll. Applying the inversion method to the climatological SeaWiFS chlorophyll a observations from the two sites we estimate model parameters at these two sites. The most significant differences in parameters between the two stations are the parameters relating to phytoplankton growth and zooplankton mortality. The difference in growth parameters results in spring time productivity estimates of 659 mg C m(-2)d(-1) at P1 and 203 mg C m(-2)d(-1) at P3. In situ estimates from the SAZ-Sense cruise do not support such dramatic differences in primary production between the two stations. We conclude that the same ecosystem model structure is not applicable at both stations and we need additional processes at P3 to reproduce the observed seasonality of phytoplankton and the observed primary productivity. We hypothesise that the missing processes in the ecosystem model at P3 are iron limitation of phytoplankton and the seasonal variations in atmospheric deposition of iron. Crown Copyright (C) 2011 Published by Elsevier Ltd. All rights reserved.</t>
  </si>
  <si>
    <t>[Kidston, Mehera; Matear, Richard] CSIRO Div Marine &amp; Atmospher Res, Hobart, Tas 7001, Australia; [Kidston, Mehera; Baird, Mark E.] Univ NSW, Sch Math, Sydney, NSW 2052, Australia</t>
  </si>
  <si>
    <t>Commonwealth Scientific &amp; Industrial Research Organisation (CSIRO); University of New South Wales Sydney</t>
  </si>
  <si>
    <t>Matear, R (corresponding author), CSIRO Div Marine &amp; Atmospher Res, GPO Box 1538, Hobart, Tas 7001, Australia.</t>
  </si>
  <si>
    <t>richard.matear@csiro.au</t>
  </si>
  <si>
    <t>Baird, Mark/GLU-2397-2022; matear, richard/C-5133-2011</t>
  </si>
  <si>
    <t>Baird, Mark/0000-0003-4955-2298; matear, richard/0000-0002-3225-0800</t>
  </si>
  <si>
    <t>Northcote Graduate Scholarship scheme; CSIRO; ARC [DP0557618]; Australia Climate Change Science Program; Australian Government; Australian Research Council [DP0557618] Funding Source: Australian Research Council</t>
  </si>
  <si>
    <t>Northcote Graduate Scholarship scheme; CSIRO(Commonwealth Scientific &amp; Industrial Research Organisation (CSIRO)); ARC(Australian Research Council); Australia Climate Change Science Program; Australian Government(Australian Government); Australian Research Council(Australian Research Council)</t>
  </si>
  <si>
    <t>We would like to thank the captain and crew of RSV Aurora Australis for their expertise in supporting the work at sea during SAZ-Sense, and are grateful to many colleagues for on board measurements and analysis. We thank Andrew Lenton and Mathieu Mongin for their helpful advice and constructive comments. We also thank the NASA Ocean Biology Processing Group at the GSFC, Greenbelt, MD 20771, for the production and distribution of the SeaWiFS ocean colour data. We are grateful for the financial support from the Northcote Graduate Scholarship scheme administered by the Menzies Centre for Australian Studies, the Australian Government's Endeavour Europe Award, and the CSIRO Wealth from Oceans Flagship Collaboration Fund. Mark Baird was funded by ARC Discovery Projects DP0557618. Richard Matear was funded by the Australia Climate Change Science Program.</t>
  </si>
  <si>
    <t>10.1016/j.dsr2.2011.05.018</t>
  </si>
  <si>
    <t>WOS:000295762400021</t>
  </si>
  <si>
    <t>Windisch, HS; Kathöver, R; Pörtner, HO; Frickenhaus, S; Lucassen, M</t>
  </si>
  <si>
    <t>Windisch, Heidrun Sigrid; Kathoever, Raphaela; Poertner, Hans-Otto; Frickenhaus, Stephan; Lucassen, Magnus</t>
  </si>
  <si>
    <t>Thermal acclimation in Antarctic fish: transcriptomic profiling of metabolic pathways</t>
  </si>
  <si>
    <t>AMERICAN JOURNAL OF PHYSIOLOGY-REGULATORY INTEGRATIVE AND COMPARATIVE PHYSIOLOGY</t>
  </si>
  <si>
    <t>warm acclimation; lipid and carbohydrate metabolism; mitochondria; PPARs; transcriptomic CCA</t>
  </si>
  <si>
    <t>PROLIFERATOR-ACTIVATED RECEPTORS; TEMPERATE EELPOUT ZOARCIDAE; NUCLEAR RESPIRATORY FACTORS; COD GADUS-MORHUA; GENE-EXPRESSION; MITOCHONDRIAL BIOGENESIS; TREMATOMUS-BERNACCHII; COACTIVATOR PGC-1; FATTY-ACIDS; PROTEIN EXPRESSION</t>
  </si>
  <si>
    <t>Windisch HS, Kathover R, Portner HO, Frickenhaus S, Lucassen M. Thermal acclimation in Antarctic fish: transcriptomic profiling of metabolic pathways. Am J Physiol Regul Integr Comp Physiol 301: R1453-R1466, 2011. First published August 24, 2011; doi:10.1152/ajpregu.00158.2011.-It is widely accepted that adaptation to the extreme cold has evolved at the expense of high thermal sensitivity. However, recent studies have demonstrated significant capacities for warm acclimation in Antarctic fishes. Here, we report on hepatic metabolic reorganization and its putative molecular background in the Antarctic eelpout (Pachycara brachycephalum) during warm acclimation to 5 degrees C over 6 wk. Elevated capacities of cytochrome c oxidase suggest the use of warm acclimation pathways different from those in temperate fish. The capacity of this enzyme rose by 90%, while citrate synthase (CS) activity fell by 20% from the very beginning. The capacity of lipid oxidation by hydroxyacyl-CoA dehydrogenase remained constant, whereas phosphoenolpyruvate carboxykinase as a marker for gluconeogenesis displayed 40% higher activities. These capacities in relation to CS indicate a metabolic shift from lipid to carbohydrate metabolism. The finding was supported by large rearrangements of the related transcriptome, both functional genes and potential transcription factors. A multivariate analysis (canonical correspondence analyses) of various transcripts subdivided the incubated animals in three groups, one control group and two responding on short and long timescales, respectively. A strong dichotomy in the expression of peroxisome proliferator-activated receptors-1 alpha and -beta receptors was most striking and has not previously been reported. Altogether, we identified a molecular network, which responds sensitively to warming beyond the realized ecological niche. The shift from lipid to carbohydrate stores and usage may support warm hardiness, as the latter sustain anaerobic metabolism and may prepare for hypoxemic conditions that would develop upon warming beyond the present acclimation temperature.</t>
  </si>
  <si>
    <t>[Windisch, Heidrun Sigrid; Kathoever, Raphaela; Poertner, Hans-Otto; Frickenhaus, Stephan; Lucassen, Magnus] Alfred Wegener Inst Polar &amp; Marine Res, D-2850 Bremerhaven, Germany</t>
  </si>
  <si>
    <t>Windisch, HS (corresponding author), Handelshafen 12, D-27570 Bremerhaven, Germany.</t>
  </si>
  <si>
    <t>heidrun.windisch@awi.de</t>
  </si>
  <si>
    <t>Windisch, Heidrun S/H-9505-2014; Pörtner, Hans-O./ISU-9397-2023; Pörtner, Hans-O./K-9429-2016; Lucassen, Magnus/ABA-8396-2021; Lucassen, Magnus/E-8433-2011</t>
  </si>
  <si>
    <t>Pörtner, Hans-O./0000-0001-6535-6575; Lucassen, Magnus/0000-0003-4276-4781; Frickenhaus, Stephan/0000-0002-0356-9791</t>
  </si>
  <si>
    <t>Deutsche Forschungsgemeinschaft [LU1463/1-2]; Helmholtz Association</t>
  </si>
  <si>
    <t>Deutsche Forschungsgemeinschaft(German Research Foundation (DFG)); Helmholtz Association(Helmholtz Association)</t>
  </si>
  <si>
    <t>The study was partly funded by Deutsche Forschungsgemeinschaft (LU1463/1-2). It is a contribution to the PACES research program (work package 1.6) of the Alfred Wegener Institute funded by the Helmholtz Association.</t>
  </si>
  <si>
    <t>AMER PHYSIOLOGICAL SOC</t>
  </si>
  <si>
    <t>9650 ROCKVILLE PIKE, BETHESDA, MD 20814 USA</t>
  </si>
  <si>
    <t>0363-6119</t>
  </si>
  <si>
    <t>1522-1490</t>
  </si>
  <si>
    <t>AM J PHYSIOL-REG I</t>
  </si>
  <si>
    <t>Am. J. Physiol.-Regul. Integr. Comp. Physiol.</t>
  </si>
  <si>
    <t>R1453</t>
  </si>
  <si>
    <t>R1466</t>
  </si>
  <si>
    <t>10.1152/ajpregu.00158.2011</t>
  </si>
  <si>
    <t>844IY</t>
  </si>
  <si>
    <t>WOS:000296742100024</t>
  </si>
  <si>
    <t>Capers, RS; Stone, AD</t>
  </si>
  <si>
    <t>Capers, R. S.; Stone, A. D.</t>
  </si>
  <si>
    <t>After 33 Years, Trees More Frequent and Shrubs More Abundant in Northeast US Alpine Community</t>
  </si>
  <si>
    <t>SIMULATED CLIMATE-CHANGE; PLANT FUNCTIONAL TYPES; NEW-ENGLAND; NEW-YORK; RESPONSES; VEGETATION; TUNDRA; RANGE; ECOSYSTEM; TREELINE</t>
  </si>
  <si>
    <t>Alpine plant communities are sensitive to global climate change, which has been predicted to cause increases in woody vegetation, possibly at the expense of herbs. We studied a community in western Maine, comparing the frequency and abundance of alpine plants in 2009 with frequency and abundance recorded in 1976. During the 33 years between surveys, the most common tree became more frequent, and as a result, the frequency of trees as a functional group increased. Shrubs did not become more frequent but did become more abundant, driven by the increasing abundance of two Vaccinium species. Several species provided evidence of strong affinities for the north or south slope of the mountain, but in most cases such evidence was apparent in a species' frequency or its abundance, not both, indicating that different forces regulate dispersal and vegetative growth of alpine plants, which could have implications for understanding responses to changing environmental conditions. Total species richness of the community increased, with the addition of several lower montane herbs. The changes are consistent with predictions and with observations made in tundra communities elsewhere.</t>
  </si>
  <si>
    <t>[Capers, R. S.] Univ Connecticut, Dept Ecol &amp; Evolutionary Biol, George Safford Torrey Herbarium, Storrs, CT 06269 USA; [Stone, A. D.] Alton Engn, Sterling, MA 01564 USA</t>
  </si>
  <si>
    <t>University of Connecticut</t>
  </si>
  <si>
    <t>Capers, RS (corresponding author), Univ Connecticut, Dept Ecol &amp; Evolutionary Biol, George Safford Torrey Herbarium, Storrs, CT 06269 USA.</t>
  </si>
  <si>
    <t>robert.capers@uconn.edu</t>
  </si>
  <si>
    <t>Capers, Robert/0000-0002-9563-4625</t>
  </si>
  <si>
    <t>10.1657/1938-4246-43.4.495</t>
  </si>
  <si>
    <t>WOS:000298722400001</t>
  </si>
  <si>
    <t>Copland, L; Sylvestre, T; Bishop, MP; Shroder, JF; Seong, YB; Owen, LA; Bush, A; Kamp, U</t>
  </si>
  <si>
    <t>Copland, Luke; Sylvestre, Tyler; Bishop, Michael P.; Shroder, John F.; Seong, Yeong Bae; Owen, Lewis A.; Bush, Andrew; Kamp, Ulrich</t>
  </si>
  <si>
    <t>Expanded and Recently Increased Glacier Surging in the Karakoram</t>
  </si>
  <si>
    <t>MASS-BALANCE; VARIEGATED GLACIER; BALTORO GLACIER; EAST GREENLAND; LILIGO GLACIER; SURGES; PAKISTAN; HIMALAYA; SVALBARD; CLIMATE</t>
  </si>
  <si>
    <t>A review of published literature and satellite imagery from the late 1960s onwards has revealed 90 surge-type glaciers in the Karakoram mountains, of which 50 have not previously been described in detail. These glaciers were identified by a number of surface features indicative of surge-type behavior such as looped moraines, rapid terminus advance, strandlines and rapid changes in surface crevassing. These observations indicate that surge-type behavior is more common and widespread than previously believed on Karakoram glaciers. There is strong spatial clustering of the surge-type glaciers, and a doubling in the number of new surges in the 14 years after 1990 (26 surges) than in the 14 years before 1990 (13 surges). This is coincident with a period of increased precipitation and positive glacier mass balance in this region, and supports previous studies which have found that mass balance has an important control on the frequency of glacier surging.</t>
  </si>
  <si>
    <t>[Copland, Luke; Sylvestre, Tyler] Univ Ottawa, Dept Geog, Ottawa, ON K1N 6N5, Canada; [Bishop, Michael P.; Shroder, John F.] Univ Nebraska, Dept Geog &amp; Geol, Omaha, NE 68182 USA; [Seong, Yeong Bae] Korea Univ, Dept Geog Educ, Seoul 136701, South Korea; [Owen, Lewis A.] Univ Cincinnati, Dept Geol, Cincinnati, OH 45221 USA; [Bush, Andrew] Univ Alberta, Dept Earth &amp; Atmospher Sci, Edmonton, AB T6G 2E3, Canada; [Kamp, Ulrich] Univ Montana, Dept Geog, Missoula, MT 59812 USA</t>
  </si>
  <si>
    <t>University of Ottawa; University of Nebraska System; Korea University; University System of Ohio; University of Cincinnati; University of Alberta; University of Montana System; University of Montana</t>
  </si>
  <si>
    <t>Copland, L (corresponding author), Univ Ottawa, Dept Geog, Ottawa, ON K1N 6N5, Canada.</t>
  </si>
  <si>
    <t>luke.copland@uottawa.ca</t>
  </si>
  <si>
    <t>Kamp, Ulrich/JHT-1734-2023; Shroder, John Ford/AAB-3059-2022; Seong, Yeong Bae/K-2420-2019; Shroder, John Ford/AFM-3167-2022</t>
  </si>
  <si>
    <t>Shroder, John Ford/0000-0002-5009-5592; Seong, Yeong Bae/0000-0001-6605-3912; Shroder, John Ford/0000-0002-5009-5592; Owen, Lewis/0000-0002-2525-5160; Kamp, Ulrich/0000-0003-2923-0662</t>
  </si>
  <si>
    <t>Natural Sciences and Engineering Research Council of Canada; Canada Foundation for Innovation; Canadian Foundation for Climate and Atmospheric Sciences; Canadian Institute for Advanced Research; Ontario Research Fund; University of Ottawa; U.S. National Science Foundation [BCS-0242339]; National Geographic Society; NASA [NNG04G184G]</t>
  </si>
  <si>
    <t>Natural Sciences and Engineering Research Council of Canada(Natural Sciences and Engineering Research Council of Canada (NSERC)CGIAR); Canada Foundation for Innovation(Canada Foundation for InnovationCGIARSpanish Government); Canadian Foundation for Climate and Atmospheric Sciences; Canadian Institute for Advanced Research(Canadian Institute for Advanced Research (CIFAR)); Ontario Research Fund; University of Ottawa; U.S. National Science Foundation(National Science Foundation (NSF)); National Geographic Society(National Geographic Society); NASA(National Aeronautics &amp; Space Administration (NASA))</t>
  </si>
  <si>
    <t>We would like to thank the Natural Sciences and Engineering Research Council of Canada, Canada Foundation for Innovation, Canadian Foundation for Climate and Atmospheric Sciences, Canadian Institute for Advanced Research, Ontario Research Fund, University of Ottawa, U.S. National Science Foundation (grant BCS-0242339), National Geographic Society, and NASA (grant NNG04G184G) for funding. ASTER data courtesy of the GLIMS project. We also gratefully acknowledge Penny Clendon, the K2 2005 medical team, and our dedicated porters and guides for assistance in the field. We thank Hester Jiskoot and Will Harrison for useful reviews that helped improve the original manuscript.</t>
  </si>
  <si>
    <t>10.1657/1938-4246-43.4.503</t>
  </si>
  <si>
    <t>WOS:000298722400002</t>
  </si>
  <si>
    <t>Finstad, GL; Kielland, K</t>
  </si>
  <si>
    <t>Finstad, Gregory L.; Kielland, Knut</t>
  </si>
  <si>
    <t>Landscape Variation in the Diet and Productivity of Reindeer in Alaska Based on Stable Isotope Analyses</t>
  </si>
  <si>
    <t>RANGIFER-TARANDUS; NITROGEN ISOTOPES; MILK-PRODUCTION; AMINO-ACIDS; CARIBOU; PROTEIN; CARBON; N-15; FRACTIONATION; PLANTS</t>
  </si>
  <si>
    <t>Productivity of a managed grazing system is dependent upon both the grazing strategy of ungulates and decisions made by humans. Herds of domestic reindeer (Rangifer tarandus tarandus) graze on discrete ranges of the Seward Peninsula, Alaska with variable production rates. We show that the N-15 natural abundance of reindeer forages vary significantly and the delta N-15 value of collagen deposited in antler bone from spring until ossification was significantly correlated with the delta N-15 signature of the diet. Calf weight in June was related to isotopic signatures in antler and soft tissue of adult females, and was inversely correlated with the absolute differential between summer and winter serum delta N-15 values. This observation suggests that female reindeer with smaller calves had catabolized more body protein during winter than females in adjacent herds. Moreover, in herds with smaller calves, female reindeer consumed proportionately more shrubs in early spring resulting in a strong relationship between delta N-15 signatures of antler collagen deposited in May and calf weight. These data suggest female reindeer catabolizing relatively more body protein during winter may attempt to compensate by increasing consumption of high-protein catkins and leaf buds of shrubs during May. Herders with relatively smaller calves in their herds may be able to improve protein balance of reproductive females and thus increase calf productivity by increasing access to shrub habitats during spring.</t>
  </si>
  <si>
    <t>[Finstad, Gregory L.] Univ Alaska Fairbanks, Reindeer Res Program, Sch Nat Resources &amp; Agr Sci, Fairbanks, AK 99775 USA; [Kielland, Knut] Univ Alaska, Inst Arctic Biol, Fairbanks, AK 99775 USA</t>
  </si>
  <si>
    <t>University of Alaska System; University of Alaska Fairbanks; University of Alaska System; University of Alaska Fairbanks</t>
  </si>
  <si>
    <t>Finstad, GL (corresponding author), Univ Alaska Fairbanks, Reindeer Res Program, Sch Nat Resources &amp; Agr Sci, POB 757200, Fairbanks, AK 99775 USA.</t>
  </si>
  <si>
    <t>glfinstad@alaska.edu</t>
  </si>
  <si>
    <t>School of Natural Resources and Agricultural Sciences, University of Alaska Fairbanks; National Science Foundation [OPP 9979473]; Direct For Biological Sciences; Division Of Environmental Biology [1026415] Funding Source: National Science Foundation</t>
  </si>
  <si>
    <t>School of Natural Resources and Agricultural Sciences, University of Alaska Fairbanks; National Science Foundation(National Science Foundation (NSF)); Direct For Biological Sciences; Division Of Environmental Biology(National Science Foundation (NSF)NSF - Directorate for Biological Sciences (BIO))</t>
  </si>
  <si>
    <t>We gratefully acknowledge the staff of the Reindeer Research Program for their technical and logistical support and the Robert G. White Large Animal Research Station for furnishing the caribou antlers used in the study. We also thank the Kawerak Reindeer Herders Association, particularly Tom Gray, Jimmy Noyakuk, Larry Davis, Leonard Olanna, and Clifford Weyiouanna for providing insight and encouragement throughout the study, as well as valuable logistical support in the field. This project was funded by the School of Natural Resources and Agricultural Sciences, University of Alaska Fairbanks, and by the National Science Foundation (OPP 9979473).</t>
  </si>
  <si>
    <t>10.1657/1938-4246-43.4.543</t>
  </si>
  <si>
    <t>WOS:000298722400005</t>
  </si>
  <si>
    <t>Wada, T; Chikita, KA; Kim, Y; Kudo, I</t>
  </si>
  <si>
    <t>Wada, Tomoyuki; Chikita, K. A.; Kim, Y.; Kudo, I.</t>
  </si>
  <si>
    <t>Glacial Effects on Discharge and Sediment Load in the Subarctic Tanana River Basin, Alaska</t>
  </si>
  <si>
    <t>GULKANA GLACIER; YUKON RIVER; TRANSPORT; TEMPERATURE; HYDROLOGY; SURFACE; CREEK; SNOW</t>
  </si>
  <si>
    <t>About 5.6% of the drainage area of the Tanana River, Alaska, is covered by mountainous glacierized regions, and most of the other area by forests (51%) and wetlands (9%) with discontinuous permafrost. The water discharge and sediment load from glacierized and non-glacierized regions within the drainage area were represented by observed data of the proglacial Phelan Creek and the non-glacial Chena River, respectively, which are both the tributaries of the Tanana River and ultimately drain to the Yukon river basin. In the glacier-melt periods of 2007 and 2008, the runoff rate and suspended sediment concentration in Phelan Creek was 15 times and 36 times as high as those in the non-glacial Chena River, respectively. As a result, the mean sediment yield in the glacier-melt periods of 2007 and 2008 for Phelan Creek (24.8 t km(-2) day(-1)) was estimated to be 640 times as high as that in the Chena River (0.039 t km(-2) day(-1)). Hence, the glacierized regions were considered to be a major source of the fluvial sediment. In order to quantify the contribution of water discharge and sediment load from the glacierized regions to those of the Tanana River, the time series of water discharge, Q, and sediment load, L, in the glacier-melt periods were simulated by a tank model coupled with the L-Q equations (Nash-Sutcliffe efficiency coefficients, 0.41 to 0.82). The model indicates that the glacier-melt discharge accounted for 26-57% of the Tanana discharge, while the sediment load from the glacierized regions solely accounted for 76-94% of the Tanana sediment load. The remaining contribution (6-24%) of the sediment load was probably due to the fluvial resuspension of glacial sediment deposited previously in the river channels.</t>
  </si>
  <si>
    <t>[Wada, Tomoyuki; Chikita, K. A.] Hokkaido Univ, Fac Sci, Sapporo, Hokkaido 0600810, Japan; [Kim, Y.] Univ Alaska Fairbanks, Int Arctic Res Ctr, Fairbanks, AK 99775 USA; [Kudo, I.] Hokkaido Univ, Fac Fisheries Sci, Hakodate, Hokkaido 0418611, Japan</t>
  </si>
  <si>
    <t>Hokkaido University; University of Alaska System; University of Alaska Fairbanks; Hokkaido University</t>
  </si>
  <si>
    <t>Chikita, KA (corresponding author), Hokkaido Univ, Fac Sci, Sapporo, Hokkaido 0600810, Japan.</t>
  </si>
  <si>
    <t>chikita@mail.sci.hokudai.ac.jp</t>
  </si>
  <si>
    <t>Kim, Yongwon/F-4683-2010</t>
  </si>
  <si>
    <t>Kim, Yongwon/0000-0002-6513-4777</t>
  </si>
  <si>
    <t>International Arctic Research Center (IARC); University of Alaska at Fairbanks (UAF); Japan Aerospace Exploration Agency (JAXA) of IARC/JAXA; Directorate For Geosciences; Office of Polar Programs (OPP) [0652838] Funding Source: National Science Foundation</t>
  </si>
  <si>
    <t>International Arctic Research Center (IARC); University of Alaska at Fairbanks (UAF); Japan Aerospace Exploration Agency (JAXA) of IARC/JAXA; Directorate For Geosciences; Office of Polar Programs (OPP)(National Science Foundation (NSF)NSF - Directorate for Geosciences (GEO))</t>
  </si>
  <si>
    <t>We are greatly indebted to Prof. S.-D. Kim for his useful information on the vegetation in Alaska. We express our gratitude to Prof. M. Sasaki, Dr. H. Iwana, Dr. E. Watanabe, and Mr. W.-J. Kim for their great help in our field observations. We also appreciate the support of Prof. S. Akasofu, Prof. L. Hinzman, Prof. M. Fukuda, and Ms. Yoriko Freed; the International Arctic Research Center (IARC); the University of Alaska at Fairbanks (UAF); and we appreciate the data supplied by the U.S. Geological Survey, Western Regional Climate Center and Alaska Climate Research Center. This study was financially supported by the Japan Aerospace Exploration Agency (JAXA) as research in the joint project of IARC/JAXA.</t>
  </si>
  <si>
    <t>10.1657/1938-4246-43.4.632</t>
  </si>
  <si>
    <t>WOS:000298722400013</t>
  </si>
  <si>
    <t>Kogelnig-Mayer, B; Stoffel, M; Schneuwly-Bollschweiler, M; Hübl, J; Rudolf-Miklau, F</t>
  </si>
  <si>
    <t>Kogelnig-Mayer, Barbara; Stoffel, Markus; Schneuwly-Bollschweiler, Michelle; Huebl, Johannes; Rudolf-Miklau, Florian</t>
  </si>
  <si>
    <t>Possibilities and Limitations of Dendrogeomorphic Time-Series Reconstructions on Sites Influenced by Debris Flows and Frequent Snow Avalanche Activity</t>
  </si>
  <si>
    <t>TREE-RINGS; MAGNITUDE; ROCKFALL; VALAIS; CONE</t>
  </si>
  <si>
    <t>Past debris-flow and snow avalanche activity was assessed for the Reiselehnrinne (Tyrol, Austria) using growth disturbances in growth-ring series of 372 Norway spruce (Picea abies (L.) Karst.) trees. Determination of events was performed by analyzing (a) the number and (b) intensity of growth disturbances within tree-ring series and (c) the spatial distribution of affected trees. Differentiation of debris flow from snow avalanche events was based on the intra-annual position of scars, callus tissues or tangential rows of traumatic resin ducts, and on the spatial distribution of trees with simultaneous reactions in the tree-ring series. We introduce a weighting factor to substantiate the dating of past process activity in a comprehensive way and to compare individual events as to their intensity and total number of tree-ring responses. The accuracy of the dendrogeomorphic assessment was then evaluated by comparing the reconstructed event frequency with chronologies available for the Reiselehnrinne. Comparison of tree-ring with historical data demonstrated clearly that the reconstructed event frequency contains the majority of past debris flow and snow avalanche events in the Reiselehnrinne, but that dating of events is not always possible, especially if they are clustered in time or have a limited spread on the cone.</t>
  </si>
  <si>
    <t>[Kogelnig-Mayer, Barbara; Huebl, Johannes] Univ Nat Resources &amp; Appl Life Sci, Inst Mt Risk Engn, A-1190 Vienna, Austria; [Stoffel, Markus] Univ Bern, Lab Dendrogeomorphol, Inst Geol Sci, CH-3012 Bern, Switzerland; [Schneuwly-Bollschweiler, Michelle] Univ Geneva, CH-1227 Carouge, Switzerland; [Rudolf-Miklau, Florian] Fed Minist Agr Forestry Environm &amp; Water Manageme, A-1030 Vienna, Austria</t>
  </si>
  <si>
    <t>BOKU University; University of Bern; University of Geneva</t>
  </si>
  <si>
    <t>Kogelnig-Mayer, B (corresponding author), Univ Nat Resources &amp; Appl Life Sci, Inst Mt Risk Engn, Peter Jordanstr 82, A-1190 Vienna, Austria.</t>
  </si>
  <si>
    <t>barbara.mayer@die-wildbach.at</t>
  </si>
  <si>
    <t>Stoffel, Markus/A-1793-2017; Huebl, Johannes/O-3814-2014</t>
  </si>
  <si>
    <t>Stoffel, Markus/0000-0003-0816-1303;</t>
  </si>
  <si>
    <t>local community of Sankt Leonhard im Pitztal</t>
  </si>
  <si>
    <t>The authors would like to thank the Forest Engineering Service of the Torrent and Avalanche Control Oberes Inntal (Hubert Agerer, Andreas Drexl, and Christian Weber) for providing access to historical data, digital terrain models, and orthophotos. Thanks are also addressed to the local community of Sankt Leonhard im Pitztal, its mayor Rupert Hosp, and local forester Elmar Haid for coring permission and support. We kindly acknowledge Arnold Kogelnig, Emily Procter, and Josef Pichler for assistance in the field. This paper is a contribution of the EU-Projects AdaptAlp, Deucalion, and ACQWA and supports the improvement of hazard assessment methods and the complementation of historic event data sets.</t>
  </si>
  <si>
    <t>10.1657/1938-4246-43.4.649</t>
  </si>
  <si>
    <t>WOS:000298722400014</t>
  </si>
  <si>
    <t>Wang, LZ; Macri, LM; Krisciunas, K; Wang, LF; Ashley, MCB; Cui, XQ; Feng, LL; Gong, XF; Lawrence, JS; Liu, Q; Luong-Van, D; Pennypacker, CR; Shang, ZH; Storey, JWV; Yang, HG; Yang, J; Yuan, XY; York, DG; Zhou, X; Zhu, ZX; Zhu, ZH</t>
  </si>
  <si>
    <t>Wang, Lingzhi; Macri, Lucas M.; Krisciunas, Kevin; Wang, Lifan; Ashley, Michael C. B.; Cui, Xiangqun; Feng, Long-Long; Gong, Xuefei; Lawrence, Jon S.; Liu, Qiang; Luong-Van, Daniel; Pennypacker, Carl R.; Shang, Zhaohui; Storey, John W. V.; Yang, Huigen; Yang, Ji; Yuan, Xiangyan; York, Donald G.; Zhou, Xu; Zhu, Zhenxi; Zhu, Zonghong</t>
  </si>
  <si>
    <t>PHOTOMETRY OF VARIABLE STARS FROM DOME A, ANTARCTICA</t>
  </si>
  <si>
    <t>ASTRONOMICAL JOURNAL</t>
  </si>
  <si>
    <t>site testing; stars: variables: general</t>
  </si>
  <si>
    <t>SKY AUTOMATED SURVEY; ECLIPSING BINARIES; FREQUENCY-ANALYSIS; BOUNDARY-LAYER; ASTRONOMY; CATALOG; BRIGHTNESS; SEARCH; CSTAR; SOUTH</t>
  </si>
  <si>
    <t>Dome A on the Antarctic plateau is likely one of the best observing sites on Earth thanks to the excellent atmospheric conditions present at the site during the long polar winter night. We present high-cadence time-series aperture photometry of 10,000 stars with i &lt; 14.5 mag located in a 23 deg(2) region centered on the south celestial pole. The photometry was obtained with one of the CSTAR telescopes during 128 days of the 2008 Antarctic winter. We used this photometric data set to derive site statistics for Dome A and to search for variable stars. Thanks to the nearly uninterrupted synoptic coverage, we found six times as many variables as previous surveys with similar magnitude limits. We detected 157 variable stars, of which 55% were unclassified, 27% were likely binaries, and 17% were likely pulsating stars. The latter category includes delta Scuti, gamma Doradus, and RR Lyrae variables. One variable may be a transiting exoplanet.</t>
  </si>
  <si>
    <t>[Wang, Lingzhi; Zhu, Zonghong] Beijing Normal Univ, Dept Astron, Beijing 100875, Peoples R China; [Wang, Lingzhi; Macri, Lucas M.; Krisciunas, Kevin; Wang, Lifan] Texas A&amp;M Univ, Mitchell Inst Fundamental Phys &amp; Astron, Dept Phys &amp; Astron, College Stn, TX 77843 USA; [Wang, Lifan; Feng, Long-Long; Zhu, Zhenxi] Chinese Acad Sci, Purple Mt Observ, Nanjing 210008, Peoples R China; [Ashley, Michael C. B.; Lawrence, Jon S.; Luong-Van, Daniel; Storey, John W. V.] Univ New S Wales, Sch Phys, Sydney, NSW 2052, Australia; [Cui, Xiangqun; Gong, Xuefei; Yuan, Xiangyan] Nanjing Inst Astron Opt &amp; Technol, Nanjing 210042, Peoples R China; [Lawrence, Jon S.] Australian Astron Observ, Coonabarabran, NSW 1710, Australia; [Liu, Qiang; Zhou, Xu] Chinese Acad Sci, Natl Astron Observ China, Beijing 100012, Peoples R China; [Pennypacker, Carl R.] Univ Calif Berkeley, Lawrence Berkeley Lab, Ctr Astrophys, Berkeley, CA 94720 USA; [Shang, Zhaohui] Tianjin Normal Univ, Dept Phys, Tianjin 300074, Peoples R China; [Yang, Huigen] Polar Res Inst China, Shanghai 200136, Peoples R China; [Yuan, Xiangyan; Zhou, Xu] Chinese Ctr Antarctic Astron, Nanjing 210008, Peoples R China; [York, Donald G.] Univ Chicago, Dept Astron &amp; Astrophys, Chicago, IL 60637 USA; [York, Donald G.] Univ Chicago, Enrico Fermi Inst, Chicago, IL 60637 USA</t>
  </si>
  <si>
    <t>Beijing Normal University; Texas A&amp;M University System; Texas A&amp;M University College Station; Purple Mountain Observatory, CAS; Chinese Academy of Sciences; Nanjing Institute of Astronomical Optics &amp; Technology, NAOC, CAS; University of New South Wales Sydney; Chinese Academy of Sciences; Nanjing Institute of Astronomical Optics &amp; Technology, NAOC, CAS; Chinese Academy of Sciences; National Astronomical Observatory, CAS; University of California System; University of California Berkeley; United States Department of Energy (DOE); Lawrence Berkeley National Laboratory; Tianjin Normal University; Polar Research Institute of China; University of Chicago; University of Chicago</t>
  </si>
  <si>
    <t>Wang, LZ (corresponding author), Beijing Normal Univ, Dept Astron, Beijing 100875, Peoples R China.</t>
  </si>
  <si>
    <t>Wang, Lingzhi/0000-0002-1094-3817; Ashley, Michael/0000-0003-1412-2028; Lawrence, Jon/0000-0002-6998-6993; Macri, Lucas/0000-0002-1775-4859</t>
  </si>
  <si>
    <t>China Scholarship Council; National Natural Science Foundation of China [10825313, 11073005]; Ministry of Science and Technology [2007CB815401]; Excellent Doctoral Dissertation of Beijing Normal University; Department of Physics &amp; Astronomy at Texas AM University; Mitchell-Munnerlyn-Heep Chair for tenure-track faculty; NSFC-CAS [10778706]; CAS [KJCX2-YW-T08]; Australian Research Council; Australian Antarctic Division</t>
  </si>
  <si>
    <t>China Scholarship Council(China Scholarship Council); National Natural Science Foundation of China(National Natural Science Foundation of China (NSFC)); Ministry of Science and Technology(Spanish Government); Excellent Doctoral Dissertation of Beijing Normal University; Department of Physics &amp; Astronomy at Texas AM University; Mitchell-Munnerlyn-Heep Chair for tenure-track faculty; NSFC-CAS(National Natural Science Foundation of China (NSFC)Chinese Academy of Sciences); CAS(Chinese Academy of Sciences); Australian Research Council(Australian Research Council); Australian Antarctic Division</t>
  </si>
  <si>
    <t>Lingzhi Wang acknowledges financial support by the China Scholarship Council and the National Natural Science Foundation of China under the Distinguished Young Scholar Grant 10825313 and Grant 11073005, by the Ministry of Science and Technology National Basic Science Program (Project 973) under grant number 2007CB815401, and by the Excellent Doctoral Dissertation of Beijing Normal University Engagement Fund.; Lucas Macri and Lifan Wang acknowledge support by the Department of Physics &amp; Astronomy at Texas A&amp;M University through faculty startup funds and the Mitchell-Munnerlyn-Heep Chair for tenure-track faculty.; This work was supported by the Chinese PANDA International Polar Year project, NSFC-CAS joint key program through grant number 10778706, CAS main direction program through grant number KJCX2-YW-T08. The authors deeply appreciate the great efforts made by the 24-27th Dome A expedition teams who provided invaluable assistance to the astronomers that set up and maintained the CSTAR telescope and the PLATO system. PLATO was supported by the Australian Research Council and the Australian Antarctic Division. Iridium communications were provided by the US National Science Foundation and the US Antarctic Program.</t>
  </si>
  <si>
    <t>0004-6256</t>
  </si>
  <si>
    <t>1538-3881</t>
  </si>
  <si>
    <t>ASTRON J</t>
  </si>
  <si>
    <t>Astron. J.</t>
  </si>
  <si>
    <t>10.1088/0004-6256/142/5/155</t>
  </si>
  <si>
    <t>844VH</t>
  </si>
  <si>
    <t>WOS:000296777000012</t>
  </si>
  <si>
    <t>Abbasi, R; Abdou, Y; Abu-Zayyad, T; Ackermann, M; Adams, J; Aguilar, JA; Ahlers, M; Allen, MM; Altmann, D; Andeen, K; Auffenberg, J; Bai, X; Baker, M; Barwick, SW; Baum, V; Bay, R; Alba, JLB; Beattie, K; Beatty, JJ; Bechet, S; Becker, JK; Becker, KH; Benabderrahmane, ML; BenZvi, S; Berdermann, J; Berghaus, P; Berley, D; Bernardini, E; Bertrand, D; Besson, DZ; Bindig, D; Bissok, M; Blaufuss, E; Blumenthal, J; Boersma, DJ; Bohm, C; Bose, D; Böser, S; Botner, O; Brown, AM; Buitink, S; Caballero-Mora, KS; Carson, M; Chirkin, D; Christy, B; Clevermann, F; Cohen, S; Colnard, C; Cowen, DF; Silva, AHC; D'Agostino, MV; Danninger, M; Daughhetee, J; Davis, JC; De Clercq, C; Degner, T; Demirörs, L; Descamps, F; Desiati, P; de Vries-Uiterweerd, G; DeYoung, T; Díaz-Vélez, JC; Dierckxsens, M; Dreyer, J; Dumm, JP; Dunkman, M; Eisch, J; Ellsworth, RW; Engdegård, O; Euler, S; Evenson, PA; Fadiran, O; Fazely, AR; Fedynitch, A; Feintzeig, J; Feusels, T; Filimonov, K; Finley, C; Fischer-Wasels, T; Fox, BD; Franckowiak, A; Franke, R; Gaisser, TK; Gallagher, J; Gerhardt, L; Gladstone, L; Glüsenkamp, T; Goldschmidt, A; Goodman, JA; Góra, D; Grant, D; Griesel, T; Gross, A; Grullon, S; Gurtner, M; Ha, C; Ismail, AH; Hallgren, A; Halzen, F; Han, K; Hanson, K; Heinen, D; Helbing, K; Hellauer, R; Hickford, S; Hill, GC; Hoffman, KD; Hoffmann, B; Homeier, A; Hoshina, K; Huelsnitz, W; Hülss, JP; Hulth, PO; Hultqvist, K; Hussain, S; Ishihara, A; Jakobi, E; Jacobsen, J; Japaridze, GS; Johansson, H; Kampert, KH; Kappes, A; Karg, T; Karle, A; Kenny, P; Kiryluk, J; Kislat, F; Klein, SR; Köhne, H; Kohnen, G; Kolanoski, H; Köpke, L; Kopper, S; Koskinen, DJ; Kowalski, M; Kowarik, T; Krasberg, M; Kroll, G; Kurahashi, N; Kuwabara, T; Labare, M; Laihem, K; Landsman, H; Larson, MJ; Lauer, R; Lünemann, J; Madsen, J; Marotta, A; Maruyama, R; Mase, K; Matis, HS; Meagher, K; Merck, M; Mészáros, P; Meures, T; Miarecki, S; Middell, E; Milke, N; Miller, J; Montaruli, T; Morse, R; Movit, SM; Nahnhauer, R; Nam, JW; Naumann, U; Nygren, DR; Odrowski, S; Olivas, A; Olivo, M; O'Murchadha, A; Panknin, S; Paul, L; de los Heros, CP; Petrovic, J; Piegsa, A; Pieloth, D; Porrata, R; Posselt, J; Price, PB; Przybylski, GT; Rawlins, K; Redl, P; Resconi, E; Rhode, W; Ribordy, M; Richard, AS; Richman, M; Rodrigues, JP; Rothmaier, F; Rott, C; Ruhe, T; Rutledge, D; Ruzybayev, B; Ryckbosch, D; Sander, HG; Santander, M; Sarkar, S; Schatto, K; Schmidt, T; Schönwald, A; Schukraft, A; Schulte, L; Schultes, A; Schulz, O; Schunck, M; Seckel, D; Semburg, B; Seo, SH; Sestayo, Y; Seunarine, S; Silvestri, A; Singh, K; Slipak, A; Spiczak, GM; Spiering, C; Stamatikos, M; Stanev, T; Stezelberger, T; Stokstad, RG; Stössl, A; Strahler, EA; Ström, R; Stüer, M; Sullivan, GW; Swillens, Q; Taavola, H; Taboada, I; Tamburro, A; Tepe, A; Ter-Antonyan, S; Tilav, S; Toale, PA; Toscano, S; Tosi, D; van Eijndhoven, N; Vandenbroucke, J; Van Overloop, A; van Santen, J; Vehring, M; Voge, M; Walck, C; Waldenmaier, T; Wallraff, M; Walter, M; Weaver, C; Wendt, C; Westerhoff, S; Whitehorn, N; Wiebe, K; Wiebusch, CH; Williams, DR; Wischnewski, R; Wissing, H; Wolf, M; Wood, TR; Woschnagg, K; Xu, C; Xu, DL; Xu, XW; Yanez, JP; Yodh, G; Yoshida, S; Zarzhitsky, P; Zoll, M</t>
  </si>
  <si>
    <t>Abbasi, R.; Abdou, Y.; Abu-Zayyad, T.; Ackermann, M.; Adams, J.; Aguilar, J. A.; Ahlers, M.; Allen, M. M.; Altmann, D.; Andeen, K.; Auffenberg, J.; Bai, X.; Baker, M.; Barwick, S. W.; Baum, V.; Bay, R.; Alba, J. L. Bazo; Beattie, K.; Beatty, J. J.; Bechet, S.; Becker, J. K.; Becker, K. -H.; Benabderrahmane, M. L.; BenZvi, S.; Berdermann, J.; Berghaus, P.; Berley, D.; Bernardini, E.; Bertrand, D.; Besson, D. Z.; Bindig, D.; Bissok, M.; Blaufuss, E.; Blumenthal, J.; Boersma, D. J.; Bohm, C.; Bose, D.; Boeser, S.; Botner, O.; Brown, A. M.; Buitink, S.; Caballero-Mora, K. S.; Carson, M.; Chirkin, D.; Christy, B.; Clevermann, F.; Cohen, S.; Colnard, C.; Cowen, D. F.; Silva, A. H. Cruz; D'Agostino, M. V.; Danninger, M.; Daughhetee, J.; Davis, J. C.; De Clercq, C.; Degner, T.; Demiroers, L.; Descamps, F.; Desiati, P.; de Vries-Uiterweerd, G.; DeYoung, T.; Diaz-Velez, J. C.; Dierckxsens, M.; Dreyer, J.; Dumm, J. P.; Dunkman, M.; Eisch, J.; Ellsworth, R. W.; Engdegard, O.; Euler, S.; Evenson, P. A.; Fadiran, O.; Fazely, A. R.; Fedynitch, A.; Feintzeig, J.; Feusels, T.; Filimonov, K.; Finley, C.; Fischer-Wasels, T.; Fox, B. D.; Franckowiak, A.; Franke, R.; Gaisser, T. K.; Gallagher, J.; Gerhardt, L.; Gladstone, L.; Gluesenkamp, T.; Goldschmidt, A.; Goodman, J. A.; Gora, D.; Grant, D.; Griesel, T.; Gross, A.; Grullon, S.; Gurtner, M.; Ha, C.; Ismail, A. Haj; Hallgren, A.; Halzen, F.; Han, K.; Hanson, K.; Heinen, D.; Helbing, K.; Hellauer, R.; Hickford, S.; Hill, G. C.; Hoffman, K. D.; Hoffmann, B.; Homeier, A.; Hoshina, K.; Huelsnitz, W.; Huelss, J. -P.; Hulth, P. O.; Hultqvist, K.; Hussain, S.; Ishihara, A.; Jakobi, E.; Jacobsen, J.; Japaridze, G. S.; Johansson, H.; Kampert, K. -H.; Kappes, A.; Karg, T.; Karle, A.; Kenny, P.; Kiryluk, J.; Kislat, F.; Klein, S. R.; Koehne, H.; Kohnen, G.; Kolanoski, H.; Koepke, L.; Kopper, S.; Koskinen, D. J.; Kowalski, M.; Kowarik, T.; Krasberg, M.; Kroll, G.; Kurahashi, N.; Kuwabara, T.; Labare, M.; Laihem, K.; Landsman, H.; Larson, M. J.; Lauer, R.; Luenemann, J.; Madsen, J.; Marotta, A.; Maruyama, R.; Mase, K.; Matis, H. S.; Meagher, K.; Merck, M.; Meszaros, P.; Meures, T.; Miarecki, S.; Middell, E.; Milke, N.; Miller, J.; Montaruli, T.; Morse, R.; Movit, S. M.; Nahnhauer, R.; Nam, J. W.; Naumann, U.; Nygren, D. R.; Odrowski, S.; Olivas, A.; Olivo, M.; O'Murchadha, A.; Panknin, S.; Paul, L.; Perez de los Heros, C.; Petrovic, J.; Piegsa, A.; Pieloth, D.; Porrata, R.; Posselt, J.; Price, P. B.; Przybylski, G. T.; Rawlins, K.; Redl, P.; Resconi, E.; Rhode, W.; Ribordy, M.; Richard, A. S.; Richman, M.; Rodrigues, J. P.; Rothmaier, F.; Rott, C.; Ruhe, T.; Rutledge, D.; Ruzybayev, B.; Ryckbosch, D.; Sander, H. -G.; Santander, M.; Sarkar, S.; Schatto, K.; Schmidt, T.; Schoenwald, A.; Schukraft, A.; Schulte, L.; Schultes, A.; Schulz, O.; Schunck, M.; Seckel, D.; Semburg, B.; Seo, S. H.; Sestayo, Y.; Seunarine, S.; Silvestri, A.; Singh, K.; Slipak, A.; Spiczak, G. M.; Spiering, C.; Stamatikos, M.; Stanev, T.; Stezelberger, T.; Stokstad, R. G.; Stoessl, A.; Strahler, E. A.; Strom, R.; Stueer, M.; Sullivan, G. W.; Swillens, Q.; Taavola, H.; Taboada, I.; Tamburro, A.; Tepe, A.; Ter-Antonyan, S.; Tilav, S.; Toale, P. A.; Toscano, S.; Tosi, D.; van Eijndhoven, N.; Vandenbroucke, J.; Van Overloop, A.; van Santen, J.; Vehring, M.; Voge, M.; Walck, C.; Waldenmaier, T.; Wallraff, M.; Walter, M.; Weaver, Ch.; Wendt, C.; Westerhoff, S.; Whitehorn, N.; Wiebe, K.; Wiebusch, C. H.; Williams, D. R.; Wischnewski, R.; Wissing, H.; Wolf, M.; Wood, T. R.; Woschnagg, K.; Xu, C.; Xu, D. L.; Xu, X. W.; Yanez, J. P.; Yodh, G.; Yoshida, S.; Zarzhitsky, P.; Zoll, M.</t>
  </si>
  <si>
    <t>IceCube sensitivity for low-energy neutrinos from nearby supernovae</t>
  </si>
  <si>
    <t>neutrinos; supernovae: general; instrumention: detectors</t>
  </si>
  <si>
    <t>EQUATION-OF-STATE; CORE-COLLAPSE; SIGNAL; WATER; BURST; DETECTOR; ICE; EXPLOSIONS; SCATTERING; SEARCH</t>
  </si>
  <si>
    <t>This paper describes the response of the IceCube neutrino telescope located at the geographic south pole to outbursts of MeV neutrinos from the core collapse of nearby massive stars. IceCube was completed in December 2010 forming a lattice of 5160 photomultiplier tubes that monitor a volume of similar to 1 km(3) in the deep Antarctic ice for particle induced photons. The telescope was designed to detect neutrinos with energies greater than 100 GeV. Owing to subfreezing ice temperatures, the photomultiplier dark noise rates are particularly low. Hence IceCube can also detect large numbers of MeV neutrinos by observing a collective rise in all photomultiplier rates on top of the dark noise. With 2 ms timing resolution, IceCube can detect subtle features in the temporal development of the supernova neutrino burst. For a supernova at the galactic center, its sensitivity matches that of a background-free megaton-scale supernova search experiment. The sensitivity decreases to 20 standard deviations at the galactic edge (30 kpc) and 6 standard deviations at the Large Magellanic Cloud (50 kpc). IceCube is sending triggers from potential supernovae to the Supernova Early Warning System. The sensitivity to neutrino properties such as the neutrino hierarchy is discussed, as well as the possibility to detect the neutronization burst, a short outbreak of nu(e)'s released by electron capture on protons soon after collapse. Tantalizing signatures, such as the formation of a quark star or a black hole as well as the characteristics of shock waves, are investigated to illustrate IceCube's capability for supernova detection.</t>
  </si>
  <si>
    <t>[Abbasi, R.; Aguilar, J. A.; Andeen, K.; Baker, M.; BenZvi, S.; Berghaus, P.; Chirkin, D.; Desiati, P.; Diaz-Velez, J. C.; Dumm, J. P.; Eisch, J.; Feintzeig, J.; Gladstone, L.; Grullon, S.; Halzen, F.; Hanson, K.; Hill, G. C.; Hoshina, K.; Jacobsen, J.; Karle, A.; Krasberg, M.; Kurahashi, N.; Landsman, H.; Maruyama, R.; Merck, M.; Montaruli, T.; Morse, R.; O'Murchadha, A.; Rodrigues, J. P.; Santander, M.; Toscano, S.; van Santen, J.; Weaver, Ch.; Wendt, C.; Westerhoff, S.; Whitehorn, N.] Univ Wisconsin, Dept Phys, Madison, WI 53706 USA; [Abdou, Y.; Carson, M.; Descamps, F.; de Vries-Uiterweerd, G.; Feusels, T.; Ismail, A. Haj; Ryckbosch, D.; Van Overloop, A.] Univ Ghent, Dept Subat &amp; Radiat Phys, B-9000 Ghent, Belgium; [Abu-Zayyad, T.; Madsen, J.; Spiczak, G. M.; Tamburro, A.] Univ Wisconsin, Dept Phys, River Falls, WI 54022 USA; [Adams, J.; Brown, A. M.; Gross, A.; Han, K.; Hickford, S.] Univ Canterbury, Dept Phys &amp; Astron, Christchurch 1, New Zealand; [Ahlers, M.; Sarkar, S.] Univ Oxford, Dept Phys, Oxford OX1 3NP, England; [Auffenberg, J.; Becker, K. -H.; Bindig, D.; Fischer-Wasels, T.; Gurtner, M.; Helbing, K.; Kampert, K. -H.; Karg, T.; Kopper, S.; Naumann, U.; Posselt, J.; Schultes, A.; Semburg, B.] Univ Wuppertal, Dept Phys, D-42119 Wuppertal, Germany; [Bai, X.; Evenson, P. A.; Gaisser, T. K.; Hussain, S.; Kuwabara, T.; Ruzybayev, B.; Seckel, D.; Stanev, T.; Tilav, S.; Xu, C.] Univ Delaware, Dept Phys &amp; Astron, Newark, DE 19716 USA; [Bai, X.; Evenson, P. A.; Gaisser, T. K.; Hussain, S.; Kuwabara, T.; Ruzybayev, B.; Seckel, D.; Stanev, T.; Tilav, S.; Xu, C.] Univ Delaware, Bartol Res Inst, Newark, DE 19716 USA; [Barwick, S. W.; Nam, J. W.; Silvestri, A.; Yodh, G.] Univ Calif Irvine, Dept Phys &amp; Astron, Irvine, CA 92697 USA; [Bay, R.; D'Agostino, M. V.; Filimonov, K.; Gerhardt, L.; Kiryluk, J.; Klein, S. R.; Miarecki, S.; Porrata, R.; Price, P. B.; Vandenbroucke, J.; Woschnagg, K.] Univ Calif Berkeley, Dept Phys, Berkeley, CA 94720 USA; [Ackermann, M.; Alba, J. L. Bazo; Benabderrahmane, M. L.; Berdermann, J.; Bernardini, E.; Silva, A. H. Cruz; Danninger, M.; Franke, R.; Gora, D.; Jakobi, E.; Kislat, F.; Lauer, R.; Middell, E.; Nahnhauer, R.; Schoenwald, A.; Spiering, C.; Stoessl, A.; Tosi, D.; Walter, M.; Wischnewski, R.; Yanez, J. P.] DESY, D-15735 Zeuthen, Germany; [Beattie, K.; Buitink, S.; Gerhardt, L.; Goldschmidt, A.; Kiryluk, J.; Klein, S. R.; Matis, H. S.; Miarecki, S.; Nygren, D. R.; Przybylski, G. T.; Stezelberger, T.; Stokstad, R. G.] Univ Calif Berkeley, Lawrence Berkeley Natl Lab, Berkeley, CA 94720 USA; [Beatty, J. J.; Davis, J. C.; Rott, C.; Stamatikos, M.] Ohio State Univ, Ctr Cosmol &amp; Astroparticle Phys, Columbus, OH 43210 USA; [Beatty, J. J.; Davis, J. C.; Rott, C.; Stamatikos, M.] Ohio State Univ, Dept Phys, Columbus, OH 43210 USA; [Beatty, J. J.] Ohio State Univ, Dept Astron, Columbus, OH 43210 USA; [Bechet, S.; Bertrand, D.; Dierckxsens, M.; Hanson, K.; Marotta, A.; Petrovic, J.; Swillens, Q.] Univ Libre Bruxelles, Fac Sci, B-1050 Brussels, Belgium; [Becker, J. K.; Dreyer, J.; Fedynitch, A.; Olivo, M.] Univ Bochum, Fak Phys &amp; Astron, D-44780 Bochum, Germany; [Berley, D.; Blaufuss, E.; Christy, B.; Ellsworth, R. W.; Goodman, J. A.; Hellauer, R.; Hoffman, K. D.; Huelsnitz, W.; Meagher, K.; Olivas, A.; Redl, P.; Richman, M.; Schmidt, T.; Sullivan, G. W.; Wissing, H.] Univ Maryland, Dept Phys, College Pk, MD 20742 USA; [Besson, D. Z.; Kenny, P.] Univ Kansas, Dept Phys &amp; Astron, Lawrence, KS 66045 USA; [Altmann, D.; Bissok, M.; Blumenthal, J.; Boersma, D. J.; Euler, S.; Gluesenkamp, T.; Heinen, D.; Hoffmann, B.; Huelss, J. -P.; Laihem, K.; Meures, T.; Paul, L.; Schukraft, A.; Schunck, M.; Vehring, M.; Wallraff, M.; Wiebusch, C. H.] Rhein Westfal TH Aachen, Inst Phys 3, D-52056 Aachen, Germany; [Bohm, C.; Finley, C.; Hulth, P. O.; Hultqvist, K.; Johansson, H.; Seo, S. H.; Walck, C.; Zoll, M.] Stockholm Univ, Dept Phys, S-10691 Stockholm, Sweden; [Bohm, C.; Finley, C.; Hulth, P. O.; Hultqvist, K.; Johansson, H.; Seo, S. H.; Walck, C.; Zoll, M.] Stockholm Univ, Oskar Klein Ctr, S-10691 Stockholm, Sweden; [Bose, D.; De Clercq, C.; Labare, M.; Singh, K.; Strahler, E. A.; van Eijndhoven, N.] Vrije Univ Brussel, Dienst ELEM, B-1050 Brussels, Belgium; [Boeser, S.; Degner, T.; Franckowiak, A.; Homeier, A.; Kowalski, M.; Panknin, S.; Stueer, M.] Univ Bonn, Inst Phys, D-53115 Bonn, Germany; [Botner, O.; Engdegard, O.; Hallgren, A.; Miller, J.; Olivo, M.; Perez de los Heros, C.; Strom, R.; Taavola, H.] Uppsala Univ, Dept Phys &amp; Astron, S-75120 Uppsala, Sweden; [Clevermann, F.; Koehne, H.; Milke, N.; Pieloth, D.; Rhode, W.; Ruhe, T.] TU Dortmund Univ, Dept Phys, D-44221 Dortmund, Germany; [Cohen, S.; Demiroers, L.; Ribordy, M.] Ecole Polytech Fed, High Energy Phys Lab, CH-1015 Lausanne, Switzerland; [Colnard, C.; Gross, A.; Odrowski, S.; Resconi, E.; Schulz, O.; Sestayo, Y.; Voge, M.; Wolf, M.] Max Planck Inst Kernphys, D-69177 Heidelberg, Germany; [Allen, M. M.; Caballero-Mora, K. S.; Cowen, D. F.; DeYoung, T.; Dunkman, M.; Fox, B. D.; Ha, C.; Koskinen, D. J.; Larson, M. J.; Meszaros, P.; Rutledge, D.; Slipak, A.; Toale, P. A.] Penn State Univ, Dept Phys, University Pk, PA 16802 USA; [Cowen, D. F.; Meszaros, P.; Movit, S. M.] Penn State Univ, Dept Astron &amp; Astrophys, University Pk, PA 16802 USA; [Daughhetee, J.; Taboada, I.; Tepe, A.] Georgia Inst Technol, Ctr Relativist Astrophys, Atlanta, GA 30332 USA; [Daughhetee, J.; Taboada, I.; Tepe, A.] Georgia Inst Technol, Sch Phys, Atlanta, GA 30332 USA; [Fadiran, O.; Japaridze, G. S.] Clark Atlanta Univ, CTSPS, Atlanta, GA 30314 USA; [Fazely, A. R.; Richard, A. S.; Ter-Antonyan, S.; Xu, X. W.] Southern Univ, Dept Phys, Baton Rouge, LA 70813 USA; [Gallagher, J.] Univ Wisconsin, Dept Astron, Madison, WI 53706 USA; [Grant, D.; Wood, T. R.] Univ Alberta, Dept Phys, Edmonton, AB T6G 2G7, Canada; [Baum, V.; Griesel, T.; Koepke, L.; Kowarik, T.; Kroll, G.; Luenemann, J.; Piegsa, A.; Rothmaier, F.; Sander, H. -G.; Schatto, K.; Schulte, L.; Wiebe, K.] Johannes Gutenberg Univ Mainz, Inst Phys, D-55099 Mainz, Germany; [Kohnen, G.] Univ Mons, B-7000 Mons, Belgium; [Ishihara, A.; Mase, K.; Yoshida, S.] Chiba Univ, Dept Phys, Chiba 2638522, Japan; [Kappes, A.; Kolanoski, H.; Waldenmaier, T.] Univ Berlin, Inst Phys, D-12489 Berlin, Germany; [Montaruli, T.] Sezione Ist Nazl Fis Nucl, Dipartimento Fis, I-70126 Bari, Italy; [Rawlins, K.] Univ Alaska Anchorage, Dept Phys &amp; Astron, Anchorage, AK 99508 USA; [Seunarine, S.] Univ W Indies, Dept Phys, BB-11000 Bridgetown, Barbados; [Stamatikos, M.] NASA, Goddard Space Flight Ctr, Greenbelt, MD 20771 USA; [Williams, D. R.; Xu, D. L.; Zarzhitsky, P.] Univ Alabama, Dept Phys &amp; Astron, Tuscaloosa, AL 35487 USA; [Huelsnitz, W.] Los Alamos Natl Lab, Los Alamos, NM 87545 USA</t>
  </si>
  <si>
    <t>University of Wisconsin System; University of Wisconsin Madison; Ghent University; University of Wisconsin System; University of Canterbury; University of Oxford; University of Wuppertal; University of Delaware; University of Delaware; University of California System; University of California Irvine; University of California System; University of California Berkeley; Helmholtz Association; Deutsches Elektronen-Synchrotron (DESY); University of California System; University of California Berkeley; United States Department of Energy (DOE); Lawrence Berkeley National Laboratory; University System of Ohio; Ohio State University; University System of Ohio; Ohio State University; University System of Ohio; Ohio State University; Universite Libre de Bruxelles; University of Wurzburg; Ruhr University Bochum; University System of Maryland; University of Maryland College Park; University of Kansas; RWTH Aachen University; Stockholm University; Oskar Klein Centre; Stockholm University; Vrije Universiteit Brussel; University of Bonn; Uppsala University; Dortmund University of Technology; Swiss Federal Institutes of Technology Domain; Ecole Polytechnique Federale de Lausanne; Max Planck Society;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System of Georgia; Georgia Institute of Technology; University System of Georgia; Georgia Institute of Technology; Clark Atlanta University; Southern University System; Southern University &amp; A&amp;M College; University of Wisconsin System; University of Wisconsin Madison; University of Alberta; Johannes Gutenberg University of Mainz; University of Mons; Chiba University; Istituto Nazionale di Fisica Nucleare (INFN); University of Alaska System; University of Alaska Anchorage; University West Indies Mona Jamaica; University of the West Indies Open Campus; National Aeronautics &amp; Space Administration (NASA); NASA Goddard Space Flight Center; University of Alabama System; University of Alabama Tuscaloosa; United States Department of Energy (DOE); Los Alamos National Laboratory</t>
  </si>
  <si>
    <t>Abbasi, R (corresponding author), Univ Wisconsin, Dept Phys, 1150 Univ Ave, Madison, WI 53706 USA.</t>
  </si>
  <si>
    <t>lutz.koepke@uni-mainz.de</t>
  </si>
  <si>
    <t>Tamburro, Alessio/A-5703-2013; Heinen, Dirk/ABF-7280-2020; Rott, Carsten/ABB-1304-2021; Naidu, Rajagopal/K-3038-2016; Matis, Howard/AAO-2082-2021; Matis, Howard S/HMV-9747-2023; Bernardini, Elisa/AAA-4810-2020; Basu, Sumit/ABG-4301-2021; Williams, David/HKN-3732-2023; sanchez, juan/GSD-8167-2022; Fedynitch, Anatoli/AAQ-9927-2021; Maruyama, Reina H/A-1064-2013; Díaz Vélez, Juan Carlos/T-2788-2018; Wiebusch, Christopher H.V./G-6490-2012; Venkateswararao, Gollakaram/B-5490-2015; DeYoung, Tyce/O-6895-2019; Abdou, Yasser/JJE-5519-2023; Buitink, Stijn/F-2113-2016; Tjus, Julia/G-8145-2012; Taavola, Henric/B-4497-2011; Sarkar, Subir/GPT-4902-2022; Sarkar, Subir/G-5978-2011; Hallgren, Allan/A-8963-2013; Miller, Jonathan/HOC-2272-2023; Whitehorn, Nathan/HDM-8864-2022; Botner, Olga/A-9110-2013; Resconi, Elisa/I-3874-2016; Seo, Seon-Hee/M-1189-2019; Goodman, Jordan A/J-4188-2018; Seo, Seon Hee/K-9250-2014; Petrovic, Jelena/JUV-4849-2023; Auffenberg, Jan/D-3954-2014; Laihem, Karim/K-3835-2015; Bose, Debanjan/IQT-3805-2023; Díaz Vélez, Juan Carlos/AAD-5211-2022; Benabderrahmane, Mohamed Lotfi/JFB-3165-2023; Ha, Chang Hyon/AAR-8120-2021; Ha, C/GZL-9046-2022; HAJ ISMAIL, ABD AL KARIM/AAD-9991-2019; Beatty, James/D-9310-2011; Gora, Dariusz/M-8695-2018; Miller, Jonathan/R-8518-2017; Ahlers, Markus/V-8757-2017; Kowalski, Marek/G-5546-2012; Koskinen, David/G-3236-2014; Aguilar Sanchez, Juan Antonio/H-4467-2015</t>
  </si>
  <si>
    <t>Heinen, Dirk/0000-0002-4502-7288; Rott, Carsten/0000-0002-6958-6033; Matis, Howard S/0000-0003-0764-4389; Bernardini, Elisa/0000-0003-3108-1141; Basu, Sumit/0000-0003-0687-8124; Fedynitch, Anatoli/0000-0003-2837-3477; Maruyama, Reina H/0000-0003-2794-512X; Díaz Vélez, Juan Carlos/0000-0002-0087-0693; Wiebusch, Christopher H.V./0000-0002-6418-3008; Venkateswararao, Gollakaram/0000-0002-0327-7764; DeYoung, Tyce/0000-0003-4873-3783; Abdou, Yasser/0000-0001-7098-0487; Buitink, Stijn/0000-0002-6177-497X; Tjus, Julia/0000-0002-1748-7367; Taavola, Henric/0000-0002-2604-2810; Sarkar, Subir/0000-0002-3542-858X; Whitehorn, Nathan/0000-0002-3157-0407; Resconi, Elisa/0000-0003-0705-2770; Seo, Seon-Hee/0000-0002-1496-624X; Petrovic, Jelena/0000-0001-8535-7807; Auffenberg, Jan/0000-0002-1185-9094; Díaz Vélez, Juan Carlos/0000-0002-0087-0693; Benabderrahmane, Mohamed Lotfi/0000-0003-4410-5886; HAJ ISMAIL, ABD AL KARIM/0000-0003-4941-5154; Beatty, James/0000-0003-0481-4952; Ha, Chang Hyon/0000-0002-9598-8589; Ruhe, Tim/0000-0002-4080-9563; Taboada, Ignacio/0000-0003-3509-3457; Bose, Debanjan/0000-0003-1071-5854; Ter-Antonyan, Samvel/0000-0002-5788-1369; Gora, Dariusz/0000-0002-4853-5974; Strom, Rickard/0000-0002-4496-1626; Ackermann, Markus/0000-0001-8952-588X; Kappes, Alexander/0000-0003-1315-3711; Beattie, Keith/0000-0001-5026-2023; Andeen, Karen/0000-0001-9394-0007; Schukraft, Anne/0000-0002-9112-5479; Daughhetee, Jacob/0000-0001-5220-7159; Kampert, Karl-Heinz/0000-0002-2805-0195; Hill, Gary/0000-0001-8881-6802; Miller, Jonathan/0000-0002-7992-8033; Danninger, Matthias/0000-0002-7807-7484; Seunarine, Suruj/0000-0003-3272-6896; Karg, Timo/0000-0003-3251-2126; Caballero Mora, Karen Salome/0000-0002-4042-3855; Meagher, Kevin/0000-0003-3967-1533; Klein, Spencer/0000-0003-2841-6553; Kolanoski, Hermann/0000-0003-0435-2524; Montaruli, Teresa/0000-0001-5014-2152; Desiati, Paolo/0000-0001-9768-1858; Rhode, Wolfgang/0000-0003-2636-5000; Meszaros, Peter/0000-0002-4132-1746; Brown, Anthony/0000-0003-0259-3148; Ahlers, Markus/0000-0003-0709-5631; Toscano, Simona/0000-0002-1860-2240; Spiczak, Glenn/0000-0002-0030-0519; Carson, Michael/0000-0003-0400-7819; Kowalski, Marek/0000-0001-8594-8666; Bazo Alba, Jose Luis/0000-0001-9148-9101; Helbing, Klaus/0000-0003-2072-4172; Yoshida, Shigeru/0000-0003-2480-5105; BenZvi, Segev/0000-0001-5537-4710; Koskinen, David/0000-0002-0514-5917; Aguilar Sanchez, Juan Antonio/0000-0003-2252-9514; Santander, Juan Marcos/0000-0001-7297-8217; Franckowiak, Anna/0000-0002-5605-2219; Perez de los Heros, Carlos/0000-0002-2084-5866</t>
  </si>
  <si>
    <t>US National Science Foundation-Office of Polar Programs; US National Science Foundation-Physics Division; University of Wisconsin Alumni Research Foundation; Grid Laboratory Of Wisconsin (GLOW) grid infrastructure at the University of Wisconsin - Madison; Open Science Grid (OSG) grid infrastructure; US Department of Energy; National Energy Research Scientific Computing Center; Louisiana Optical Network Initiative (LONI); National Science and Engineering Research Council of Canada; Swedish Research Council, Swedish Polar Research Secretariat; Swedish National Infrastructure for Computing (SNIC); Knut and Alice Wallenberg Foundation, Sweden; German Ministry for Education and Research (BMBF); Deutsche Forschungsgemeinschaft (DFG); Research Department of Plasmas; Complex Interactions (Bochum), Germany; STFC [PP/C506205/1] Funding Source: UKRI; Science and Technology Facilities Council [ST/J000507/1, PP/C506205/1] Funding Source: researchfish; Direct For Mathematical &amp; Physical Scien; Division Of Physics [0757155] Funding Source: National Science Foundation</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</si>
  <si>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 - Madison; Open Science Grid (OSG) grid infrastructure; US Department of Energy(United States Department of Energy (DOE)); National Energy Research Scientific Computing Center; Louisiana Optical Network Initiative (LONI); National Science and Engineering Research Council of Canada(Natural Sciences and Engineering Research Council of Canada (NSERC)); Swedish Research Council, Swedish Polar Research Secretariat(Swedish Research Council); Swedish National Infrastructure for Computing (SNIC); Knut and Alice Wallenberg Foundation, Sweden(Knut &amp; Alice Wallenberg Foundation); German Ministry for Education and Research (BMBF)(Federal Ministry of Education &amp; Research (BMBF)); Deutsche Forschungsgemeinschaft (DFG)(German Research Foundation (DFG)); Research Department of Plasmas; Complex Interactions (Bochum), Germany; STFC(UK Research &amp; Innovation (UKRI)Science &amp; Technology Facilities Council (STFC)); Science and Technology Facilities Council(UK Research &amp; Innovation (UKRI)Science &amp; Technology Facilities Council (STFC)); Direct For Mathematical &amp; Physical Scien; Division Of Physics(National Science Foundation (NSF)NSF - Directorate for Mathematical &amp; Physical Sciences (MPS))</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</si>
  <si>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 - Madison, the Open Science Grid (OSG) grid infrastructure; US Department of Energy, and National Energy Research Scientific Computing Center, the Louisiana Optical Network Initiative (LONI) grid computing resources; National Science and Engineering Research Council of Canada; Swedish Research Council, Swedish Polar Research Secretariat, Swedish National Infrastructure for Computing (SNIC), and Knut and Alice Wallenberg Foundation, Sweden; German Ministry for Education and Research (BMBF), Deutsche Forschungsgemeinschaft (DFG), Research Department of Plasmas with Complex Interactions (Bochum), Germany, Research Center Elementary Forces and Mathematical Foundations (Mainz), Germany; Fund for Scientific Research (FNRS-FWO), FWO Odysseus programme, Flanders Institute to encourage scientific and technological research in industry (IWT), Belgian Federal Science Policy Office (Belspo); University of Oxford, United Kingdom; Marsden Fund, New Zealand; Japan Society for Promotion of Science (JSPS); the Swiss National Science Foundation (SNSF), Switzerland; A. Gross acknowledges support by the EU Marie Curie OIF Program; J. P. Rodrigues acknowledges support by the Capes Foundation, Ministry of Education of Brazil. We would like to thank G. Fogli, H. T. Janka, P, Mertsch, B. Muller, G. G. Raffelt, K. Sumiyoshi, I. Tamborra, and R. Tomas for providing supernova model data and for helpful discussions.</t>
  </si>
  <si>
    <t>A109</t>
  </si>
  <si>
    <t>10.1051/0004-6361/201117810</t>
  </si>
  <si>
    <t>WOS:000297841200121</t>
  </si>
  <si>
    <t>Scarchilli, C; Frezzotti, M; Ruti, PM</t>
  </si>
  <si>
    <t>Scarchilli, Claudio; Frezzotti, Massimo; Ruti, Paolo Michele</t>
  </si>
  <si>
    <t>Snow precipitation at four ice core sites in East Antarctica: provenance, seasonality and blocking factors</t>
  </si>
  <si>
    <t>Precipitation; Surface mass balance; Blocking high; Southern hemisphere dynamic</t>
  </si>
  <si>
    <t>SOUTHERN-HEMISPHERE BLOCKING; DEUTERIUM EXCESS SIGNAL; TERRA-NOVA BAY; LAW DOME; CLIMATE VARIABILITY; LOW-FREQUENCY; TALOS DOME; ISOTOPIC COMPOSITION; ERA-40 REANALYSIS; ITASE TRAVERSE</t>
  </si>
  <si>
    <t>Snow precipitation is the primary mass input to the Antarctic ice sheet and is one of the most direct climatic indicators, with important implications for paleoclimatic reconstruction from ice cores. Provenance of precipitation and the dynamic conditions that force these precipitation events at four deep ice core sites (Dome C, Law Dome, Talos Dome, and Taylor Dome) in East Antarctica were analysed with air mass back trajectories calculated using the Lagrangian model and the mean composite data for precipitation, geopotential height and wind speed field data from the European Centre for Medium Range Weather Forecast from 1980 to 2001. On an annual basis, back trajectories showed that the Atlantic-Indian and Ross-Pacific Oceans were the main provenances of precipitation in Wilkes Land (80%) and Victoria Land (40%), respectively, whereas the greatest influence of the ice sheet was on the interior near the Vostok site (80%) and in the Southwest Ross Sea (50%), an effect that decreased towards the coast and along the Antarctic slope. Victoria Land received snowfall atypically with respect to other Antarctica areas in terms of pathway (eastern instead of western), seasonality (summer instead of winter) and velocity (old air age). Geopotential height patterns at 500 hPa at low (&gt; 10 days) and high (2-6 days) frequencies during snowfall cycles at two core sites showed large positive anomalies at low frequencies developing in the Tasman Sea-Eastern Indian Ocean at higher latitudes (60-70A degrees S) than normal. This could be considered part of an atmospheric blocking event, with transient eddies acting to decelerate westerlies in a split region area and accelerate the flow on the flanks of the low-frequency positive anomalies.</t>
  </si>
  <si>
    <t>[Scarchilli, Claudio; Frezzotti, Massimo; Ruti, Paolo Michele] ENEA, Rome, Italy; [Scarchilli, Claudio] Univ Trieste, Trieste, Italy</t>
  </si>
  <si>
    <t>Italian National Agency New Technical Energy &amp; Sustainable Economics Development; University of Trieste</t>
  </si>
  <si>
    <t>Frezzotti, M (corresponding author), ENEA, Rome, Italy.</t>
  </si>
  <si>
    <t>massimo.frezzotti@enea.it</t>
  </si>
  <si>
    <t>FREZZOTTI, Massimo/AAK-7275-2020</t>
  </si>
  <si>
    <t>FREZZOTTI, Massimo/0000-0002-2461-2883; Scarchilli, Claudio/0000-0002-2414-2439</t>
  </si>
  <si>
    <t>PNRA; national contributions from Italy, France, Germany, Switzerland; United Kingdom; European Commission [226375]</t>
  </si>
  <si>
    <t>PNRA; national contributions from Italy, France, Germany, Switzerland; United Kingdom; European Commission(European Union (EU)European Commission Joint Research Centre)</t>
  </si>
  <si>
    <t>This research was carried out as part of the framework of the Project on Glaciology of the PNRA-MIUR, and was financially supported by the PNRA Consortium through a collaboration with ENEA Roma. The Talos Dome Ice core Project (TALDICE), a joint European programme, is funded by national contributions from Italy, France, Germany, Switzerland and the United Kingdom. Primary logistical support was provided by PNRA at Talos Dome. This is TALDICE publication no 10. We acknowledge the ice2sea project, funded by the European Commission's 7th Framework Programme through grant number 226375, ice2sea manuscript number 15.</t>
  </si>
  <si>
    <t>9-10</t>
  </si>
  <si>
    <t>10.1007/s00382-010-0946-4</t>
  </si>
  <si>
    <t>840XY</t>
  </si>
  <si>
    <t>WOS:000296476600024</t>
  </si>
  <si>
    <t>Bowie, AR; Trull, TW; Dehairs, F</t>
  </si>
  <si>
    <t>Bowie, Andrew R.; Trull, Thomas W.; Dehairs, Frank</t>
  </si>
  <si>
    <t>Estimating the sensitivity of the subantarctic zone to environmental change: The SAZ-Sense project</t>
  </si>
  <si>
    <t>POLAR FRONTAL ZONES; AUSTRALIAN SOUTHERN-OCEAN; CIRCUMPOLAR CURRENT; CLIMATE-CHANGE; PHYTOPLANKTON GROWTH; PRIMARY PRODUCTIVITY; IRON FERTILIZATION; SEASONAL EVOLUTION; DISSOLVED IRON; MIXED-LAYER</t>
  </si>
  <si>
    <t>[Bowie, Andrew R.; Trull, Thomas W.] Univ Tasmania, ACE CRC, Hobart, Tas 7001, Australia; [Trull, Thomas W.] Univ Tasmania, Inst Marine &amp; Antarctic Studies, Hobart, Tas 7001, Australia; [Trull, Thomas W.] CSIRO Div Marine &amp; Atmospher Res, Hobart, Tas 7001, Australia; [Dehairs, Frank] Vrije Univ Brussel, Earth Syst Sci Res Grp, B-1050 Brussels, Belgium; [Dehairs, Frank] Vrije Univ Brussel, Analyt &amp; Environm Chem Dept, B-1050 Brussels, Belgium</t>
  </si>
  <si>
    <t>University of Tasmania; Antarctic Climate &amp; Ecosystems Cooperative Research Centre (ACE CRC); University of Tasmania; Commonwealth Scientific &amp; Industrial Research Organisation (CSIRO); Vrije Universiteit Brussel; Vrije Universiteit Brussel</t>
  </si>
  <si>
    <t>10.1016/j.dsr2.2011.05.034</t>
  </si>
  <si>
    <t>WOS:000295762400001</t>
  </si>
  <si>
    <t>Cheah, W; McMinn, A; Griffiths, FB; Westwood, KJ; Wright, SW; Molina, E; Webb, JP; van den Enden, R</t>
  </si>
  <si>
    <t>Cheah, Wee; McMinn, Andrew; Griffiths, F. Brian; Westwood, Karen J.; Wright, Simon W.; Molina, Ernesto; Webb, Jason P.; van den Enden, Rick</t>
  </si>
  <si>
    <t>Assessing Sub-Antarctic Zone primary productivity from fast repetition rate fluorometry</t>
  </si>
  <si>
    <t>Fast repetition rate fluorometry; C-14; Primary productivity; Sub-Antarctic Zone; Southern Ocean</t>
  </si>
  <si>
    <t>CYCLIC ELECTRON FLOW; SOUTHERN-OCEAN; PHOTOSYNTHETIC CHARACTERISTICS; MARINE-PHYTOPLANKTON; CARBON ASSIMILATION; ACTIVE FLUORESCENCE; AUSTRALIAN SECTOR; EAST ANTARCTICA; PHOTOSYSTEM-II; SAZ-SENSE</t>
  </si>
  <si>
    <t>In situ primary productivity (PP) in the Sub-Antarctic Zone (SAZ) and the Polar Frontal Zone (PFZ) south of Australia was estimated using fast repetition rate fluorometry (FRRF). FRRF-derived PP at Process station 3 (P3) southeast of Tasmania (46 degrees S, 153 degrees E) were higher than P1 in the southwest of Tasmania (46 degrees S, 140 degrees E) and P2 in the Polar Frontal Zone (54 degrees S, 146 degrees E). The FRRF-derived PP rates were well correlated with C-14-uptake rates from one-hour incubations (r(2)=0.85, slope= 1.23 +/- 0.05, p &lt; 0.01, n=85) but the relationship between both methods differed vertically and spatially. There was a linear relationship between FRRF-based PP and C-14-based PP under light-limited conditions in deeper waters. Under light-saturated conditions near the surface (0-45 m), the relationship was less clear. This was likely associated with the effects of physiological processes such as cyclic electron flow and the Mehler reaction, which are stimulated at high irradiance. Our results indicate that FRRF can be used to estimate photosynthesis rates in the SAZ and PFZ but to derive an accurate estimation of C-fixation requires a detailed understanding of the physiological properties of the cells and their response to oceanographic parameters under different environmental conditions. (C) 2011 Elsevier Ltd. All rights reserved.</t>
  </si>
  <si>
    <t>[Cheah, Wee; McMinn, Andrew; Molina, Ernesto] Univ Tasmania, Inst Marine &amp; Antarctic &amp; Studies, Hobart, Tas 7001, Australia; [Cheah, Wee; McMinn, Andrew; Griffiths, F. Brian; Westwood, Karen J.; Wright, Simon W.; van den Enden, Rick] Univ Tasmania, Antarctic Climate &amp; Ecosyst Cooperat Res Ctr, Hobart, Tas 7001, Australia; [Griffiths, F. Brian] CSIRO Div Marine &amp; Atmospher Res, Hobart, Tas 7000, Australia; [Westwood, Karen J.; Wright, Simon W.; van den Enden, Rick] Australian Antarctic Div, Kingston, Tas 7050, Australia; [Webb, Jason P.] Murdoch Univ, Sch Biol Sci &amp; Biotechnol, Murdoch, WA 6150, Australia</t>
  </si>
  <si>
    <t>University of Tasmania; University of Tasmania; Antarctic Climate &amp; Ecosystems Cooperative Research Centre (ACE CRC); Commonwealth Scientific &amp; Industrial Research Organisation (CSIRO); Australian Antarctic Division; Murdoch University</t>
  </si>
  <si>
    <t>Cheah, W (corresponding author), Univ Tasmania, Inst Marine &amp; Antarctic &amp; Studies, Hobart, Tas 7001, Australia.</t>
  </si>
  <si>
    <t>wee.cheah@utas.edu.au</t>
  </si>
  <si>
    <t>Cheah, Wee/C-8282-2012; McMinn, Andrew/A-9910-2008</t>
  </si>
  <si>
    <t>Cheah, Wee/0000-0002-1824-0577; Westwood, Karen/0000-0003-1060-7140</t>
  </si>
  <si>
    <t>Australian Government [2720]; Antarctic Climate and Ecosystems Cooperative Research Centre (ACE CRC)</t>
  </si>
  <si>
    <t>Australian Government(Australian Government); Antarctic Climate and Ecosystems Cooperative Research Centre (ACE CRC)(Australian GovernmentDepartment of Industry, Innovation and ScienceCooperative Research Centres (CRC) Programme)</t>
  </si>
  <si>
    <t>We would like to thank the captain and crew of RSV Aurora Australis, Australian Antarctic Division's gear officers, the CTD team and fellow expeditioners for their support during the cruise. We are indebted to Mark Rosenberg for the oceanography data, and Neil Johnson and Alicia Navidad for the nutrients data. We would also like to thank Philip Boyd (NIWA) and Klaus Meiners (ACE CRC) and four anonymous reviewers for their comments on the manuscript. This work was supported financially by the Australian Government through the Australian Antarctic Science Grants (AAS) Project #2720 and Antarctic Climate and Ecosystems Cooperative Research Centre (ACE CRC). Wee Cheah was supported by a scholarship from the ACE CRC.</t>
  </si>
  <si>
    <t>10.1016/j.dsr2.2011.05.023</t>
  </si>
  <si>
    <t>WOS:000295762400011</t>
  </si>
  <si>
    <t>Petrou, K; Hassler, CS; Doblin, MA; Shelly, K; Schoemann, V; van den Enden, R; Wright, S; Ralph, PJ</t>
  </si>
  <si>
    <t>Petrou, Katherina; Hassler, Christel S.; Doblin, Martina A.; Shelly, Kirsten; Schoemann, Veronique; van den Enden, Rick; Wright, Simon; Ralph, Peter J.</t>
  </si>
  <si>
    <t>Iron-limitation and high light stress on phytoplankton populations from the Australian Sub-Antarctic Zone (SAZ)</t>
  </si>
  <si>
    <t>Light stress; Iron; Phytoplankton; Xanthophyll cycling; Southern Ocean</t>
  </si>
  <si>
    <t>HALF-SATURATION CONSTANTS; SOUTHERN-OCEAN; PHAEOCYSTIS-ANTARCTICA; MARINE-PHYTOPLANKTON; CO-LIMITATION; GROWTH-RATES; SILICIC-ACID; AVAILABILITY; DIATOM; FE</t>
  </si>
  <si>
    <t>The high nutrient low chlorophyll (HNLC) surface waters of the Southern Ocean are characterised by high concentrations of nitrate and phosphate, low concentrations of dissolved iron and deep vertical mixing. Future climate scenarios predict increased surface temperatures and ocean stratification in the region. These changes to vertical mixing will result in a slowdown of nutrient supply to surface waters and an increase in the integrated irradiance in the upper mixed layer. To investigate the influence of iron-limitation and high irradiance on phytoplankton growth and physiology, a 6-day shipboard incubation experiment was conducted during the Sub-Antarctic Zone Sensitivity to Environmental Change (SAZ Sense) voyage using phytoplankton populations from the upper mixed layer in the northeastern SAZ region. Iron-limitation was induced with an organic siderophore and was compared with a 1 nM iron-enriched incubation and an unamended treatment (under silicate replete conditions). As expected, iron enrichment led to dominance by large diatoms and enhanced photosynthetic performance, while the iron-limited community showed a decline in total chl a and photochemical efficiency. Under the added stress of high light, the iron-limited community was able to cope with the shift from in situ ( &lt; 150 mu mol photons m(-2) s(-1)) to incubation (mean = 765 mu mol photons m(-2) s(-1)) irradiance by increasing the proportion of photoprotective pigments and diverting excess light energy via energy-dependent quenching (q(E)). The responses to iron-limitation under high light showed that the phytoplankton community was able to acclimate to these conditions, but exhibited an overall decline in photosynthetic activity. Data presented here suggest the community shifts, in particular the decrease in diatoms, and the decline in photosynthetic performance of phytoplankton under low iron-high irradiance conditions has the potential to impact future ocean productivity and biogeochemical cycling. (C) 2011 Elsevier Ltd. All rights reserved.</t>
  </si>
  <si>
    <t>[Petrou, Katherina; Doblin, Martina A.; Ralph, Peter J.] Univ Technol Sydney, Dept Environm Sci, Broadway, NSW 2007, Australia; [Hassler, Christel S.] CSIRO Marine &amp; Atmospher Res, Hobart, Tas 7000, Australia; [Shelly, Kirsten] Monash Univ, Sch Biol Sci, Clayton, Vic 3800, Australia; [Schoemann, Veronique] Univ Libre Bruxelles, Fac Sci, B-1050 Brussels, Belgium; [van den Enden, Rick; Wright, Simon] Australian Antarctic Div, Kingston, Tas 7050, Australia</t>
  </si>
  <si>
    <t>University of Technology Sydney; Commonwealth Scientific &amp; Industrial Research Organisation (CSIRO); Monash University; Universite Libre de Bruxelles; Australian Antarctic Division</t>
  </si>
  <si>
    <t>Petrou, K (corresponding author), Univ Technol Sydney, Dept Environm Sci, POB 123, Broadway, NSW 2007, Australia.</t>
  </si>
  <si>
    <t>klpetrou@uts.edu.au</t>
  </si>
  <si>
    <t>Ralph, Peter/L-1527-2019; Doblin, Martina/L-1804-2019</t>
  </si>
  <si>
    <t>Ralph, Peter/0000-0002-3103-7346; Doblin, Martina/0000-0001-8750-3433; Petrou, Katherina/0000-0002-2703-0694; Hassler, Christel/0000-0002-8976-5469</t>
  </si>
  <si>
    <t>Australian Antarctic Science Grant [2752]; Aquatic Photosynthesis Group; Department of Environmental Sciences, University of Technology, Sydney; Australian Postgraduate Award; CSIRO; The Belgian Federal Science Policy Office [SD/CA/03A]; Belgian French Community [2/07-287]; European Network of Excellence EUR-OCEANS [511106-2]</t>
  </si>
  <si>
    <t>Australian Antarctic Science Grant; Aquatic Photosynthesis Group; Department of Environmental Sciences, University of Technology, Sydney; Australian Postgraduate Award(Australian Government); CSIRO(Commonwealth Scientific &amp; Industrial Research Organisation (CSIRO)); The Belgian Federal Science Policy Office(Belgian Federal Science Policy Office); Belgian French Community; European Network of Excellence EUR-OCEANS</t>
  </si>
  <si>
    <t>Thanks to Corina Brussaard for the flow cytometric estimates of cyanobacterial concentration, Neal Johnson (CSIRO) who performed the nutrient analyses on board and Karine Leblanc, who provided the on-deck flow through incubator, and Geo Smith to kindly supply with trace metal clean standard SAFe samples. Thanks to three anonymous reviewers for insightful comments that improved the manuscript. We would like to thank the captain and crew of the R.V. Aurora Australis, chief scientist Brian Griffiths, our colleagues involved in the SAZ SENSE project and the Australian Government Antarctic Division for ship time and logistical support. This work was supported by an Australian Antarctic Science Grant (2752) awarded to Peter Ralph and additional financial support provided by the Aquatic Photosynthesis Group and Department of Environmental Sciences, University of Technology, Sydney. KP was supported by an Australian Postgraduate Award and CH by a CSIRO post-doctoral fellowship. The Belgian Federal Science Policy Office (Contract SD/CA/03A) and Belgian French Community (ARC Contract no. 2/07-287) gave support to VS. This study is also a contribution to the SOLAS international research initiative and the European Network of Excellence EUR-OCEANS (Contract no. 511106-2).</t>
  </si>
  <si>
    <t>10.1016/j.dsr2.2011.05.020</t>
  </si>
  <si>
    <t>WOS:000295762400013</t>
  </si>
  <si>
    <t>Dumont, I; Schoemann, V; Jacquet, SHM; Masson, F; Becquevort, S</t>
  </si>
  <si>
    <t>Dumont, Isabelle; Schoemann, Veronique; Jacquet, Stephanie H. M.; Masson, Florence; Becquevort, Sylvie</t>
  </si>
  <si>
    <t>Bacterial abundance and production in epipelagic and mesopelagic waters in the Subantarctic and Polar Front zones south of Tasmania</t>
  </si>
  <si>
    <t>Bacteria; Bacterial production; Carbon; BGE; Mesopelagic</t>
  </si>
  <si>
    <t>DISSOLVED ORGANIC-CARBON; GROWTH EFFICIENCY; ROSS SEA; HETEROTROPHIC BACTERIOPLANKTON; HYDROSTATIC-PRESSURE; IRON FERTILIZATION; PARTICLE-FLUX; INDIAN SECTOR; RESPIRATION; TEMPERATURE</t>
  </si>
  <si>
    <t>Heterotrophic bacteria influence the carbon export and consequently the efficiency of the biological carbon pump through the remineralization of organic matter. Bacterial remineralization was investigated during the SAZ-Sense cruise (January-February 2007) in the Subantarctic (SAZ) and Polar Front Zones (PFZ) of the Southern Ocean south of Tasmania, by combining bacterial biomass (BB) and bacterial production (BP) measurements in the epipelagic (0-100 m) and mesopelagic (100-700 m) water column. Bacterial carbon demand (BCD) was assessed using different conversion factors and growth efficiencies and was confronted to primary production and carbon export flux estimates. Surface layer bacterial biomass and production were higher in SAZ waters east of Tasmania (SAZ-East) compared to SAZ waters west of Tasmania (SAZ-West), while values at the PF were similar to those for the SAZ-West. At the PF, subsurface maximum values of bacterial production were observed. Bacterial parameters followed chla and dissolved organic carbon distributions. Bacterial abundance, biomass and production drastically decreased below 100-200 m. However, depth-integrated biomass and activity rates revealed that the mesopelagic zone contributed significantly to the upper 700 m water column stocks (41-68% for BB) and rates (10-74% for BP). Highest and lowest contributions of mesopelagic BP to epi-plus mesopelagic water column BP were observed at the PF and in the SAZ-East, respectively. Results show that the SAZ-East region had a poor carbon sequestration efficiency compared to the SAZ-West and the PFZ. Despite some uncertainties in carbon flux estimations and discrepancies between methods the present study highlights the importance of studying bacterial dynamics in the twilight zone because of their significant role in shaping the carbon fluxes through the water column. (C) 2011 Elsevier Ltd. All rights reserved.</t>
  </si>
  <si>
    <t>[Dumont, Isabelle; Schoemann, Veronique; Masson, Florence; Becquevort, Sylvie] Univ Libre Bruxelles, Fac Sci, B-1050 Brussels, Belgium; [Jacquet, Stephanie H. M.] Vrije Univ Brussel, B-1050 Brussels, Belgium</t>
  </si>
  <si>
    <t>Universite Libre de Bruxelles; Vrije Universiteit Brussel</t>
  </si>
  <si>
    <t>Schoemann, V (corresponding author), Royal Netherlands Inst Sea Res, Dept Biol Oceanog, POB 59, NL-1790 AB Den Burg, Texel, Netherlands.</t>
  </si>
  <si>
    <t>Veronique.Schoemann@nioz.nl</t>
  </si>
  <si>
    <t>jacquet, stéphanie/K-8678-2016</t>
  </si>
  <si>
    <t>FRIA (Fonds pour la Recherche en Industries Agronomiques); Belgian Federal Science Policy Office [511106-2, SD/CA/03AB]</t>
  </si>
  <si>
    <t>FRIA (Fonds pour la Recherche en Industries Agronomiques)(Fonds de la Recherche Scientifique - FNRS); Belgian Federal Science Policy Office(Belgian Federal Science Policy Office)</t>
  </si>
  <si>
    <t>I. Dumont was supported by a FRIA (Fonds pour la Recherche en Industries Agronomiques) grant. We would like to thank Master Scott Laughlin and the crew of the RSV Aurora Australis, Australian Antarctic Division's gear officers and fellow expeditioners for assistance with collection of samples. We would like to thank the Australian Antarctic Division and Chief Scientist Brian Griffiths for his precious support before, during and after the cruise. The authors thank the reviewers and Frank Dehairs for their comments and suggestions to improve the manuscript. This paper is a contribution to the European Network of Excellence EUR-OCEANS (Contract no. 511106-2) and to the BELCANTO project (contracts SD/CA/03A&amp;B) financed by the Belgian Federal Science Policy Office. The present study is also a Belgian input to the SOLAS international research initiative.</t>
  </si>
  <si>
    <t>10.1016/j.dsr2.2011.05.024</t>
  </si>
  <si>
    <t>WOS:000295762400014</t>
  </si>
  <si>
    <t>Pearce, I; Davidson, AT; Thomson, PG; Wright, S; van den Enden, R</t>
  </si>
  <si>
    <t>Pearce, Imojen; Davidson, Andrew T.; Thomson, Paul G.; Wright, Simon; van den Enden, Rick</t>
  </si>
  <si>
    <t>Marine microbial ecology in the sub-Antarctic Zone: Rates of bacterial and phytoplankton growth and grazing by heterotrophic protists</t>
  </si>
  <si>
    <t>Bacteria; Phytoplankton; Microzooplankton; Growth; Grazing dilution; Sub-Antarctic zone</t>
  </si>
  <si>
    <t>DIFFERENT WATER MASSES; SOUTHERN-OCEAN; SUBTROPICAL CONVERGENCE; IRON FERTILIZATION; ATLANTIC SECTOR; DILUTION METHOD; INDIAN SECTOR; FRONT REGION; SPRING BLOOM; ICE-ZONE</t>
  </si>
  <si>
    <t>The sub-Antarctic zone (SAZ) of the Southern Ocean is considered one of the largest sinks for atmospheric CO2 and as such is an important region for climate change research. To determine the importance of micro- and nano-heterotrophs in controlling microbial abundance within this region, we determined microbial standing stocks and rates of herbivory and bacterivory in relation to changes in the water masses south of Tasmania. The SAZ-Sense ('Sensitivity of the sub-Antarctic zone to environmental change') cruise traversed the SAZ during mid-late austral summer and focussed on process stations to the southeast (45 degrees S, 153 degrees E) and southwest (46 degrees S, 140 degrees E) of Tasmania and at the Polar Front (54 degrees S, 147 degrees E). Growth and grazing mortality of phytoplankton and bacteria were estimated by the grazing dilution technique using seawater from 10 m depth at 15 sites along the survey, along with concentrations of heterotrophic nanoflagellates (HNF), microzooplankton, bacteria, cyanobacteria and size fractionated (pico-, nano- and micro-sized) chlorophyll a (Chl a). Rates of herbivory ranged from 0.12 to 1.39 d(-1) and were highest in the north-eastern SAZ (NE-SAZ) where concentrations of prey (as indicated by Chl a) and microzooplankton were also highest. Rates of herbivory were correlated with total rates of phytoplankton growth, bacterial growth and concentrations of microzooplankton. On average 82%, 67% and 42% primary production d(-1) was consumed by microzooplankton and HNF at process stations in the north-western SAZ (NW-SAZ), NE-SAZ and polar frontal zone (PFZ), respectively. In the NW-SAZ, grazing pressure was highest on the pico-sized Chl a fraction, whereas in the NE-SAZ, grazing pressure was more evenly distributed across all three size fractions of Chl a. Bacterivory removed 77%, 93% and 39% of bacterial production d(-1) in the NW-SAZ, NE-SAZ and PFZ, respectively, and rates of bacterivory ranged from 0.12 to 1.03 d(-1). Rates of bacterivory were highest in the NE-SAZ where concentrations of bacteria were significantly higher than elsewhere in the region and bacterivory was correlated with bacterial growth rates and rates of cyanobacterivory. Cluster analysis of the concentrations of marine microbes and their rates of growth and grazing mortality identified 5 groups of sampling sites that differed in community structure. Analysis distinguished between high nutrient, low Chl a (HNLC) communities in the NW-SAZ that were iron-limited; iron-limited low Chl a PFZ communities; and iron-replete NE-SAZ communities where high rates of remineralisation correlated with higher concentrations of Chl a. Our findings show that much of the carbon sequestered by photosynthesis in the SAZ during summer is reprocessed via the microbial loop rather than contributing to vertical flux, particularly to the southeast of Tasmania. This suggests strong seasonality in carbon export in the region and that future climate-driven changes in oceanography may reduce carbon export from the region in summer. Crown Copyright (C) 2011 Published by Elsevier Ltd. All rights reserved.</t>
  </si>
  <si>
    <t>[Pearce, Imojen; Davidson, Andrew T.; Thomson, Paul G.; Wright, Simon; van den Enden, Rick] Australian Antarctic Div, Kingston, Tas 7050, Australia; [Pearce, Imojen; Davidson, Andrew T.; Thomson, Paul G.; Wright, Simon; van den Enden, Rick] Antarctic Climate &amp; Ecosyst Cooperat Res Ctr, Hobart, Tas 7001, Australia</t>
  </si>
  <si>
    <t>Australian Antarctic Division; Antarctic Climate &amp; Ecosystems Cooperative Research Centre (ACE CRC)</t>
  </si>
  <si>
    <t>Pearce, I (corresponding author), Australian Antarctic Div, 203 Channel Hwy, Kingston, Tas 7050, Australia.</t>
  </si>
  <si>
    <t>Imojen.Pearce@aad.gov.au</t>
  </si>
  <si>
    <t>Australian government's Cooperative Research Centres through Antarctic Climate and Ecosystems Cooperative Research Centre (ACE CRC)</t>
  </si>
  <si>
    <t>Australian government's Cooperative Research Centres through Antarctic Climate and Ecosystems Cooperative Research Centre (ACE CRC)(Australian GovernmentDepartment of Industry, Innovation and ScienceCooperative Research Centres (CRC) Programme)</t>
  </si>
  <si>
    <t>We gratefully acknowledge the assistance of Captain Scott Laughlin and the crew of the R.S.V. Aurora Australis. This work was supported by the Australian government's Cooperative Research Centres Programme through the Antarctic Climate and Ecosystems Cooperative Research Centre (ACE CRC).</t>
  </si>
  <si>
    <t>10.1016/j.dsr2.2011.05.030</t>
  </si>
  <si>
    <t>WOS:000295762400017</t>
  </si>
  <si>
    <t>Howard, WR; Roberts, D; Moy, AD; Lindsay, MCM; Hopcroft, RR; Trull, TW; Bray, SG</t>
  </si>
  <si>
    <t>Howard, W. R.; Roberts, D.; Moy, A. D.; Lindsay, M. C. M.; Hopcroft, R. R.; Trull, T. W.; Bray, S. G.</t>
  </si>
  <si>
    <t>Distribution, abundance and seasonal flux of pteropods in the Sub-Antarctic Zone</t>
  </si>
  <si>
    <t>Sub-Antarctic Zone; Southern Ocean; Thecosomata; Pteropod; Heteropod; Ocean acidification</t>
  </si>
  <si>
    <t>SOUTHERN-OCEAN FRONTS; REDUCED CALCIFICATION; CIRCUMPOLAR CURRENT; CALCIUM-CARBONATE; BIOLOGICAL PUMP; ATMOSPHERIC CO2; ROSS SEA; ARAGONITE; AUSTRALIA; TASMANIA</t>
  </si>
  <si>
    <t>Pteropods were identified from epipelagic net and trawl samples in the Sub-Antarctic Zone during the 2007 mid-summer (January 17-February 20) Sub-Antarctic Zone Sensitivity to Environmental Change (SAZ-Sense) voyage, as well as in a moored sediment trap in the same region. Overall pteropod densities during SAZ-Sense were lower than those reported for higher-latitude Southern Ocean waters. The four major contributors to the Sub-Antarctic Zone pteropod community during the SAZ-Sense voyage, Clio pyramidata forma antarctica, Clio recurva, Limacina helicina antarctica and Limacina retroversa australis, accounted for 93% of all pteropods observed. The distribution of the two dominant pteropods collected in the Sub-Antarctic Zone, L. retroversa australis and C. pyramidata forma antarctica, is strongly related to latitude and depth. L retroversa australis is typical of cold southern (50-54 degrees S) polar waters and C. pyramidata forma antarctica is typical of shallow (top 20 m) Sub-Antarctic Zone waters. A moored sediment trap deployed to 2100 m at 47 degrees S, 141 degrees E in 2003/04 showed the pteropod flux in the Sub-Antarctic Zone had late-Spring and mid-summer peaks. The diversity, abundance and distribution of pteropods collected during SAZ-Sense provide a timely benchmark against which to monitor future changes in SAZ ocean pteropod communities, particularly in light of predictions of declining aragonite saturation in the Southern Ocean by the end of the century. (C) 2011 Elsevier Ltd. All rights reserved,</t>
  </si>
  <si>
    <t>[Howard, W. R.; Roberts, D.; Moy, A. D.; Trull, T. W.; Bray, S. G.] Univ Tasmania, Antarctic Climate &amp; Ecosyst Cooperat Res Ctr, Hobart, Tas, Australia; [Lindsay, M. C. M.; Trull, T. W.] Univ Tasmania, Inst Antarctic &amp; So Ocean Studies, Hobart, Tas, Australia; [Hopcroft, R. R.] Univ Alaska, Fairbanks, AK 99701 USA; [Trull, T. W.] CSIRO Marine &amp; Atmospher Res, Hobart, Tas, Australia</t>
  </si>
  <si>
    <t>University of Tasmania; Antarctic Climate &amp; Ecosystems Cooperative Research Centre (ACE CRC); University of Tasmania; University of Alaska System; University of Alaska Fairbanks; Commonwealth Scientific &amp; Industrial Research Organisation (CSIRO)</t>
  </si>
  <si>
    <t>Howard, WR (corresponding author), Off Chief Scientist, GPO Box 9839, Canberra, ACT, Australia.</t>
  </si>
  <si>
    <t>will.howard@chiefscientist.gov.au</t>
  </si>
  <si>
    <t>Hopcroft, Russell R/I-6286-2012; Trull, Tom W/B-7028-2014</t>
  </si>
  <si>
    <t>Moy, Andrew/0000-0002-7664-9960; Roberts, Donna/0000-0001-6701-6662</t>
  </si>
  <si>
    <t>Australian Government through the Department of Climate Change; Australian Cooperative Research Centres; Australian Antarctic Division [2720, 1156]</t>
  </si>
  <si>
    <t>Australian Government through the Department of Climate Change(Australian Government); Australian Cooperative Research Centres(Australian GovernmentDepartment of Industry, Innovation and ScienceCooperative Research Centres (CRC) Programme); Australian Antarctic Division</t>
  </si>
  <si>
    <t>This work was supported by the Australian Government through the Department of Climate Change, the Australian Cooperative Research Centres Program and the Australian Antarctic Division (AAS Grant #2720 for SAZ-Sense material, #1156 for sediment trap material). The authors thank the NERC Earth Observation Data Acquisition and Analysis Service (NEODAAS) for supplying data for this study, Master Scott Laughlin and the crew of the R.S.V Aurora Australis, Australian Antarctic Division's gear officers, fellow expeditioners for assistance with collection of samples and two anonymous reviewers for their constructive reviews and insightful suggestions for additions to our paper. This paper is a contribution (#12) to the Census of Antarctic Marine Life (CAML).</t>
  </si>
  <si>
    <t>10.1016/j.dsr2.2011.05.031</t>
  </si>
  <si>
    <t>WOS:000295762400020</t>
  </si>
  <si>
    <t>Ivanov, VV</t>
  </si>
  <si>
    <t>Ivanov, V. V.</t>
  </si>
  <si>
    <t>Intensification of water exchange between the shelf and the arctic basin in conditions of ice depletion</t>
  </si>
  <si>
    <t>DOKLADY EARTH SCIENCES</t>
  </si>
  <si>
    <t>DENSE WATER; CIRCULATION; CASCADES; OCEAN; EDGE</t>
  </si>
  <si>
    <t>Arctic &amp; Antarctic Res Inst, St Petersburg 199397, Russia</t>
  </si>
  <si>
    <t>Ivanov, VV (corresponding author), Arctic &amp; Antarctic Res Inst, Ul Beringa 38, St Petersburg 199397, Russia.</t>
  </si>
  <si>
    <t>Ivanov, Vladimir/J-5979-2014; Ivanov, Vladimir/AAX-6830-2020</t>
  </si>
  <si>
    <t>Ivanov, Vladimir/0000-0003-2569-6027;</t>
  </si>
  <si>
    <t>International Arctic Research Center; University of Alaska (Fairbanks); Otto Schmidt Russia-German Laboratory; Natural Environment Research Council [dml010007] Funding Source: researchfish; NERC [dml010007] Funding Source: UKRI</t>
  </si>
  <si>
    <t>International Arctic Research Center; University of Alaska (Fairbanks); Otto Schmidt Russia-German Laboratory; Natural Environment Research Council(UK Research &amp; Innovation (UKRI)Natural Environment Research Council (NERC)); NERC(UK Research &amp; Innovation (UKRI)Natural Environment Research Council (NERC))</t>
  </si>
  <si>
    <t>These investigations were supported by the International Arctic Research Center, the University of Alaska (Fairbanks), and the Otto Schmidt Russia-German Laboratory.</t>
  </si>
  <si>
    <t>1028-334X</t>
  </si>
  <si>
    <t>DOKL EARTH SCI</t>
  </si>
  <si>
    <t>Dokl. Earth Sci.</t>
  </si>
  <si>
    <t>10.1134/S1028334X11110043</t>
  </si>
  <si>
    <t>866PU</t>
  </si>
  <si>
    <t>WOS:000298394100014</t>
  </si>
  <si>
    <t>Sexton, PF; Norris, RD</t>
  </si>
  <si>
    <t>Sexton, Philip F.; Norris, Richard D.</t>
  </si>
  <si>
    <t>High latitude regulation of low latitude thermocline ventilation and planktic foraminifer populations across glacial-interglacial cycles</t>
  </si>
  <si>
    <t>plankton biogeography; ocean circulation; ocean biogeochemistry; thermocline; Atlantic Ocean; Pleistocene</t>
  </si>
  <si>
    <t>MERIDIONAL OVERTURNING CIRCULATION; SUBPOLAR NORTH-ATLANTIC; SEA-SURFACE TEMPERATURE; ISOTOPIC COMPOSITION; THERMOHALINE CIRCULATION; CARBONATE FLUCTUATIONS; VERTICAL-DISTRIBUTION; BENTHIC FORAMINIFERA; MOLECULAR EVIDENCE; LAST DEGLACIATION</t>
  </si>
  <si>
    <t>One of the earliest discoveries in palaeoceanography was the observation in 1935 that the (sub)tropical planktic foraminifer Globorotalia menardii became absent or extremely rare in the Atlantic Ocean during glacials of the late Pleistocene. Yet a mechanistic explanation for G. menardii's extraordinary biogeographic behaviour has eluded palaeoceanographers for 75 years. Here we show that modern G. menardii, along with two other species that also suffer Atlantic population collapses during glacials, track poorly ventilated waters globally in their thermocline habitats. The ventilation states of low latitude thermoclines are 'set', to a first order, by intermediate water masses originating at high latitudes. In the modern Atlantic this control on low latitude thermocline ventilation is exerted by relatively poorly ventilated, southern-sourced Antarctic Intermediate Water (AAIW) and sub-Antarctic Mode Water (SAMW). We suggest that the glacial Atlantic foraminifer population collapses were a consequence of a low latitude thermocline that was better ventilated during glacials than it is today, in line with geochemical evidence, and driven primarily by a well-ventilated, northern-sourced intermediate water mass. A ventilation mechanism driving the glacial population collapses is further supported by our new constraints on the precise timing of these species' Atlantic proliferation during the last deglaciation - occurring in parallel with a wholesale, bipolar reorganisation of the Atlantic's thermocline-to-abyssal overturning circulation. Our findings demonstrate that a bipolar seesaw in the formation of high latitude intermediate waters has played an important role in regulating the population dynamics of thermocline-dwelling plankton at lower latitudes. (C) 2011 Elsevier B.V. All rights reserved.</t>
  </si>
  <si>
    <t>[Sexton, Philip F.; Norris, Richard D.] Univ Calif San Diego, Scripps Inst Oceanog, La Jolla, CA 92093 USA; [Sexton, Philip F.] Cardiff Univ, Sch Earth &amp; Ocean Sci, Cardiff CF10 3YE, S Glam, Wales</t>
  </si>
  <si>
    <t>University of California System; University of California San Diego; Scripps Institution of Oceanography; Cardiff University</t>
  </si>
  <si>
    <t>Sexton, PF (corresponding author), Open Univ, Ctr Earth Planetary Space &amp; Astron Res CEPSAR, Milton Keynes MK7 6AA, Bucks, England.</t>
  </si>
  <si>
    <t>P.F.Sexton@open.ac.uk</t>
  </si>
  <si>
    <t>Sexton, Philip F/B-2493-2010</t>
  </si>
  <si>
    <t>European Commission; Leverhulme Trust; NERC [NE/I006346/1] Funding Source: UKRI; Natural Environment Research Council [NE/I006346/1] Funding Source: researchfish</t>
  </si>
  <si>
    <t>European Commission(European Union (EU)European Commission Joint Research Centre); Leverhulme Trust(Leverhulme Trust); NERC(UK Research &amp; Innovation (UKRI)Natural Environment Research Council (NERC)); Natural Environment Research Council(UK Research &amp; Innovation (UKRI)Natural Environment Research Council (NERC))</t>
  </si>
  <si>
    <t>We thank Genevieve Metson for laboratory assistance and Delia Oppo and Mea Cook for sharing samples. Discussions with Stephen Barker, Chris Charles, Ian Hall, Alan Mix, Delia Oppo, Paul Pearson, Michael Sarnthein and David Thornalley were particularly helpful. We also thank Mark Leckie, an anonymous reviewer and Peter deMenocal (Editor) for constructive reviews and comments that improved the manuscript. Financial support for this research was provided by a European Commission Marie Curie Outgoing International Fellowship (to P.F.S.) and a Leverhulme Trust Fellowship (to P.F.S.).</t>
  </si>
  <si>
    <t>10.1016/j.epsl.2011.08.044</t>
  </si>
  <si>
    <t>864WB</t>
  </si>
  <si>
    <t>WOS:000298270100006</t>
  </si>
  <si>
    <t>Hiemstra, JF; Kulessa, B; King, EC; Ntarlagiannis, D</t>
  </si>
  <si>
    <t>Hiemstra, John F.; Kulessa, Bernd; King, Edward C.; Ntarlagiannis, Dimitris</t>
  </si>
  <si>
    <t>The use of integrated sedimentological and geophysical methods in drumlin research - a case study of Pigeon Point, Clew Bay, Northwest Ireland</t>
  </si>
  <si>
    <t>EARTH SURFACE PROCESSES AND LANDFORMS</t>
  </si>
  <si>
    <t>drumlin formation; sub-glacial traction till; glacitectonics; sedimentology; geophysics</t>
  </si>
  <si>
    <t>ANTARCTIC ICE STREAM; WESTERN IRELAND; FABRIC CHARACTERISTICS; SUBGLACIAL PROCESSES; CLASTIC DYKES; IRISH SEA; TILL; ICELAND; SHEET; DEFORMATION</t>
  </si>
  <si>
    <t>Despite significant advances over the past decades, our understanding of drumlin formation and associated ice-bed processes is still incomplete. In this paper, we present the integrated use of geomorphological, sedimentological and geophysical techniques as a powerful means to force a breakthrough towards solving the drumlin enigma. We report on investigations of the anatomy of the Pigeon Point drumlin, Clew Bay, Ireland. We found that the bulk of the landform, which displays a classical drumlin shape, consists of silty-clayey diamicton showing evidence of deformation, hydrofracturing and comminution. The unit is interpreted as a sub-glacial traction till/comminution till. The thin unit overlying this basal till consists of silty-sandy diamicton, and is interpreted as a para-glacially modified melt-out till. The partly cemented third unit consists of stratified, massive to graded sands and gravels. Its contact with the sub-glacial traction till consists of a series of concave shapes, which suggests that it was deposited in meltwater channels that flowed in sub-glacial cavities and that cut laterally into the drumlin. We propose that highs in the undulating rockhead relief, as shown in the seismic profile, have provided nuclei which initiated drumlin formation. This idea is supported by the observation of local detached bedrock slabs that grade upwards into a comminution till. In the long profile, very high normalized induced polarization (IP) values form a wedge-shape, which is interpreted as a set of conjugate thrusts, or a 'pop-up' structure. The structure is positioned directly above one of the undulations in the bedrock, suggesting a direct relationship. The high values are thought to reflect the presence of pre-existing clays, which were sheared into the till, thus forming linings in the thrust features. It is concluded that glacitectonic processes, notably differential bedrock weathering and thrusting, have played a key role in the formation of this drumlin. Copyright (C) 2011 John Wiley &amp; Sons, Ltd.</t>
  </si>
  <si>
    <t>[Hiemstra, John F.; Kulessa, Bernd] Swansea Univ, Coll Sci, Dept Geog, Swansea SA2 8PP, W Glam, Wales; [King, Edward C.] British Antarctic Survey, Cambridge CB3 0ET, England; [Ntarlagiannis, Dimitris] Rutgers State Univ, Dept Earth &amp; Environm Sci, Newark, NJ 07102 USA</t>
  </si>
  <si>
    <t>Swansea University; UK Research &amp; Innovation (UKRI); Natural Environment Research Council (NERC); NERC British Antarctic Survey; Rutgers University System; Rutgers University Newark; Rutgers University New Brunswick</t>
  </si>
  <si>
    <t>Hiemstra, JF (corresponding author), Swansea Univ, Coll Sci, Dept Geog, Singleton Pk, Swansea SA2 8PP, W Glam, Wales.</t>
  </si>
  <si>
    <t>j.hiemstra@swansea.ac.uk</t>
  </si>
  <si>
    <t>Hiemstra, John F/E-4192-2013</t>
  </si>
  <si>
    <t>Kulessa, Bernd/0000-0002-4830-4949</t>
  </si>
  <si>
    <t>QRA; British Antarctic Survey; NERC [bas0100027] Funding Source: UKRI; Natural Environment Research Council [bas0100027] Funding Source: researchfish</t>
  </si>
  <si>
    <t>QRA; British Antarctic Survey; NERC(UK Research &amp; Innovation (UKRI)Natural Environment Research Council (NERC)); Natural Environment Research Council(UK Research &amp; Innovation (UKRI)Natural Environment Research Council (NERC))</t>
  </si>
  <si>
    <t>Fieldwork was financially supported by the QRA (Quaternary Research Fund award to JFH). ECK acknowledges financial support from the British Antarctic Survey. Padraic Golden and Liam Ryder are thanked for access to their fields. Nicola Jones and Anna Ratcliffe prepared the figures. The authors also thank Simon Carr and three anonymous reviewers. Their comments and recommendations led general improvements and a much clearer focus.</t>
  </si>
  <si>
    <t>0197-9337</t>
  </si>
  <si>
    <t>EARTH SURF PROC LAND</t>
  </si>
  <si>
    <t>Earth Surf. Process. Landf.</t>
  </si>
  <si>
    <t>10.1002/esp.2207</t>
  </si>
  <si>
    <t>857PF</t>
  </si>
  <si>
    <t>WOS:000297730300002</t>
  </si>
  <si>
    <t>Khoshmanesh, K; Kiss, N; Nahavandi, S; Evans, CW; Cooper, JM; Williams, DE; Wlodkowic, D</t>
  </si>
  <si>
    <t>Khoshmanesh, Khashayar; Kiss, Nimrod; Nahavandi, Saeid; Evans, Clive W.; Cooper, Jonathan M.; Williams, David E.; Wlodkowic, Donald</t>
  </si>
  <si>
    <t>Trapping and imaging of micron-sized embryos using dielectrophoresis</t>
  </si>
  <si>
    <t>Dielecrophoresis; Embryo; Lab-on-a-chip; Microfluidics; Real-time imaging</t>
  </si>
  <si>
    <t>CAENORHABDITIS-ELEGANS; C. ELEGANS; MODEL; MANIPULATION; DISCOVERY; CHIP; CELL</t>
  </si>
  <si>
    <t>Development of dielectrophoretic (DEP) arrays for real-time imaging of embryonic organisms is described. Microelectrode arrays were used for trapping both embryonated eggs and larval stages of Antarctic nematode Panagrolaimus davidi. Ellipsoid single-shell model was also applied to study the interactions between DEP fields and developing multicellular organisms. This work provides proof-of-concept application of chip-based technologies for the analysis of individual embryos trapped under DEP force.</t>
  </si>
  <si>
    <t>[Khoshmanesh, Khashayar; Wlodkowic, Donald] Univ Auckland, Dept Chem, BioMEMS Res Grp, Auckland 1142, New Zealand; [Khoshmanesh, Khashayar; Nahavandi, Saeid] Deakin Univ, Ctr Intelligent Syst Res, Waurn Ponds, Australia; [Kiss, Nimrod; Evans, Clive W.] Univ Auckland, Sch Biol Sci, Auckland 1142, New Zealand; [Cooper, Jonathan M.] Univ Glasgow, Dept Elect &amp; Elect Engn, Bioelect Res Ctr, Glasgow G12 8QQ, Lanark, Scotland; [Williams, David E.] Univ Auckland, MacDiarmid Inst Adv Mat &amp; Nanotechnol, Auckland 1142, New Zealand</t>
  </si>
  <si>
    <t>University of Auckland; Deakin University; University of Auckland; University of Glasgow; University of Auckland</t>
  </si>
  <si>
    <t>Wlodkowic, D (corresponding author), Univ Auckland, Dept Chem, BioMEMS Res Grp, Auckland 1142, New Zealand.</t>
  </si>
  <si>
    <t>khashayar.khoshmanesh@deakin.edu.au; d.wlodkowic@auckland.ac.nz</t>
  </si>
  <si>
    <t>RASOR, Scotland/A-3274-2011; Evans, Clive/AAZ-4699-2021; Wlodkowic, Donald/P-4124-2019; Nahavandi, Saeid/AAE-5536-2022; Kalantar-zadeh, Kourosh/O-3868-2018; Williams, David E/B-3222-2012; Cooper, Jonathan/GLS-9195-2022; Wlodkowic, Donald/F-2431-2010</t>
  </si>
  <si>
    <t>Wlodkowic, Donald/0000-0002-0780-3362; Kalantar-zadeh, Kourosh/0000-0001-6109-132X; Williams, David E/0000-0003-4123-5626; Cooper, Jonathan/0000-0002-2358-1050; Wlodkowic, Donald/0000-0002-0780-3362; Khoshmanesh, Khashayar/0000-0001-6036-7371; Evans, Clive/0000-0003-2888-842X</t>
  </si>
  <si>
    <t>Department of Education, Employment and Workplace Relations, Australia; Centre for Intelligent Systems Research, Deakin University, Australia; Foundation for Research Science and Technology (FRST), New Zealand; University of Auckland. New Zealand; BBSRC; EPSRC; Scottish Funding Council, United Kingdom; RASOR; Biotechnology and Biological Sciences Research Council [BB/C511572/1] Funding Source: researchfish</t>
  </si>
  <si>
    <t>Department of Education, Employment and Workplace Relations, Australia; Centre for Intelligent Systems Research, Deakin University, Australia; Foundation for Research Science and Technology (FRST), New Zealand(New Zealand Foundation for Research, Science and Technology); University of Auckland. New Zealand; BBSRC(UK Research &amp; Innovation (UKRI)Biotechnology and Biological Sciences Research Council (BBSRC)); EPSRC(UK Research &amp; Innovation (UKRI)Engineering &amp; Physical Sciences Research Council (EPSRC)); Scottish Funding Council, United Kingdom; RASOR; Biotechnology and Biological Sciences Research Council(UK Research &amp; Innovation (UKRI)Biotechnology and Biological Sciences Research Council (BBSRC))</t>
  </si>
  <si>
    <t>Grant sponsor: Supported by the Endeavour Research Fellowships, Department of Education, Employment and Workplace Relations, Australia and the Centre for Intelligent Systems Research, Deakin University, Australia (K. K.); Foundation for Research Science and Technology (FRST), New Zealand (D. W., D. E. W.); Faculty Research and Development Fund, University of Auckland. New Zealand (D. W.); and BBSRC, EPSRC and Scottish Funding Council, United Kingdom, funded under the RASOR Program (J. M. C.).</t>
  </si>
  <si>
    <t>10.1002/elps.201100160</t>
  </si>
  <si>
    <t>862NJ</t>
  </si>
  <si>
    <t>WOS:000298098700007</t>
  </si>
  <si>
    <t>Metcheva, R; Yurukova, L; Teodorova, SE</t>
  </si>
  <si>
    <t>Metcheva, Roumiana; Yurukova, Lilyana; Teodorova, Svetla E.</t>
  </si>
  <si>
    <t>Biogenic and toxic elements in feathers, eggs, and excreta of Gentoo penguin (Pygoscelis papua ellsworthii) in the Antarctic</t>
  </si>
  <si>
    <t>ENVIRONMENTAL MONITORING AND ASSESSMENT</t>
  </si>
  <si>
    <t>Heavy metals; Essential elements; Gentoo penguin; Feathers; Eggs; Excreta; Antarctic</t>
  </si>
  <si>
    <t>HEAVY-METAL POLLUTION; BIRD FEATHERS; FOOD-CHAIN; LARUS-GLAUCESCENS; TEMPORAL TRENDS; CEPPHUS-COLUMBA; SELENIUM LEVELS; TRACE-ELEMENTS; STERNA-HIRUNDO; MERCURY LEVELS</t>
  </si>
  <si>
    <t>Feathers, eggs, and excreta of Gentoo penguin (Pygoscelis papua ellsworthii), adults, from Livingston Island (South Shetlands), chosen as bioindicators, were used to test the quality of the Antarctic environment. Sex was not examined. The bioaccumulations of toxic trace elements (Cd, Pb, Al, and As), essential trace elements (Fe, Cu, Zn, Mn, Cr, V, Ni, and Sr), and major essential elements (Na, K, Mg, Ca, P, and S) were established. For the first time data about the element contents in Gentoo eggs is provided. Two hypotheses were tested: (1) there are differences in the metal levels among eggs and feathers; and (2) the element concentrations are highest in the excreta. The hypotheses were confirmed at 0.01-0.05 confidence levels. The concentrations of almost all trace elements were significantly higher in the feathers compared to those in the eggs. The following values of the concentrations ratio Fe/Zn were obtained: in the embryo, Fe/Zn = 1.5, and in the feathers, Fe/Zn = 0.5. The concentration of Pb in the embryo and excreta was below 0.4 mu g/g, and Cd and As in eggs were below 0.05 and 0.3 mu g/g, respectively. This indicates that there is no toxic risk for penguin offspring. Arsenic could be considered as a potential pollutant for Antarctic soil due to its relative high concentration in excreta, 5.13 mu g/g. The present data (year 2007) were compared to the data for years 2002 and 2003. No trend of toxic element contamination was established. The concentrations of Pb, Cd, and As in representatives from the top of the food chain in the Antarctic (the present study) and Arctic (literature data) were compared. The data supports the hypothesis that there is an abnormality in cadmium levels in polar marine areas. Regarding Pb, the South Shetlands displayed 3-fold lower level compared to the Aleutians.</t>
  </si>
  <si>
    <t>[Teodorova, Svetla E.] Bulgarian Acad Sci, Inst Nucl Res &amp; Nucl Energy, BU-1784 Sofia, Bulgaria; [Metcheva, Roumiana] Bulgarian Acad Sci, Inst Zool, Sofia 1000, Bulgaria; [Yurukova, Lilyana] Bulgarian Acad Sci, Inst Bot, BU-1113 Sofia, Bulgaria</t>
  </si>
  <si>
    <t>Bulgarian Academy of Sciences; Bulgarian Academy of Sciences; Bulgarian Academy of Sciences</t>
  </si>
  <si>
    <t>Teodorova, SE (corresponding author), Bulgarian Acad Sci, Inst Nucl Res &amp; Nucl Energy, 72 Tzarigradsko Shaussee, BU-1784 Sofia, Bulgaria.</t>
  </si>
  <si>
    <t>seteodor@tea.bg</t>
  </si>
  <si>
    <t>Metcheva, Roumiana/0000-0002-8146-6106</t>
  </si>
  <si>
    <t>Ministry of Education, Youth, and Science-Bulgaria [TK-B-1615-06]</t>
  </si>
  <si>
    <t>Ministry of Education, Youth, and Science-Bulgaria</t>
  </si>
  <si>
    <t>The work was funded through grant of the Fund Scientific Research in Ministry of Education, Youth, and Science-Bulgaria for Research Project, Ref. # TK-B-1615-06</t>
  </si>
  <si>
    <t>0167-6369</t>
  </si>
  <si>
    <t>ENVIRON MONIT ASSESS</t>
  </si>
  <si>
    <t>Environ. Monit. Assess.</t>
  </si>
  <si>
    <t>10.1007/s10661-011-1898-9</t>
  </si>
  <si>
    <t>823ZJ</t>
  </si>
  <si>
    <t>WOS:000295167500045</t>
  </si>
  <si>
    <t>Srinivas, TNR; Singh, SM; Pradhan, S; Pratibha, MS; Kishore, KH; Singh, AK; Begum, Z; Prabagaran, SR; Reddy, GSN; Shivaji, S</t>
  </si>
  <si>
    <t>Srinivas, T. N. R.; Singh, S. M.; Pradhan, Suman; Pratibha, M. S.; Kishore, K. Hara; Singh, Ashish K.; Begum, Z.; Prabagaran, S. R.; Reddy, G. S. N.; Shivaji, S.</t>
  </si>
  <si>
    <t>Comparison of bacterial diversity in proglacial soil from Kafni Glacier, Himalayan Mountain ranges, India, with the bacterial diversity of other glaciers in the world</t>
  </si>
  <si>
    <t>Himalayan Mountain ranges; Kafni Glacier; 16S rRNA gene clone library; Psychrophilic enzymes; Cellular fatty acids</t>
  </si>
  <si>
    <t>RIBOSOMAL-RNA SEQUENCES; SP-NOV.; MICROBIAL DIVERSITY; SCHIRMACHER OASIS; PHYSIOLOGICAL DIVERSITY; VERTICAL-DISTRIBUTION; CULTURABLE BACTERIA; PINDARI GLACIER; GEN. NOV.; ICE CORE</t>
  </si>
  <si>
    <t>Two 16S rRNA gene clone libraries (KF and KS) were constructed using two soil samples (K7s and K8s) collected near Kafni Glacier, Himalayas. The two libraries yielded a total of 648 clones. Phyla Actinobacteria, Bacteroidetes, Chloroflexi Firmicutes, Proteobacteria, Spirochaetae, Tenericutes and Verrucomicrobia were common to the two libraries. Phyla Acidobacteria, Chlamydiae and Nitrospirae were present only in KF library, whereas Lentisphaerae and TM7 were detected only in KS. In the two libraries, clones belonging to phyla Bacteroidetes and Proteobacteria were the most predominant. Principal component analysis (PCA) revealed that KF and KS were different and arsenic content influenced the differences in the percentage of OTUs. PCA indicated that high water content in the K8s sample results in high total bacterial count. PCA also indicated that bacterial diversity of KF and KS was similar to soils from the Pindari Glacier, Himalayas; Samoylov Island, Siberia; Schrimacher Oasis, Antarctica and Siberian tundra. The eleven bacterial strains isolated from the above two soil samples were phylogenetically related to six different genera. All the isolates were psychro-, halo- and alkalitolerant. Amylase, lipase and urease activities were detected in the majority of the strains. Long chain, saturated, unsaturated and branched fatty acids were predominant in the psychrotolerant bacteria.</t>
  </si>
  <si>
    <t>[Srinivas, T. N. R.; Pradhan, Suman; Pratibha, M. S.; Kishore, K. Hara; Singh, Ashish K.; Begum, Z.; Prabagaran, S. R.; Reddy, G. S. N.; Shivaji, S.] Ctr Cellular &amp; Mol Biol, Hyderabad 500007, Andhra Pradesh, India; [Singh, S. M.] Natl Ctr Antarctic Ocean Res, Vasco Da Gama 403804, Goa, India</t>
  </si>
  <si>
    <t>Singh, Ashish/AAK-6513-2020; TANUKU, SRINIVAS N R/F-1029-2013</t>
  </si>
  <si>
    <t>shivaji, sisinthy/0000-0003-0376-4658; Singh, Ashish/0000-0001-8076-0816; Pradhan, Suman/0000-0002-9596-8190</t>
  </si>
  <si>
    <t>Department of Biotechnology; Council of Scientific and Industrial Research, Government of India</t>
  </si>
  <si>
    <t>Department of Biotechnology; Council of Scientific and Industrial Research, Government of India(Council of Scientific &amp; Industrial Research (CSIR) - India)</t>
  </si>
  <si>
    <t>We would like to thank the Department of Biotechnology and Council of Scientific and Industrial Research, Government of India, for financial support to Dr. S. Shivaji. TNRS acknowledges the CSIR, Government of India, for the award of research associateship.</t>
  </si>
  <si>
    <t>10.1007/s00792-011-0398-8</t>
  </si>
  <si>
    <t>835CP</t>
  </si>
  <si>
    <t>WOS:000296011800006</t>
  </si>
  <si>
    <t>ANTARCTIC WHISKY</t>
  </si>
  <si>
    <t>FOOD AUSTRALIA</t>
  </si>
  <si>
    <t>AUSTRALIAN INST FOOD SCIENCE TECHNOLOGY INC</t>
  </si>
  <si>
    <t>WATERLOO D C</t>
  </si>
  <si>
    <t>PO BOX 1303, WATERLOO D C, NSW 2017, AUSTRALIA</t>
  </si>
  <si>
    <t>1032-5298</t>
  </si>
  <si>
    <t>FOOD AUST</t>
  </si>
  <si>
    <t>Food Aust.</t>
  </si>
  <si>
    <t>Food Science &amp; Technology</t>
  </si>
  <si>
    <t>847EM</t>
  </si>
  <si>
    <t>WOS:000296954700013</t>
  </si>
  <si>
    <t>Levy, JS; Fountain, AG; Gooseff, MN; Welch, KA; Lyons, WB</t>
  </si>
  <si>
    <t>Levy, Joseph S.; Fountain, Andrew G.; Gooseff, Michael N.; Welch, Kathy A.; Lyons, W. Berry</t>
  </si>
  <si>
    <t>Water tracks and permafrost in Taylor Valley, Antarctica: Extensive and shallow groundwater connectivity in a cold desert ecosystem</t>
  </si>
  <si>
    <t>GEOLOGICAL SOCIETY OF AMERICA BULLETIN</t>
  </si>
  <si>
    <t>MCMURDO DRY VALLEYS; ACTIVE-LAYER; HYDROLOGIC MARGINS; GEOCHEMISTRY; STREAMS; LAKES; ICE; SCALE; ENVIRONMENT; COMMUNITIES</t>
  </si>
  <si>
    <t>Water tracks are zones of high soil moisture that route water downslope over the ice table in polar environments. We present physical, hydrological, and geochemical evidence collected in Taylor Valley, McMurdo Dry Valleys, Antarctica, which suggests that previously unexplored water tracks are a significant component of this cold desert land system and constitute the major flow path in a cryptic hydrological system. Geological, geochemical, and hydrological analyses show that the water tracks are generated by a combination of infiltration from melting snowpacks, melting of pore ice at the ice table beneath the water tracks, and melting of buried segregation ice formed during winter freezing. The water tracks are enriched in solutes derived from chemical weathering of sediments as well as from dissolution of soil salts. The water tracks empty into ice-covered lakes, such as Lake Hoare, resulting in the interfingering of shallow groundwater solutions and glacier-derived stream water, adding complexity to the geochemical profile. Approximately four orders of magnitude less water is delivered to Lake Hoare by any given water track than is delivered by surface runoff from stream flow; however, the solute delivery to Lake Hoare by water tracks equals or may exceed the mass of solutes delivered from stream flow, making water tracks significant geochemical pathways. Additionally, solute transport is two orders of magnitude faster in water tracks than in adjacent dry or damp soil, making water tracks salt superhighways in the Antarctic cold desert. Accordingly, water tracks represent a new geological pathway that distributes water, energy, and nutrients in Antarctic Dry Valley, cold desert, soil ecosystems, providing hydrological and geochemical connectivity at the hillslope scale.</t>
  </si>
  <si>
    <t>[Levy, Joseph S.; Fountain, Andrew G.] Portland State Univ, Dept Geol, Portland, OR 97210 USA; [Gooseff, Michael N.] Penn State Univ, Dept Civil &amp; Environm Engn, University Pk, PA 16802 USA; [Welch, Kathy A.; Lyons, W. Berry] Ohio State Univ, Byrd Polar Res Ctr, Columbus, OH 43210 USA; [Welch, Kathy A.; Lyons, W. Berry] Ohio State Univ, Sch Earth Sci, Columbus, OH 43210 USA</t>
  </si>
  <si>
    <t>Portland State University; Pennsylvania Commonwealth System of Higher Education (PCSHE); Pennsylvania State University; Pennsylvania State University - University Park; University System of Ohio; Ohio State University; University System of Ohio; Ohio State University</t>
  </si>
  <si>
    <t>Levy, JS (corresponding author), Portland State Univ, Dept Geol, Portland, OR 97210 USA.</t>
  </si>
  <si>
    <t>jlevy@pdx.edu</t>
  </si>
  <si>
    <t>Gooseff, Michael N/N-6087-2015</t>
  </si>
  <si>
    <t>Gooseff, Michael N/0000-0003-4322-8315; Levy, Joseph/0000-0002-6222-139X; Welch, Kathleen/0000-0003-1028-3086</t>
  </si>
  <si>
    <t>Antarctic Sciences Division of the National Science Foundation (NSF) [ANT-0851965]; Directorate For Geosciences; Office of Polar Programs (OPP) [0851965] Funding Source: National Science Foundation</t>
  </si>
  <si>
    <t>Antarctic Sciences Division of the National Science Foundation (NSF)(National Science Foundation (NSF)); Directorate For Geosciences; Office of Polar Programs (OPP)(National Science Foundation (NSF)NSF - Directorate for Geosciences (GEO))</t>
  </si>
  <si>
    <t>This work is supported by the Antarctic Organisms and Ecosystems Program in the Antarctic Sciences Division of the National Science Foundation (NSF) (grant ANT-0851965 to Levy). Quickbird image data were provided courtesy of Paul Morin and the Antarctic Geospatial Information Center. Light detection and ranging (LiDAR) topography was kindly made possible through a joint effort from the NSF, National Aeronautics and Space Administration (NASA), and the U. S. Geological Survey (USGS), with basic postprocessing from the Byrd Polar Research Center. Diana Moseman and Devin Castendyk at State University of New York (SUNY) College at Oneonta provided water track solution density calculation assistance, and Martin Lafrenz at Portland State University provided field geographic information system expertise and equipment. Many thanks go to Deb Leslie at the Byrd Polar Research Center for water track stable isotope analysis. This project has benefited greatly from discussion with McMurdo Dry Valleys Long-Term Ecological Research project (MCM-LTER) team members (www.mcmlter.org), and from the thoughtful comments of three anonymous reviewers.</t>
  </si>
  <si>
    <t>0016-7606</t>
  </si>
  <si>
    <t>1943-2674</t>
  </si>
  <si>
    <t>GEOL SOC AM BULL</t>
  </si>
  <si>
    <t>Geol. Soc. Am. Bull.</t>
  </si>
  <si>
    <t>10.1130/B30436.1</t>
  </si>
  <si>
    <t>827CC</t>
  </si>
  <si>
    <t>WOS:000295402600011</t>
  </si>
  <si>
    <t>Raitzsch, M; Hathorne, EC; Kuhnert, H; Groeneveld, J; Bickert, T</t>
  </si>
  <si>
    <t>Raitzsch, M.; Hathorne, E. C.; Kuhnert, H.; Groeneveld, J.; Bickert, T.</t>
  </si>
  <si>
    <t>Modern and late Pleistocene B/Ca ratios of the benthic foraminifer Planulina wuellerstorfi determined with laser ablation ICP-MS</t>
  </si>
  <si>
    <t>PLANKTONIC-FORAMINIFERA; ISOTOPIC COMPOSITION; BORON ISOTOPE; CARBONATE ION; DEEP-WATER; OCEAN; PH; BIOMINERALIZATION; SEA; CO2</t>
  </si>
  <si>
    <t>Incorporation of boron into foraminiferal shells is thought to be primarily governed by the carbonate chemistry of the ambient seawater, suggesting that it can be reconstructed from B/Ca ratios. To this end, B/Ca ratios of the benthic foraminifer Planulina wuellerstorfi from South Atlantic core top samples have been analyzed using laser ablation-inductively coupled plasma-mass spectroscopy (LA-ICP-MS) to provide additional information on intratest trace element heterogeneity. Results show that boron is heterogeneously distributed within and between shells, with content variations of approximately +/- 43% displayed within a single shell. B/Ca is higher in the youngest chambers, opposite to the observed between-chamber variability of Mg/Ca. This may be explained by ontogenetic changes of physiological processes that increase the pH of the calcifying fluid and thus the borate concentration while decreasing Mg/Ca to promote calcification. Despite this heterogeneity, mean B/Ca ratios are positively correlated with the deepwater calcite saturation state (Delta[CO32-]), in line with previous studies. We apply this empirical relationship to reconstruct Delta[CO32-] for the late Pleistocene to Holocene using samples from a depth transect in the equatorial Atlantic. Reconstructed Delta[CO32-] values confirm previous studies suggesting that CaCO3-oversaturated North Atlantic Deep Water was reduced during glacial periods, whereas CaCO3-undersaturated Antarctic Bottom Water expanded vertically and propagated northwards. In summary, our data demonstrate that bulk B/Ca in P. wuellerstorfi reliably reflects variations in Delta[CO32-], despite the strong physiological control of boron incorporation.</t>
  </si>
  <si>
    <t>[Raitzsch, M.; Kuhnert, H.; Bickert, T.] Univ Bremen, Ctr Marine Environm Sci, MARUM, D-28359 Bremen, Germany; [Hathorne, E. C.] Univ Kiel, Leibniz Inst Marine Sci, IFM GEOMAR, D-24148 Kiel, Germany; [Groeneveld, J.] Alfred Wegener Inst Polar &amp; Marine Res, AWI, D-27570 Bremerhaven, Germany</t>
  </si>
  <si>
    <t>University of Bremen; Helmholtz Association; GEOMAR Helmholtz Center for Ocean Research Kiel; University of Kiel; Helmholtz Association; Alfred Wegener Institute, Helmholtz Centre for Polar &amp; Marine Research</t>
  </si>
  <si>
    <t>Raitzsch, M (corresponding author), Univ Bremen, Ctr Marine Environm Sci, MARUM, Leobener Str, D-28359 Bremen, Germany.</t>
  </si>
  <si>
    <t>raitzsch@uni-bremen.de</t>
  </si>
  <si>
    <t>Hathorne, Ed/AAC-6315-2020</t>
  </si>
  <si>
    <t>Hathorne, Ed/0000-0002-7813-2455; Raitzsch, Markus/0000-0003-4214-358X; Kuhnert, Henning/0000-0001-5242-4495</t>
  </si>
  <si>
    <t>Center for Marine Environmental Sciences (MARUM); Deutsche Forschungsgemeinschaft (DFG)</t>
  </si>
  <si>
    <t>Center for Marine Environmental Sciences (MARUM); Deutsche Forschungsgemeinschaft (DFG)(German Research Foundation (DFG))</t>
  </si>
  <si>
    <t>We are grateful to Henry Elderfield and an anonymous referee for thorough and constructive reviews as well as Lennart de Nooijer for fruitful discussions. Hathorne and Groeneveld were funded by Center for Marine Environmental Sciences (MARUM) Fellowships. This study was carried out within the international graduate college EUROPROX, funded by the Deutsche Forschungsgemeinschaft (DFG).</t>
  </si>
  <si>
    <t>1943-2682</t>
  </si>
  <si>
    <t>10.1130/G32009.1</t>
  </si>
  <si>
    <t>WOS:000296607600014</t>
  </si>
  <si>
    <t>Mitrovica, JX; Gomez, N; Morrow, E; Hay, C; Latychev, K; Tamisiea, ME</t>
  </si>
  <si>
    <t>Mitrovica, J. X.; Gomez, N.; Morrow, E.; Hay, C.; Latychev, K.; Tamisiea, M. E.</t>
  </si>
  <si>
    <t>On the robustness of predictions of sea level fingerprints</t>
  </si>
  <si>
    <t>GEOPHYSICAL JOURNAL INTERNATIONAL</t>
  </si>
  <si>
    <t>Sea level change; Earth rotation variations; Dynamics of lithosphere and mantle; Antarctica; Arctic region</t>
  </si>
  <si>
    <t>LATERAL VARIATIONS; MASS-BALANCE; EARTH; RISE; DEFORMATION; COLLAPSE; ISOSTASY; SURFACE; MANTLE; MODEL</t>
  </si>
  <si>
    <t>The rapid melting of the Earth's ice reservoirs will produce geographically distinct patterns of sea level change that have come to be known as sea level fingerprints. A basic, gravitationally self-consistent theory for computing these patterns appeared in the 1970s; however, recent, highly discrepant fingerprint calculations have led to suggestions that the algorithms and/or theoretical implementation adopted in many previous predictions is not robust. We present a suite of numerical predictions, including benchmark comparisons with analytic results, that counter this argument and demonstrate the accuracy of most published predictions. Moreover, we show that small differences apparent in calculations published by some groups can be accounted for by subtle differences in the underlying physics. The paper concludes with two sensitivity analyses: (1) we present the first-ever calculation of sea level fingerprints on earth models with 3-D variations in elastic structure and density, and conclude that this added complexity has a negligible effect on the predictions; (2) we compare fingerprints of polar ice sheet mass flux computed under the (very common) assumption of a uniform melt distribution to fingerprints calculated using melt geometries constrained by analysing recent trends in GRACE gravity data. Predictions in the near field of the ice sheets are sensitive to the assumed melt geometry; however, this sensitivity also extends to the far field, particularly in the case of Antarctic mass changes, because of the strong dependence of the rotational feedback signal on the melt geometry. We conclude that inferences of ice sheet mass flux based on modern sea level constraints should consider these more realistic melt geometries.</t>
  </si>
  <si>
    <t>[Mitrovica, J. X.; Gomez, N.; Morrow, E.] Harvard Univ, Dept Earth &amp; Planetary Sci, Cambridge, MA 02138 USA; [Hay, C.; Latychev, K.] Univ Toronto, Dept Phys, Toronto, ON M5S 1A7, Canada; [Tamisiea, M. E.] Natl Oceanog Ctr, Liverpool, Merseyside, England</t>
  </si>
  <si>
    <t>Harvard University; University of Toronto; NERC National Oceanography Centre</t>
  </si>
  <si>
    <t>Mitrovica, JX (corresponding author), Harvard Univ, Dept Earth &amp; Planetary Sci, 20 Oxford St, Cambridge, MA 02138 USA.</t>
  </si>
  <si>
    <t>jxm@eps.harvard.edu</t>
  </si>
  <si>
    <t>Gomez, Natalya/AAU-4323-2020</t>
  </si>
  <si>
    <t>Gomez, Natalya/0000-0002-2463-7917; Hay, Carling/0000-0002-9240-2036</t>
  </si>
  <si>
    <t>NASA; Harvard University; Canadian Institute for Advanced Research; Natural Environment Research Council [noc010012] Funding Source: researchfish</t>
  </si>
  <si>
    <t>NASA(National Aeronautics &amp; Space Administration (NASA)); Harvard University; Canadian Institute for Advanced Research(Canadian Institute for Advanced Research (CIFAR)); Natural Environment Research Council(UK Research &amp; Innovation (UKRI)Natural Environment Research Council (NERC))</t>
  </si>
  <si>
    <t>GRACE data were processed by D. P. Chambers, supported by the NASA Earth Science REASON GRACE Project, and are available at http://grace.jpl.nasa.gov. We thank two anonymous reviewers for constructive comments. JXM acknowledges support from Harvard University and the Canadian Institute for Advanced Research.</t>
  </si>
  <si>
    <t>0956-540X</t>
  </si>
  <si>
    <t>1365-246X</t>
  </si>
  <si>
    <t>GEOPHYS J INT</t>
  </si>
  <si>
    <t>Geophys. J. Int.</t>
  </si>
  <si>
    <t>10.1111/j.1365-246X.2011.05090.x</t>
  </si>
  <si>
    <t>849HI</t>
  </si>
  <si>
    <t>WOS:000297116200013</t>
  </si>
  <si>
    <t>Nevitt, GA</t>
  </si>
  <si>
    <t>Nevitt, Gabrielle A.</t>
  </si>
  <si>
    <t>The Neuroecology of Dimethyl Sulfide: A Global-Climate Regulator Turned Marine Infochemical</t>
  </si>
  <si>
    <t>Annual Meeting of the Society-for-Integrative-and-Comparative-Biology</t>
  </si>
  <si>
    <t>JAN 03-07, 2011</t>
  </si>
  <si>
    <t>Salt Lake City, UT</t>
  </si>
  <si>
    <t>GREAT-BARRIER-REEF; PROCELLARIIFORM SEABIRDS; CHEMICAL CUES; ATMOSPHERIC DIMETHYLSULFIDE; FEEDING ATTRACTANT; IRON FERTILIZATION; FORAGING BEHAVIOR; BETA-PROPIOTHETIN; SENSORY ECOLOGY; SOUTHERN-OCEAN</t>
  </si>
  <si>
    <t>Information transfer influences food-web dynamics in the marine environment, but infochemicals involved in these processes are only beginning to be understood. Dimethylsulfoniopropionate (DMSP) is produced by phytoplankton and other marine algae, and has been studied primarily in the context of sulfur cycling and regulation of global climate. My laboratory has been investigating DMSP and its breakdown product, dimethyl sulfide as infochemicals associated with trophic interactions in marine habitats, including sub-Antarctic and coral reef ecosystems. Using a neuroecological approach, our work has established that these biogenic sulfur compounds serve as critical signal molecules in marine systems and provides us with a more mechanistic understanding of how climate change may impact information transfer within marine food webs.</t>
  </si>
  <si>
    <t>Univ Calif Davis, Ctr Anim Behav, Sect Neurobiol Physiol &amp; Behav, Davis, CA 95616 USA</t>
  </si>
  <si>
    <t>University of California System; University of California Davis</t>
  </si>
  <si>
    <t>Nevitt, GA (corresponding author), Univ Calif Davis, Ctr Anim Behav, Sect Neurobiol Physiol &amp; Behav, Davis, CA 95616 USA.</t>
  </si>
  <si>
    <t>ganevitt@ucdavis.edu</t>
  </si>
  <si>
    <t>National Science Foundation [IOS 0922640]</t>
  </si>
  <si>
    <t>National Science Foundation (IOS 0922640 to G.A.N.).</t>
  </si>
  <si>
    <t>1557-7023</t>
  </si>
  <si>
    <t>10.1093/icb/icr093</t>
  </si>
  <si>
    <t>WOS:000296101600015</t>
  </si>
  <si>
    <t>Penduff, T; Juza, M; Barnier, B; Zika, J; Dewar, WK; Treguier, AM; Molines, JM; Audiffren, N</t>
  </si>
  <si>
    <t>Penduff, Thierry; Juza, Melanie; Barnier, Bernard; Zika, Jan; Dewar, William K.; Treguier, Anne-Marie; Molines, Jean-Marc; Audiffren, Nicole</t>
  </si>
  <si>
    <t>Sea Level Expression of Intrinsic and Forced Ocean Variabilities at Interannual Time Scales</t>
  </si>
  <si>
    <t>LOW-FREQUENCY VARIABILITY; WIND-DRIVEN; KUROSHIO EXTENSION; DOUBLE-GYRE; DECADAL VARIABILITY; ATLANTIC-OCEAN; MODEL; CIRCULATION; RESOLUTION; DYNAMICS</t>
  </si>
  <si>
    <t>This paper evaluates in a realistic context the local contributions of direct atmospheric forcing and intrinsic oceanic processes on interannual sea level anomalies (SLAs). A 1/4 degrees global ocean-sea ice general circulation model, driven over 47 yr by the full range of atmospheric time scales, is quantitatively assessed against altimetry and shown to reproduce most observed features of the interannual SLA variability from 1993 to 2004. Comparing this simulation with a second driven only by the climatological annual cycle reveals that the intrinsic part of the total interannual SLA variance exceeds 40% over half of the open-ocean area and exceeds 80% over one-fifth of it. This intrinsic contribution is particularly strong in eddy-active regions (more than 70%-80% in the Southern Ocean and western boundary current extensions) as predicted by idealized studies, as well as within the 20 degrees-35 degrees latitude bands. The atmosphere directly forces most of the interannual SLA variance at low latitudes and in most midlatitude eastern basins, in particular north of about 40 degrees N in the Pacific. The interannual SLA variance is almost entirely due to intrinsic processes south of the Antarctic Circumpolar Current in the Indian Ocean sector, while half of this variance is forced by the atmosphere north of it. The same simulations were performed and analyzed at 2 degrees resolution as well: switching to this laminar regime yields a comparable forced variability (large-scale distribution and magnitude) but almost suppresses the intrinsic variability. This likely explains why laminar ocean models largely underestimate the interannual SLA variance.</t>
  </si>
  <si>
    <t>[Penduff, Thierry; Juza, Melanie; Barnier, Bernard; Zika, Jan; Molines, Jean-Marc] Univ Grenoble, Lab Ecoulements Geophys &amp; Ind, UMR CNRS 5519, Grenoble, France; [Penduff, Thierry; Dewar, William K.] Florida State Univ, Earth Ocean &amp; Atmospher Sci Dept, Tallahassee, FL 32306 USA; [Treguier, Anne-Marie] IFREMER, UMR CNRS 6523, Lab Phys Oceans, Plouzane, France; [Audiffren, Nicole] Ctr Informat Natl Enseignement Super, Montpellier, France</t>
  </si>
  <si>
    <t>Communaute Universite Grenoble Alpes; Institut National Polytechnique de Grenoble; Universite Grenoble Alpes (UGA); Centre National de la Recherche Scientifique (CNRS); State University System of Florida; Florida State University; Universite de Bretagne Occidentale; Centre National de la Recherche Scientifique (CNRS); Ifremer; Institut de Recherche pour le Developpement (IRD)</t>
  </si>
  <si>
    <t>Penduff, T (corresponding author), LEGI MEOM, BP53, F-38041 Grenoble 9, France.</t>
  </si>
  <si>
    <t>thierry.penduff@legi.grenoble-inp.fr</t>
  </si>
  <si>
    <t>Penduff, Thierry/AAH-6554-2021; Barnier, Bernard/F-2400-2016; Treguier, Anne Marie/B-7497-2009</t>
  </si>
  <si>
    <t>Penduff, Thierry/0000-0002-0407-8564; Treguier, Anne Marie/0000-0003-4569-845X; Zika, Jan/0000-0003-3462-3559</t>
  </si>
  <si>
    <t>Centre National d'Etudes Spatiales (CNES) through the Ocean Surface Topography Science Team (OST/ST); Centre National de la Recherche Scientifique (CNRS); Institut National des Sciences de l'Univers (INSU); Groupe Mission Mercator Coriolis (GMMC); European Commission [FP7-SPACE-2007-1-CT-218812-MYOCEAN]; Directorate For Geosciences; Division Of Ocean Sciences [0960500] Funding Source: National Science Foundation</t>
  </si>
  <si>
    <t>Centre National d'Etudes Spatiales (CNES) through the Ocean Surface Topography Science Team (OST/ST)(Centre National D'etudes Spatiales); Centre National de la Recherche Scientifique (CNRS)(Centre National de la Recherche Scientifique (CNRS)); Institut National des Sciences de l'Univers (INSU); Groupe Mission Mercator Coriolis (GMMC); European Commission(European Union (EU)European Commission Joint Research Centre); Directorate For Geosciences; Division Of Ocean Sciences(National Science Foundation (NSF)NSF - Directorate for Geosciences (GEO))</t>
  </si>
  <si>
    <t>Suggestions made by Pavel Berloff and an anonymous reviewer led to significant improvement of this paper. This work is a contribution of the Drakkar project, which is supported by the Centre National d'Etudes Spatiales (CNES) through the Ocean Surface Topography Science Team (OST/ST), by the Centre National de la Recherche Scientifique (CNRS), the Institut National des Sciences de l'Univers (INSU), and the Groupe Mission Mercator Coriolis (GMMC). Partial support of the European Commission under Grant Agreement FP7-SPACE-2007-1-CT-218812-MYOCEAN is also gratefully acknowledged. Computations presented in this study were performed at Institut du Developpement et des Ressources en Informatique Scientifique (IDRIS) and the Centre Informatique National de l'Enseignement Superieur (CINES). The T - 1/4 degrees (ORCA025-MJM01) simulation was performed at CINES as part of the Grands Challenges GENCl/CINES 2008. Most of this research was done during TP's stay at the Department of Oceanography at FSU, now named the Earth, Ocean and Atmospheric Science Department. TP wishes to acknowledge a number of interesting conversations with Peter Rhines, Michael Ghil, Greg Holloway, Pavel Berloff, and Julie Deshayes.</t>
  </si>
  <si>
    <t>10.1175/JCLI-D-11-00077.1</t>
  </si>
  <si>
    <t>841TE</t>
  </si>
  <si>
    <t>Green Submitted, hybrid</t>
  </si>
  <si>
    <t>WOS:000296535300013</t>
  </si>
  <si>
    <t>Bravo, G; Tamburino, L</t>
  </si>
  <si>
    <t>Bravo, Giangiacomo; Tamburino, Lucia</t>
  </si>
  <si>
    <t>Are two resources really better than one? Some unexpected results of the availability of substitutes</t>
  </si>
  <si>
    <t>Dynamic model; Resource management; Paradox of enrichment; Environmental sustainability; Pelagic whaling; Oil production</t>
  </si>
  <si>
    <t>PREY-PREDATOR SYSTEM; ENRICHMENT; ECONOMICS; DYNAMICS; WHALES; GROWTH; MODEL</t>
  </si>
  <si>
    <t>The possibility of exploiting multiple resources is usually regarded as positive from both the economic and the environmental point of view. However, resource switching may also lead to unsustainable growth and, ultimately, to an equilibrium condition which is worse than the one that could have been achieved with a single resource. We developed a dynamic model where users exploit multiple resources and have different levels of preference among them. In this setting, exploiting multiple resources leads to worse outcomes in both economic and ecological terms than the single resource case under a wide range of parameter configurations. Our arguments are illustrated using two empirical situations, namely oil drilling in the North Sea and whale hunting in the Antarctic. (C) 2011 Elsevier Ltd. All rights reserved.</t>
  </si>
  <si>
    <t>[Bravo, Giangiacomo] Univ Turin, Dipartimento Sci Sociali, I-10124 Turin, Italy; [Bravo, Giangiacomo] Coll Carlo Alberto, Dipartimento Sci Sociali, I-10124 Turin, Italy; [Tamburino, Lucia] Univ Padua, Dipartimento Terr &amp; Sistemi Agroforestali, I-35020 Legnaro, PD, Italy</t>
  </si>
  <si>
    <t>University of Turin; Collegio Carlo Alberto; University of Padua</t>
  </si>
  <si>
    <t>Bravo, G (corresponding author), Univ Turin, Dipartimento Sci Sociali, Via S Ottavio 50, I-10124 Turin, Italy.</t>
  </si>
  <si>
    <t>giangiacomo.bravo@unito.it; lucia.tamburino@alice.it</t>
  </si>
  <si>
    <t>Tamburino, Lucia/GWV-9928-2022; Bravo, Giangiacomo/I-2081-2013</t>
  </si>
  <si>
    <t>Tamburino, Lucia/0000-0003-1974-7158; Bravo, Giangiacomo/0000-0003-2837-0137</t>
  </si>
  <si>
    <t>10.1016/j.jenvman.2011.06.010</t>
  </si>
  <si>
    <t>825RK</t>
  </si>
  <si>
    <t>WOS:000295299600001</t>
  </si>
  <si>
    <t>Terblanche, JS; Hoffmann, AA; Mitchell, KA; Rako, L; le Roux, PC; Chown, SL</t>
  </si>
  <si>
    <t>Terblanche, John S.; Hoffmann, Ary A.; Mitchell, Katherine A.; Rako, Lea; le Roux, Peter C.; Chown, Steven L.</t>
  </si>
  <si>
    <t>Ecologically relevant measures of tolerance to potentially lethal temperatures</t>
  </si>
  <si>
    <t>ramping; thermotolerance; chill coma; heat; ecological relevance; ectotherm</t>
  </si>
  <si>
    <t>CRITICAL THERMAL LIMITS; CYDIA-POMONELLA LEPIDOPTERA; SUB-ANTARCTIC CATERPILLAR; INSECT COLD-HARDINESS; CLIMATE-CHANGE; HEAT-SHOCK; STRESS RESISTANCE; DROSOPHILA-MELANOGASTER; BENEFICIAL ACCLIMATION; OXYGEN LIMITATION</t>
  </si>
  <si>
    <t>The acute thermal tolerance of ectotherms has been measured in a variety of ways; these include assays where organisms are shifted abruptly to stressful temperatures and assays where organisms experience temperatures that are ramped more slowly to stressful levels. Ramping assays are thought to be more relevant to natural conditions where sudden abrupt shifts are unlikely to occur often, but it has been argued that thermal limits established under ramping conditions are underestimates of true thermal limits because stresses due to starvation and/or desiccation can arise under ramping. These confounding effects might also impact the variance and heritability of thermal tolerance. We argue here that ramping assays are useful in capturing aspects of ecological relevance even though there is potential for confounding effects of other stresses that can also influence thermal limits in nature. Moreover, we show that the levels of desiccation and starvation experienced by ectotherms in ramping assays will often be minor unless the assays involve small animals and last for many hours. Empirical data illustrate that the combined effects of food and humidity on thermal limits under ramping and sudden shifts to stressful conditions are unpredictable; in Drosophila melanogaster the presence of food decreased rather than increased thermal limits, whereas in Ceratitis capitata they had little impact. The literature provides examples where thermal limits are increased under ramping presumably because of the potential for physiological changes leading to acclimation. It is unclear whether heritabilities and population differentiation will necessarily be lower under ramping because of confounding effects. Although it is important to clearly define experimental methods, particularly when undertaking comparative assessments, and to understand potential confounding effects, thermotolerance assays based on ramping remain an important tool for understanding and predicting species responses to environmental change. An important area for further development is to identify the impact of rates of temperature change under field and laboratory conditions.</t>
  </si>
  <si>
    <t>[Terblanche, John S.] Univ Stellenbosch, Dept Conservat Ecol &amp; Entomol, ZA-7602 Matieland, South Africa; [Hoffmann, Ary A.; Mitchell, Katherine A.; Rako, Lea] Univ Melbourne, Inst Bio21, Parkville, Vic 3052, Australia; [le Roux, Peter C.; Chown, Steven L.] Univ Stellenbosch, Dept Bot &amp; Zool, Ctr Invas Biol, ZA-7602 Matieland, South Africa</t>
  </si>
  <si>
    <t>Stellenbosch University; University of Melbourne; Stellenbosch University</t>
  </si>
  <si>
    <t>Terblanche, JS (corresponding author), Univ Stellenbosch, Dept Conservat Ecol &amp; Entomol, Private Bag X1, ZA-7602 Matieland, South Africa.</t>
  </si>
  <si>
    <t>jst@sun.ac.za</t>
  </si>
  <si>
    <t>Chown, Steven/ABD-7646-2021; Terblanche, John/AAB-4457-2020; Mitchell, Katherine A/K-4725-2012; Hoffmann, Ary/C-2961-2011; le Roux, Peter Christiaan/E-7784-2011; Hoffmann, Ary/R-2972-2019; Chown, Steven/H-3347-2011</t>
  </si>
  <si>
    <t>le Roux, Peter Christiaan/0000-0002-7941-7444; Hoffmann, Ary/0000-0001-9497-7645; Terblanche, John/0000-0001-9665-9405; Chown, Steven/0000-0001-6069-5105</t>
  </si>
  <si>
    <t>National Research Foundation; Australian Research Council</t>
  </si>
  <si>
    <t>National Research Foundation; Australian Research Council(Australian Research Council)</t>
  </si>
  <si>
    <t>S.L.C. and J.S.T. are supported by separate grants from the National Research Foundation Incentive Funding for Rated researchers program. K.A.M.'s visit to Stellenbosch was supported by S.L.C.'s National Research Foundation IFR grant. A.A.H., K.A.M. and L.R. were supported through the Australian Research Council.</t>
  </si>
  <si>
    <t>10.1242/jeb.061283</t>
  </si>
  <si>
    <t>WOS:000296581500006</t>
  </si>
  <si>
    <t>Kokubun, N; Kim, JH; Shin, HC; Naito, Y; Takahashi, A</t>
  </si>
  <si>
    <t>Kokubun, Nobuo; Kim, Jeong-Hoon; Shin, Hyoung-Chul; Naito, Yasuhiko; Takahashi, Akinori</t>
  </si>
  <si>
    <t>Penguin head movement detected using small accelerometers: a proxy of prey encounter rate</t>
  </si>
  <si>
    <t>accelerometry; chinstrap penguin; gentoo penguin; Antarctic krill; foraging effort; patch</t>
  </si>
  <si>
    <t>ANIMAL-BORNE CAMERA; FREE-LIVING ANIMALS; FEEDING-BEHAVIOR; ACCELERATION; PREDATORS; CONSUMPTION; INGESTION; QUANTIFY; PREDICT; ANGLES</t>
  </si>
  <si>
    <t>Determining temporal and spatial variation in feeding rates is essential for understanding the relationship between habitat features and the foraging behavior of top predators. In this study we examined the utility of head movement as a proxy of prey encounter rates in medium-sized Antarctic penguins, under the presumption that the birds should move their heads actively when they encounter and peck prey. A field study of free-ranging chinstrap and gentoo penguins was conducted at King George Island, Antarctica. Head movement was recorded using small accelerometers attached to the head, with simultaneous monitoring for prey encounter or body angle. The main prey was Antarctic krill (&gt;99% in wet mass) for both species. Penguin head movement coincided with a slow change in body angle during dives. Active head movements were extracted using a high-pass filter (5 Hz acceleration signals) and the remaining acceleration peaks (higher than a threshold acceleration of 1.0. g) were counted. The timing of head movements coincided well with images of prey taken from the back-mounted cameras: head movement was recorded within +/- 2.5.s of a prey image on 89.1 +/- 16.1% (N=7 trips) of images. The number of head movements varied largely among dive bouts, suggesting large temporal variations in prey encounter rates. Our results show that head movement is an effective proxy of prey encounter, and we suggest that the method will be widely applicable for a variety of predators.</t>
  </si>
  <si>
    <t>[Kokubun, Nobuo; Naito, Yasuhiko; Takahashi, Akinori] Natl Inst Polar Res, Tokyo 1908518, Japan; [Kim, Jeong-Hoon; Shin, Hyoung-Chul] Korea Polar Res Inst, Inchon 406840, South Korea</t>
  </si>
  <si>
    <t>Research Organization of Information &amp; Systems (ROIS); National Institute of Polar Research (NIPR) - Japan; Korea Institute of Ocean Science &amp; Technology (KIOST); Korea Polar Research Institute (KOPRI)</t>
  </si>
  <si>
    <t>Kokubun, N (corresponding author), Natl Inst Polar Res, 10-3 Midori Cho, Tokyo 1908518, Japan.</t>
  </si>
  <si>
    <t>nobuo.kokubun@aad.gov.au</t>
  </si>
  <si>
    <t>Japan Society for the Promotion of Science (JSPS) [20310016]; KOPRI [PE11030]; Grants-in-Aid for Scientific Research [21380128] Funding Source: KAKEN</t>
  </si>
  <si>
    <t>Japan Society for the Promotion of Science (JSPS)(Ministry of Education, Culture, Sports, Science and Technology, Japan (MEXT)Japan Society for the Promotion of Science); KOPRI(Korea Polar Research Institute of Marine Research Placement (KOPRI)); Grants-in-Aid for Scientific Research(Ministry of Education, Culture, Sports, Science and Technology, Japan (MEXT)Japan Society for the Promotion of ScienceGrants-in-Aid for Scientific Research (KAKENHI))</t>
  </si>
  <si>
    <t>This work was supported by the Japan Society for the Promotion of Science (JSPS) Research Fellowship for Young Scientists to N.K.; a JSPS research grant [grant number 20310016] to A.T.; and the program 'Bio-logging Science, The University of Tokyo (UT-BLS)' led by Drs N. Miyazaki and K. Sato. A research grant [grant number PE11030: Studies on biodiversity and changing ecosystems in King George Island, Antarctica] funded by the KOPRI provided support for this work. The Ministry of the Environment, Japan, issued the permits required to conduct this work.</t>
  </si>
  <si>
    <t>10.1242/jeb.058263</t>
  </si>
  <si>
    <t>WOS:000296581500011</t>
  </si>
  <si>
    <t>Knudsen, P; Bingham, R; Andersen, O; Rio, MH</t>
  </si>
  <si>
    <t>Knudsen, P.; Bingham, R.; Andersen, O.; Rio, Marie-Helene</t>
  </si>
  <si>
    <t>A global mean dynamic topography and ocean circulation estimation using a preliminary GOCE gravity model</t>
  </si>
  <si>
    <t>JOURNAL OF GEODESY</t>
  </si>
  <si>
    <t>GOCE; Dynamic ocean topography; Ocean circulation; Altimetry</t>
  </si>
  <si>
    <t>SEA-SURFACE TOPOGRAPHY; AGULHAS CURRENT; SATELLITE; FIELD; ACCURACY; ATLANTIC</t>
  </si>
  <si>
    <t>The Gravity and steady-state Ocean Circulation Explorer (GOCE) satellite mission measures Earth's gravity field with an unprecedented accuracy at short spatial scales. In doing so, it promises to significantly advance our ability to determine the ocean's general circulation. In this study, an initial gravity model from GOCE, based on just 2 months of data, is combined with the recent DTU10MSS mean sea surface to construct a global mean dynamic topography (MDT) model. The GOCE MDT clearly displays the gross features of the ocean's steady-state circulation. More significantly, the improved gravity model provided by the GOCE mission has enhanced the resolution and sharpened the boundaries of those features compared with earlier satellite only solutions. Calculation of the geostrophic surface currents from the MDT reveals improvements for all of the ocean's major current systems. In the North Atlantic, the Gulf Stream is stronger and more clearly defined, as are the Labrador and the Greenland currents. Furthermore, the finer scale features, such as eddies, meanders and branches of the Gulf Stream and North Atlantic Current system are visible. Similar improvements are seen also in the North Pacific Ocean, where the Kuroshio and its extension are well represented. In the Southern hemisphere, both the Agulhas and the Brazil-Malvinas Confluence current systems are well defined, and in the Southern ocean the Antarctic Circumpolar Current appears enhanced. The results of this preliminary analysis, using an initial GOCE gravity model, clearly demonstrate the potential of the GOCE mission. Already, at this early stage of the mission, the resolution of the MDT has been improved and the estimated surface current speeds have been increased compared with a GRACE satellite-only MDT. Future GOCE gravity models are expected to build further upon this early success.</t>
  </si>
  <si>
    <t>[Knudsen, P.; Andersen, O.] Tech Univ Denmark, DTU Space, DK-2100 Copenhagen, Denmark; [Bingham, R.] Newcastle Univ, Sch Civil Engn &amp; Geosci, Newcastle Upon Tyne NE1 7RU, Tyne &amp; Wear, England; [Rio, Marie-Helene] CLS, Space Oceanog Div, Ramonville St Agne, France</t>
  </si>
  <si>
    <t>Technical University of Denmark; Newcastle University - UK</t>
  </si>
  <si>
    <t>Knudsen, P (corresponding author), Tech Univ Denmark, DTU Space, DK-2100 Copenhagen, Denmark.</t>
  </si>
  <si>
    <t>pk@space.dtu.dk</t>
  </si>
  <si>
    <t>Andersen, Ole Baltazar/H-7481-2016</t>
  </si>
  <si>
    <t>Andersen, Ole Baltazar/0000-0002-6685-3415; Knudsen, Per/0000-0003-4640-6746</t>
  </si>
  <si>
    <t>European Space Agency [19568/06/I-OL (4200019568)]</t>
  </si>
  <si>
    <t>European Space Agency(European Space Agency)</t>
  </si>
  <si>
    <t>The GOCE User Toolbox is made available by the European Space Agency through http://earth.esa.int/gut/. The analysis has been supported by the European Space Agency project GUT2 - Version 2 of the GOCE User Toolbox, CCN 3 to ESRIN Contract No 19568/06/I-OL (4200019568). We thank the three anonymous reviewers whose comments and suggestions helped us improve the manuscript.</t>
  </si>
  <si>
    <t>0949-7714</t>
  </si>
  <si>
    <t>1432-1394</t>
  </si>
  <si>
    <t>J GEODESY</t>
  </si>
  <si>
    <t>J. Geodesy</t>
  </si>
  <si>
    <t>10.1007/s00190-011-0485-8</t>
  </si>
  <si>
    <t>Geochemistry &amp; Geophysics; Remote Sensing</t>
  </si>
  <si>
    <t>869GZ</t>
  </si>
  <si>
    <t>WOS:000298587500009</t>
  </si>
  <si>
    <t>France, JL; King, MD; Lee-Taylor, J; Beine, HJ; Ianniello, A; Domine, F; MacArthur, A</t>
  </si>
  <si>
    <t>France, J. L.; King, M. D.; Lee-Taylor, J.; Beine, H. J.; Ianniello, A.; Domine, F.; MacArthur, A.</t>
  </si>
  <si>
    <t>Calculations of in-snow NO2 and OH radical photochemical production and photolysis rates: A field and radiative-transfer study of the optical properties of Arctic (Ny-Alesund, Svalbard) snow</t>
  </si>
  <si>
    <t>JOURNAL OF GEOPHYSICAL RESEARCH-EARTH SURFACE</t>
  </si>
  <si>
    <t>HYDROGEN-PEROXIDE; OZONE DEPLETION; ANTARCTIC SNOW; BOUNDARY-LAYER; SOUTH-POLE; CARBONYL-COMPOUNDS; NITRATE SOLUTIONS; INTERSTITIAL AIR; NITROGEN-DIOXIDE; AQUEOUS-SOLUTION</t>
  </si>
  <si>
    <t>Depth-integrated production rates of OH radicals and NO2 molecules from snowpacks in Ny-Alesund, Svalbard, are calculated from fieldwork investigating the light penetration depth (e-folding depth) and nadir reflectivity of snowpacks during the unusually warm spring of 2006. Light penetration depths of 8.1, 11.3, 5.1, and 8.2 cm were measured for fresh, old, marine-influenced, and glacial snowpacks, respectively (wavelength 400 nm). Radiative-transfer calculations of the light penetration depths with reflectivity measurements produced scattering cross sections of 5.3, 9.5, 20, and 25.5 m(2) kg(-1) and absorption cross sections of 7.7, 1.4, 3.4, and 0.5 cm(2) kg(-1) for the fresh, old, marine-influenced, and glacial snowpacks, respectively (wavelength 400 nm). Photolysis rate coefficients, J, are presented as a function of snow depth and solar zenith angle for the four snowpacks for the photolysis of H2O2 and NO3-. Depth-integrated production rates of hydroxyl radicals are 1270, 2130, 950, and 1850 nmol m(-2) h(-1) (solar zenith angle of 60 degrees) for fresh, old, marine-influenced, and glacial snowpacks, respectively. Depth-integrated production rates of NO2 are 32, 56, 11, and 22 nmol m(-2) h(-1) (solar zenith angle of 60 degrees) for the fresh, old, marine-influenced, and glacial snowpacks, respectively. The uncertainty of repeated light penetration depth measurement was determined to be similar to 20%, which propagates into a 20% error in depth-integrated production rates. A very simple steady state hydroxyl radical calculation demonstrates that a pseudo first-order loss rate of OH radicals of similar to 10(2)-10(4) s(-1) is required in snowpack. The snowpacks around Ny-Alesund are thick enough to be considered optically infinite.</t>
  </si>
  <si>
    <t>[France, J. L.; King, M. D.] Royal Holloway Univ London, Dept Earth Sci, Egham TW20 0EX, Surrey, England; [Lee-Taylor, J.] Natl Ctr Atmospher Res, Div Atmospher Chem, Boulder, CO 80307 USA; [Beine, H. J.] Univ Calif Davis, Air Qual Res Ctr, Davis, CA 95616 USA; [Ianniello, A.] Consiglio Nazl Ric IIA, Monterotondo, Italy; [Domine, F.] CNRS, Lab Glaciol &amp; Geophys Environm, F-38402 St Martin Dheres, France; [MacArthur, A.] Univ Edinburgh, Grant Inst, Edinburgh EH9 3JW, Midlothian, Scotland</t>
  </si>
  <si>
    <t>University of London; Royal Holloway University London; National Center Atmospheric Research (NCAR) - USA; University of California System; University of California Davis; Consiglio Nazionale delle Ricerche (CNR); Istituto Sull'inquinamento Atmosferico (IIA-CNR); Centre National de la Recherche Scientifique (CNRS); University of Edinburgh</t>
  </si>
  <si>
    <t>France, JL (corresponding author), Royal Holloway Univ London, Dept Earth Sci, Egham Hill, Egham TW20 0EX, Surrey, England.</t>
  </si>
  <si>
    <t>m.king@es.rhul.ac.uk</t>
  </si>
  <si>
    <t>France, James/A-7885-2012; King, Martin/B-1308-2009; Ianniello, A./B-5344-2015; Lee-Taylor, Julia M/B-7409-2008; France, James/L-9719-2015</t>
  </si>
  <si>
    <t>King, Martin/0000-0002-0089-7693; Ianniello, A./0000-0003-2843-7135; Lee-Taylor, Julia M/0000-0003-0989-1113; France, James/0000-0002-8785-1240</t>
  </si>
  <si>
    <t>NERC [NE/F010788/1, NE/F004796/1, NER/S/A200412177]; RHUL; Kirsty Brown Fund; National Science Foundation; French Polar Institute (IPEV); Natural Environment Research Council [NE/F004796/1, NE/F010788/1] Funding Source: researchfish; NERC [NE/F010788/1, NE/F004796/1] Funding Source: UKRI</t>
  </si>
  <si>
    <t>NERC(UK Research &amp; Innovation (UKRI)Natural Environment Research Council (NERC)); RHUL; Kirsty Brown Fund; National Science Foundation(National Science Foundation (NSF)); French Polar Institute (IPEV); Natural Environment Research Council(UK Research &amp; Innovation (UKRI)Natural Environment Research Council (NERC)); NERC(UK Research &amp; Innovation (UKRI)Natural Environment Research Council (NERC))</t>
  </si>
  <si>
    <t>J.L.F. wishes to thank NERC for continued support under grants NE/F010788/1, NE/F004796/1, and NER/S/A200412177. M.D.K. and J.L.F. wish to thank NERC FSF for loan 489.1205, RHUL strategy fund for a small loan, the Kirsty Brown Fund for financial support, and IPEV and CNR for logistical and in-field support. The National Center for Atmospheric Research is sponsored by the National Science Foundation. The participation of F.D. in this campaign was supported by the French Polar Institute (IPEV).</t>
  </si>
  <si>
    <t>2169-9003</t>
  </si>
  <si>
    <t>2169-9011</t>
  </si>
  <si>
    <t>J GEOPHYS RES-EARTH</t>
  </si>
  <si>
    <t>J. Geophys. Res.-Earth Surf.</t>
  </si>
  <si>
    <t>F04013</t>
  </si>
  <si>
    <t>10.1029/2011JF002019</t>
  </si>
  <si>
    <t>843CV</t>
  </si>
  <si>
    <t>WOS:000296650800004</t>
  </si>
  <si>
    <t>Aita, MN; Tadokoro, K; Ogawa, NO; Hyodo, F; Ishii, R; Smith, SL; Saino, T; Kishi, MJ; Saitoh, SI; Wada, E</t>
  </si>
  <si>
    <t>Aita, Maki Noguchi; Tadokoro, Kazuaki; Ogawa, Nanako O.; Hyodo, Fujio; Ishii, Reiichiro; Smith, S. Lan; Saino, Toshiro; Kishi, Michio J.; Saitoh, Sei-Ichi; Wada, Eitaro</t>
  </si>
  <si>
    <t>Linear relationship between carbon and nitrogen isotope ratios along simple food chains in marine environments</t>
  </si>
  <si>
    <t>JOURNAL OF PLANKTON RESEARCH</t>
  </si>
  <si>
    <t>stable isotopes; nitrogen; carbon; food chain; isotopic fractionation</t>
  </si>
  <si>
    <t>SUB-ARCTIC PACIFIC; OYASHIO REGION; STABLE-ISOTOPES; LIFE-HISTORIES; NEOCALANUS-CRISTATUS; EUCALANUS-BUNGII; WEB STRUCTURE; NORTHEAST PACIFIC; TROPHIC POSITION; SOUTHERN-OCEAN</t>
  </si>
  <si>
    <t>To examine the relationship between carbon and nitrogen stable isotope (SI) ratios (delta C-13 and delta N-15) of zooplankton, we analyzed samples collected bimonthly from March to October 2009, from the euphotic layers of the Oyashio current along the A-line in the western North Pacific. Isotopic ratios of higher trophic levels such as predatory zooplankton and/or long-lived zooplankton varied little with season, while those of short-lived zooplankton were variable on the delta N-15-delta C-13 map. We also analyzed preserved samples taken from the warm-core ring 86-B derived from the Kuroshio extension region. Although the zooplankton groups in the two regions exhibited different values in delta N-15, the delta N-15 versus delta C-13 slopes for each ecosystem do not show significant differences. Statistical analysis conducted together with previously published data from the Antarctic Ocean and the Gulf of Alaska suggested a similar delta N-15 versus delta C-13 slope throughout the four regions. We attributed this common slope to physiological aspects of feeding processes (e. g. the kinetic isotope effects inherent in the processes of amino acid synthesis). The common pattern for all four oceanic regions suggests that SIs may be used to elucidate general patterns in ecosystems and biogeochemical cycles.</t>
  </si>
  <si>
    <t>[Aita, Maki Noguchi; Ishii, Reiichiro; Smith, S. Lan; Saino, Toshiro; Kishi, Michio J.; Wada, Eitaro] Japan Agcy Marine Earth Sci &amp; Technol JAMSTEC, Res Inst Global Change, Kanazawa Ku, Kanagawa 2360001, Japan; [Aita, Maki Noguchi] Hokkaido Univ, Grad Sch Fisheries Sci, Hakodate, Hokkaido 0418611, Japan; [Tadokoro, Kazuaki] Fisheries Res Agcy FRA, Tohoku Natl Fisheries Res Inst, Shiogama, Miyagi 9850001, Japan; [Ogawa, Nanako O.; Wada, Eitaro] Japan Agcy Marine Earth Sci &amp; Technol JAMSTEC, Inst Biogeosci, Yokosuka, Kanagawa 2370061, Japan; [Hyodo, Fujio] Okayama Univ, Kita Ku, Okayama 7008530, Japan; [Kishi, Michio J.; Saitoh, Sei-Ichi] Hokkaido Univ, Fac Fisheries Sci, Hakodate, Hokkaido 0418611, Japan</t>
  </si>
  <si>
    <t>Japan Agency for Marine-Earth Science &amp; Technology (JAMSTEC); Hokkaido University; Japan Fisheries Research &amp; Education Agency (FRA); Japan Agency for Marine-Earth Science &amp; Technology (JAMSTEC); Okayama University; Hokkaido University</t>
  </si>
  <si>
    <t>Aita, MN (corresponding author), Japan Agcy Marine Earth Sci &amp; Technol JAMSTEC, Res Inst Global Change, Kanazawa Ku, 3173-25 Showa Machi, Kanagawa 2360001, Japan.</t>
  </si>
  <si>
    <t>macky@jamstec.go.jp</t>
  </si>
  <si>
    <t>Ogawa, Nanako O./AAJ-6456-2020; Smith, Sherwood Lan/D-2493-2012; HYODO, Fujio/B-2422-2011</t>
  </si>
  <si>
    <t>Smith, Sherwood Lan/0000-0002-2338-5893; OGAWA, Nanako O/0000-0002-3823-6444</t>
  </si>
  <si>
    <t>Japan Society for the Promotion of Science [22651007]; Grants-in-Aid for Scientific Research [22651007] Funding Source: KAKEN</t>
  </si>
  <si>
    <t>This work was supported by a Grant-in-Aid for Challenging Exploratory Research from the Japan Society for the Promotion of Science (22651007).</t>
  </si>
  <si>
    <t>0142-7873</t>
  </si>
  <si>
    <t>J PLANKTON RES</t>
  </si>
  <si>
    <t>J. Plankton Res.</t>
  </si>
  <si>
    <t>10.1093/plankt/fbr070</t>
  </si>
  <si>
    <t>828NE</t>
  </si>
  <si>
    <t>WOS:000295507500001</t>
  </si>
  <si>
    <t>Murphy, DW; Webster, DR; Kawaguchi, S; King, R; Yen, J</t>
  </si>
  <si>
    <t>Murphy, D. W.; Webster, D. R.; Kawaguchi, S.; King, R.; Yen, J.</t>
  </si>
  <si>
    <t>Metachronal swimming in Antarctic krill: gait kinematics and system design</t>
  </si>
  <si>
    <t>CALLIANASSA-SUBTERRANEA DECAPODA; QUANTITATIVE-ANALYSIS; FUNCTIONAL-MORPHOLOGY; BURROW VENTILATION; EUPHAUSIA-SUPERBA; FORCE PRODUCTION; FLOW-FIELD; APPENDAGES; PLEOPODS; BEHAVIOR</t>
  </si>
  <si>
    <t>Metachronal swimming, in which adjacent appendages stroke in sequence, is widespread among crustaceans inhabiting the transitional flow realm in which both viscosity and inertia effects are important. However, the design and operation of this propulsion system in response to various hydrodynamic, energetic, and behavioral needs have not been well investigated. We examine free-swimming Antarctic krill (Euphausia superba) as a model species and identify three distinct behavioral swimming gaits. The pleopod kinematics of these gaits, hovering, fast-forward swimming, and upside-down swimming, are quantified via image analysis of high-speed video. Pleopod stroke amplitude and frequency were found to vary significantly among these swimming modes. In order to increase swimming speed, krill were found first to increase stroke amplitude and secondarily to increase beat frequency. The kinematics of these distinct swimming modes provide insight as we consider multi-appendage metachronal swimming from a design standpoint. The ratio of the distance between adjacent appendage bases and appendage length is identified as a key parameter in metachrony, the value of which is constrained to a narrow range for a wide variety of species.</t>
  </si>
  <si>
    <t>[Murphy, D. W.; Webster, D. R.] Georgia Inst Technol, Sch Civil &amp; Environm Engn, Atlanta, GA 30332 USA; [Kawaguchi, S.; King, R.] Australian Antarctic Div, Kingston, Tas 7050, Australia; [Yen, J.] Georgia Inst Technol, Sch Biol, Atlanta, GA 30332 USA</t>
  </si>
  <si>
    <t>University System of Georgia; Georgia Institute of Technology; Australian Antarctic Division; University System of Georgia; Georgia Institute of Technology</t>
  </si>
  <si>
    <t>Murphy, DW (corresponding author), Georgia Inst Technol, Sch Civil &amp; Environm Engn, Atlanta, GA 30332 USA.</t>
  </si>
  <si>
    <t>dwmurphy@gatech.edu</t>
  </si>
  <si>
    <t>Kawaguchi, So/N-1795-2017; Webster, Donald/B-1905-2009</t>
  </si>
  <si>
    <t>King, Robert/0000-0002-4650-2335; Kawaguchi, So/0000-0002-2042-5095</t>
  </si>
  <si>
    <t>National Science Foundation East Asia-Pacific Summer Institute; National Science Foundation [OCE-0928491]; Division Of Ocean Sciences; Directorate For Geosciences [0928491] Funding Source: National Science Foundation</t>
  </si>
  <si>
    <t>National Science Foundation East Asia-Pacific Summer Institute(National Science Foundation (NSF)); National Science Foundation(National Science Foundation (NSF)); Division Of Ocean Sciences; Directorate For Geosciences(National Science Foundation (NSF)NSF - Directorate for Geosciences (GEO))</t>
  </si>
  <si>
    <t>This work was supported by a National Science Foundation East Asia-Pacific Summer Institute Award to D. W. M. and by National Science Foundation grant OCE-0928491 to J.Y. and D. R. W. The authors thank Nadir Kabir and Morgan Stephenson for help with data digitization and Rachel Lasley for help with statistics. All experiments complied with the current laws of the country in which they were performed. The authors declare that they have no conflict of interest.</t>
  </si>
  <si>
    <t>10.1007/s00227-011-1755-y</t>
  </si>
  <si>
    <t>WOS:000296088600014</t>
  </si>
  <si>
    <t>Pérez-de-Mora, A; Engel, M; Schloter, M</t>
  </si>
  <si>
    <t>Perez-de-Mora, Alfredo; Engel, Marion; Schloter, Michael</t>
  </si>
  <si>
    <t>Abundance and Diversity of n-Alkane-Degrading Bacteria in a Forest Soil Co-Contaminated with Hydrocarbons and Metals: A Molecular Study on alkB Homologous Genes</t>
  </si>
  <si>
    <t>MICROBIAL COMMUNITY COMPOSITION; RESIN WASTE DEPOSITS; LONG-TERM IMPACT; BIOLOGICAL INDICATORS; ENVIRONMENTAL-SAMPLES; FUNCTIONAL-ANALYSIS; ANTARCTIC SOIL; HEAVY-METALS; BIOREMEDIATION; PCR</t>
  </si>
  <si>
    <t>Unraveling functional genes related to biodegradation of organic compounds has profoundly improved our understanding of biological remediation processes, yet the ecology of such genes is only poorly understood. We used a culture-independent approach to assess the abundance and diversity of bacteria catalyzing the degradation of n-alkanes with a chain length between C(5) and C(16) at a forest site co-contaminated with mineral oil hydrocarbons and metals for nearly 60 years. The alkB gene coding for a rubredoxin-dependent alkane monooxygenase enzyme involved in the initial activation step of aerobic aliphatic hydrocarbon metabolism was used as biomarker. Within the area of study, four different zones were evaluated: one highly contaminated, two intermediately contaminated, and a noncontaminated zone. Contaminant concentrations, hydrocarbon profiles, and soil microbial respiration and biomass were studied. Abundance of n-alkane-degrading bacteria was quantified via real-time PCR of alkB, whereas genetic diversity was examined using molecular fingerprints (T-RFLP) and clone libraries. Along the contamination plume, hydrocarbon profiles and increased respiration rates suggested on-going natural attenuation at the site. Gene copy numbers of alkB were similar in contaminated and control areas. However, T-RFLP-based fingerprints suggested lower diversity and evenness of the n-alkane-degrading bacterial community in the highly contaminated zone compared to the other areas; both diversity and evenness were negatively correlated with metal and hydrocarbon concentrations. Phylogenetic analysis of alkB denoted a shift of the hydrocarbon-degrading bacterial community from Gram-positive bacteria in the control zone (most similar to Mycobacterium and Nocardia types) to Gram-negative genotypes in the contaminated zones (Acinetobacter and alkB sequences with little similarity to those of known bacteria). Our results underscore a qualitative rather than a quantitative response of hydrocarbon-degrading bacteria to the contamination at the molecular level.</t>
  </si>
  <si>
    <t>[Perez-de-Mora, Alfredo; Engel, Marion; Schloter, Michael] Helmholtz Zentrum Munchen, Deutsch Forschungszentrum Gesundheit &amp; Umwelt Gmb, Dept Terr Ecogenet, Inst Soil Ecol, D-85764 Neuherberg, Germany</t>
  </si>
  <si>
    <t>Helmholtz Association; Helmholtz-Center Munich - German Research Center for Environmental Health</t>
  </si>
  <si>
    <t>Pérez-de-Mora, A (corresponding author), Helmholtz Zentrum Munchen, Deutsch Forschungszentrum Gesundheit &amp; Umwelt Gmb, Dept Terr Ecogenet, Inst Soil Ecol, Ingolstadter Landstr 1, D-85764 Neuherberg, Germany.</t>
  </si>
  <si>
    <t>perezdemora@gmail.com</t>
  </si>
  <si>
    <t>Schloter, Michael/H-9151-2013</t>
  </si>
  <si>
    <t>Spanish Ministry of Education and Science (MEC)</t>
  </si>
  <si>
    <t>Spanish Ministry of Education and Science (MEC)(Spanish Government)</t>
  </si>
  <si>
    <t>Dr. Perez-de-Mora thanks the Spanish Ministry of Education and Science (MEC) for the fellowship.</t>
  </si>
  <si>
    <t>10.1007/s00248-011-9858-z</t>
  </si>
  <si>
    <t>840YZ</t>
  </si>
  <si>
    <t>WOS:000296479700020</t>
  </si>
  <si>
    <t>Yau, S; Cavicchioli, R</t>
  </si>
  <si>
    <t>Yau, Sheree; Cavicchioli, Ricardo</t>
  </si>
  <si>
    <t>Microbial communities in Antarctic lakes: Entirely new perspectives from metagenomics and metaproteomics</t>
  </si>
  <si>
    <t>MICROBIOLOGY AUSTRALIA</t>
  </si>
  <si>
    <t>ACE LAKE; VIROPHAGE; POPULATION; VIRUS; CYCLE</t>
  </si>
  <si>
    <t>Driven by advances in DNA sequencing technologies, an astounding amount of data is being generated from genetic material sourced directly from the environment, and this exponential growth of data is set to continue. By surmounting the challenges of working with such vast datasets, a whole new level of understanding is being gained about microbial diversity, microbial evolution and whole ecosystem function. For precious, pristine and logistically difficult to obtain Antarctic samples, metagenomic and metaproteomic approaches are providing the basis for fundamental new discoveries about how Antarctic systems function.</t>
  </si>
  <si>
    <t>[Yau, Sheree; Cavicchioli, Ricardo] Univ New South Wales, Sch Biotechnol &amp; Biomol Sci, Sydney, NSW 2052, Australia</t>
  </si>
  <si>
    <t>Cavicchioli, R (corresponding author), Univ New South Wales, Sch Biotechnol &amp; Biomol Sci, Sydney, NSW 2052, Australia.</t>
  </si>
  <si>
    <t>r.cavicchioli@unsw.edu.au</t>
  </si>
  <si>
    <t>Cavicchioli, Ricardo/D-4341-2013; Yau, Sheree/AAX-9078-2021</t>
  </si>
  <si>
    <t>Yau, Sheree/0000-0003-1878-132X</t>
  </si>
  <si>
    <t>1324-4272</t>
  </si>
  <si>
    <t>2201-9189</t>
  </si>
  <si>
    <t>MICROBIOL AUST</t>
  </si>
  <si>
    <t>Microbiol. Aust.</t>
  </si>
  <si>
    <t>V0K0M</t>
  </si>
  <si>
    <t>WOS:000216298700006</t>
  </si>
  <si>
    <t>Ingram, T; Mahler, DL</t>
  </si>
  <si>
    <t>Ingram, T.; Mahler, D. L.</t>
  </si>
  <si>
    <t>Niche diversification follows key innovation in Antarctic fish radiation</t>
  </si>
  <si>
    <t>MOLECULAR ECOLOGY</t>
  </si>
  <si>
    <t>community ecology; fish; macroevolution; phylogenetic theory and methods</t>
  </si>
  <si>
    <t>EVOLUTION; SHELF</t>
  </si>
  <si>
    <t>Antarctic notothenioid fishes provide a fascinating evolutionary laboratory for the study of adaptive radiation, as their diversification is linked to both isolation in an extreme environment and a key innovation that allows them to exploit it. In this issue of Molecular Ecology, Rutschmann et al. (2011) evaluate how dietary niche differences have evolved in notothenioids: rarely, or repeatedly in multiple lineages. The authors use stable isotopes to measure species' use of benthic vs. pelagic resources and map resource use onto a molecular phylogeny. Their findings indicate that pelagic diets have evolved in multiple lineages in at least two families, indicating that dietary niche diversification has occurred repeatedly and in parallel.</t>
  </si>
  <si>
    <t>[Ingram, T.; Mahler, D. L.] Harvard Univ, Dept Organism &amp; Evolutionary Biol, Cambridge, MA 02138 USA</t>
  </si>
  <si>
    <t>Harvard University</t>
  </si>
  <si>
    <t>Ingram, T (corresponding author), Harvard Univ, Dept Organism &amp; Evolutionary Biol, 26 Oxford St, Cambridge, MA 02138 USA.</t>
  </si>
  <si>
    <t>ingram@fas.harvard.edu</t>
  </si>
  <si>
    <t>Ingram, Travis/HCI-1116-2022</t>
  </si>
  <si>
    <t>Ingram, Travis/0000-0003-0709-5260; Mahler, D. Luke/0000-0001-6483-3667</t>
  </si>
  <si>
    <t>0962-1083</t>
  </si>
  <si>
    <t>MOL ECOL</t>
  </si>
  <si>
    <t>Mol. Ecol.</t>
  </si>
  <si>
    <t>10.1111/j.1365-294X.2011.05321.x</t>
  </si>
  <si>
    <t>Biochemistry &amp; Molecular Biology; Ecology; Evolutionary Biology</t>
  </si>
  <si>
    <t>Biochemistry &amp; Molecular Biology; Environmental Sciences &amp; Ecology; Evolutionary Biology</t>
  </si>
  <si>
    <t>853GM</t>
  </si>
  <si>
    <t>WOS:000297414200002</t>
  </si>
  <si>
    <t>Rutschmann, S; Matschiner, M; Damerau, M; Muschick, M; Lehmann, MF; Hanel, R; Salzburger, W</t>
  </si>
  <si>
    <t>Rutschmann, Sereina; Matschiner, Michael; Damerau, Malte; Muschick, Moritz; Lehmann, Moritz F.; Hanel, Reinhold; Salzburger, Walter</t>
  </si>
  <si>
    <t>Parallel ecological diversification in Antarctic notothenioid fishes as evidence for adaptive radiation</t>
  </si>
  <si>
    <t>disparity-through-time; marine speciation; niche overlap; pelagization; phylogeny; stable nitrogen and carbon isotopes</t>
  </si>
  <si>
    <t>STABLE-ISOTOPE ANALYSES; FOOD-WEB; ARTEDIDRACONIDAE PISCES; TROPHIC RELATIONSHIPS; PHYLOGENETIC ANALYSIS; POPULATION-STRUCTURE; ELEPHANT ISLAND; CICHLID FISH; MITOCHONDRIAL; EVOLUTION</t>
  </si>
  <si>
    <t>Antarctic notothenioid fishes represent a rare example of a marine species flock. They evolved special adaptations to the extreme environment of the Southern Ocean including antifreeze glycoproteins. Although lacking a swim bladder, notothenioids have diversified from their benthic ancestor into a wide array of water column niches, such as epibenthic, semipelagic, cryopelagic and pelagic habitats. Applying stable carbon (C) and nitrogen (N) isotope analyses to gain information on feeding ecology and foraging habitats, we tested whether ecological diversification along the benthic-pelagic axis followed a single directional trend in notothenioids, or whether it evolved independently in several lineages. Population samples of 25 different notothenioid species were collected around the Antarctic Peninsula, the South Orkneys and the South Sandwich Islands. The C and N stable isotope signatures span a broad range (mean delta C-13 and delta N-15 values between -25.4 parts per thousand and -21.9 parts per thousand and between 8.5 parts per thousand and 13.8 parts per thousand, respectively), and pairwise niche overlap between four notothenioid families was highly significant. Analysis of isotopic disparity-through-time on the basis of Bayesian inference and maximum-likelihood phylogenies, performed on a concatenated mitochondrial (cyt b) and nuclear gene (myh6, Ptr and tbr1) data set (3148 bp), showed that ecological diversification into overlapping feeding niches has occurred multiple times in parallel in different notothenioid families. This convergent diversification in habitat and trophic ecology is a sign of interspecific competition and characteristic for adaptive radiations.</t>
  </si>
  <si>
    <t>[Rutschmann, Sereina; Matschiner, Michael; Muschick, Moritz; Salzburger, Walter] Univ Basel, Inst Zool, CH-4051 Basel, Switzerland; [Damerau, Malte; Hanel, Reinhold] Fed Res Inst Rural Areas, Inst Fisheries Ecol, Johann Heinrich von Thunen Inst, D-22767 Hamburg, Germany; [Lehmann, Moritz F.] Univ Basel, Inst Environm Geosci, CH-4056 Basel, Switzerland</t>
  </si>
  <si>
    <t>University of Basel; Johann Heinrich von Thunen Institute; University of Basel</t>
  </si>
  <si>
    <t>Salzburger, W (corresponding author), Univ Basel, Inst Zool, Vesalgasse 1, CH-4051 Basel, Switzerland.</t>
  </si>
  <si>
    <t>reinhold.hanel@vti.bund.de; walter.salzburger@unibas.ch</t>
  </si>
  <si>
    <t>Salzburger, Walter/G-1598-2011; Muschick, Moritz/B-9843-2012; Hanel, Reinhold/AAO-4887-2021; Rutschmann, Sereina/J-4090-2017; Lehmann, Moritz F./A-3301-2014</t>
  </si>
  <si>
    <t>Salzburger, Walter/0000-0002-9988-1674; Rutschmann, Sereina/0000-0002-7391-0836; Lehmann, Moritz F./0000-0003-0626-5942; Matschiner, Michael/0000-0003-4741-3884</t>
  </si>
  <si>
    <t>VolkswagenStiftung priority program 'Evolutionary Biology'; European Research Council (ERC); Deutsche Forschungsgemeinschaft (DFG) [HA 4328/4, 1158]</t>
  </si>
  <si>
    <t>VolkswagenStiftung priority program 'Evolutionary Biology'; European Research Council (ERC)(European Research Council (ERC)Spanish Government); Deutsche Forschungsgemeinschaft (DFG)(German Research Foundation (DFG))</t>
  </si>
  <si>
    <t>We acknowledge the help of the Museum Victoria (Melbourne) for providing a Pseudaphritis urvillii specimen, Mark Rollog for stable isotope assistance and measurement, Brigitte Aeschbach and Nicolas Boileau for assistance with laboratory work and Fabienne Hamburger for providing technical support for the stable isotope measurement. We are grateful to Christopher D. Jones as well as all scientists and crew members of the United States Antarctic Marine Living Resources Program (US AMLR) cruise in February-March 2009 aboard RV Yuzhmorgeologiya for their invaluable help in sampling and species identification. Further, we thank the Subject Editor Louis Bernatchez and the anonymous reviewers for constructive comments on the manuscript. This study was supported by a PhD scholarship of the VolkswagenStiftung priority program 'Evolutionary Biology' for M. Ma., funding from the European Research Council (ERC; Starting Grant 'INTERGENADAPT') to W.S. and grant HA 4328/4 from the Deutsche Forschungsgemeinschaft (DFG-Priority Programme 1158) to R.H. and W.S. We further thank our research groups for constructive comments and familiar working atmosphere.</t>
  </si>
  <si>
    <t>1365-294X</t>
  </si>
  <si>
    <t>10.1111/j.1365-294X.2011.05279.x</t>
  </si>
  <si>
    <t>WOS:000297414200012</t>
  </si>
  <si>
    <t>Cantrell, SA; Dianese, JC; Fell, J; Gunde-Cimerman, N; Zalar, P</t>
  </si>
  <si>
    <t>Cantrell, S. A.; Dianese, J. C.; Fell, J.; Gunde-Cimerman, N.; Zalar, P.</t>
  </si>
  <si>
    <t>Unusual fungal niches</t>
  </si>
  <si>
    <t>MYCOLOGIA</t>
  </si>
  <si>
    <t>dry valleys; glaciers; microbial mats; plant trichomes; salt flats; salterns</t>
  </si>
  <si>
    <t>MICROBIAL MATS; EUKARYOTIC DIVERSITY; UNEXPECTED DIVERSITY; HYPERSALINE WATERS; ENDOLITHIC FUNGI; TAYLOR VALLEY; SOIL; BACTERIA; YEASTS; MICROORGANISMS</t>
  </si>
  <si>
    <t>Fungi are found in all aerobic ecosystems, colonizing a diversity of substrates and performing a wide diversity of functions, some of which are not well understood. Many species of fungi are cosmopolitan and generalists but others are specialists found only in restricted substrates or habitats. Unusual fungal niches are habitats where extreme conditions would be expected to prevent the development of a mycobiota. In this review we describe five unusual fungal habitats in which fungi occupy poorly understood niches: Antarctic dry valleys, high Arctic glaciers, salt flats and salterns, hypersaline microbial mats and plant trichomes. Yeasts, black yeast-like fungi, melanized filamentous species as well as representatives of Aspergillus and Penicillium seem to be dominant among the mycobiota adapted to cold and saline niches. Plant trichomes appear to be a unique niche, harboring many previously unknown taxa. The advent of new sequencing technologies is helping to elucidate the microbial diversity in many ecosystems, but more studies are needed to document the functional role of fungi in the microbial communities thriving in these unusual environments.</t>
  </si>
  <si>
    <t>[Cantrell, S. A.] Univ Turabo, Sch Sci &amp; Technol, Gurabo, PR 00778 USA; [Dianese, J. C.] Univ Brasilia, Inst Ciencias Biol, BR-70910900 Brasilia, DF, Brazil; [Fell, J.] Univ Miami, Rosenstiel Sch Marine &amp; Atmospher Sci, Miami, FL 33149 USA; [Gunde-Cimerman, N.; Zalar, P.] Univ Ljubljana, Dept Biol, Biotech Fac, Ljubljana 1000, Slovenia</t>
  </si>
  <si>
    <t>Universidade de Brasilia; University of Miami; University of Ljubljana</t>
  </si>
  <si>
    <t>Cantrell, SA (corresponding author), Univ Turabo, Sch Sci &amp; Technol, POB 3030, Gurabo, PR 00778 USA.</t>
  </si>
  <si>
    <t>scantrel@suagm.edu</t>
  </si>
  <si>
    <t>Gunde-Cimerman, Nina/L-5681-2013; Polona, Zalar/IUM-9916-2023; DIANESE, JOSE/F-1575-2016</t>
  </si>
  <si>
    <t>DIANESE, JOSE/0000-0002-9100-0545; Gunde-Cimerman, Nina/0000-0002-9464-3263</t>
  </si>
  <si>
    <t>Mycological Society of America; National Science Foundation (NSF) [MCB 0718500]; CNN-Brasil; Dianese research</t>
  </si>
  <si>
    <t>Mycological Society of America; National Science Foundation (NSF)(National Science Foundation (NSF)); CNN-Brasil; Dianese research</t>
  </si>
  <si>
    <t>The authors thank the Mycological Society of America for financially supporting this symposium, held at the MSA annual meeting in 2009. Financial support for Dr Cantrell was provided by the National Science Foundation (NSF MCB 0718500). Grant from CNN-Brasil supported J.C. Dianese research.</t>
  </si>
  <si>
    <t>0027-5514</t>
  </si>
  <si>
    <t>1557-2536</t>
  </si>
  <si>
    <t>Mycologia</t>
  </si>
  <si>
    <t>10.3852/11-108</t>
  </si>
  <si>
    <t>Mycology</t>
  </si>
  <si>
    <t>852WJ</t>
  </si>
  <si>
    <t>WOS:000297387900001</t>
  </si>
  <si>
    <t>Thompson, DWJ; Solomon, S; Kushner, PJ; England, MH; Grise, KM; Karoly, DJ</t>
  </si>
  <si>
    <t>Thompson, David W. J.; Solomon, Susan; Kushner, Paul J.; England, Matthew H.; Grise, Kevin M.; Karoly, David J.</t>
  </si>
  <si>
    <t>Signatures of the Antarctic ozone hole in Southern Hemisphere surface climate change</t>
  </si>
  <si>
    <t>NATURE GEOSCIENCE</t>
  </si>
  <si>
    <t>ATMOSPHERIC CIRCULATION RESPONSE; ANNULAR MODE; SEA-ICE; TROPOSPHERIC RESPONSE; AUSTRALIAN RAINFALL; CIRCUMPOLAR CURRENT; MESOSCALE EDDIES; OCEANIC RESPONSE; TEMPERATURE; TRENDS</t>
  </si>
  <si>
    <t>Anthropogenic emissions of carbon dioxide and other greenhouse gases have driven and will continue to drive widespread climate change at the Earth's surface. But surface climate change is not limited to the effects of increasing atmospheric greenhouse gas concentrations. Anthropogenic emissions of ozone-depleting gases also lead to marked changes in surface climate, through the radiative and dynamical effects of the Antarctic ozone hole. The influence of the Antarctic ozone hole on surface climate is most pronounced during the austral summer season and strongly resembles the most prominent pattern of large-scale Southern Hemisphere climate variability, the Southern Annular Mode. The influence of the ozone hole on the Southern Annular Mode has led to a range of significant summertime surface climate changes not only over Antarctica and the Southern Ocean, but also over New Zealand, Patagonia and southern regions of Australia. Surface climate change as far equatorward as the subtropical Southern Hemisphere may have also been affected by the ozone hole. Over the next few decades, recovery of the ozone hole and increases in greenhouse gases are expected to have significant but opposing effects on the Southern Annular Mode and its attendant climate impacts during summer.</t>
  </si>
  <si>
    <t>[Thompson, David W. J.; Grise, Kevin M.] Colorado State Univ, Dept Atmospher Sci, Ft Collins, CO 80523 USA; [Solomon, Susan] Univ Colorado, NOAA Chem Sci Div, Boulder, CO 80309 USA; [Solomon, Susan] Univ Colorado, Dept Atmospher &amp; Ocean Sci, Boulder, CO 80309 USA; [Kushner, Paul J.] Univ Toronto, Dept Phys, Toronto, ON M5S 1A7, Canada; [England, Matthew H.] Univ New S Wales, Climate Change Res Ctr, Fac Sci, Sydney, NSW 2052, Australia; [Karoly, David J.] Univ Melbourne, Sch Earth Sci, Melbourne, Vic 3010, Australia</t>
  </si>
  <si>
    <t>Colorado State University; National Oceanic Atmospheric Admin (NOAA) - USA; University of Colorado System; University of Colorado Boulder; University of Colorado System; University of Colorado Boulder; University of Toronto; University of New South Wales Sydney; University of Melbourne; Melbourne Bioinformatics</t>
  </si>
  <si>
    <t>Thompson, DWJ (corresponding author), Colorado State Univ, Dept Atmospher Sci, Ft Collins, CO 80523 USA.</t>
  </si>
  <si>
    <t>England, Matthew/A-7539-2011; Grise, Kevin/B-6939-2013; Thompson, David/C-3520-2008; Kushner, Paul J/H-6716-2016; Thompson, David W J/F-9627-2012; Karoly, David/C-8262-2011</t>
  </si>
  <si>
    <t>England, Matthew/0000-0001-9696-2930; Grise, Kevin/0000-0003-0934-8129; Thompson, David W J/0000-0002-5413-4376; Karoly, David/0000-0002-8671-2994</t>
  </si>
  <si>
    <t>National Science Foundation; Climate Change Research Centre at UNSW; Australian Research Council [FF0668679, FL100100214]; Canadian Foundation for Climate and Atmospheric Sciences; Natural Sciences and Engineering Research Council of Canada; Australian Research Council [FF0668679, FL100100214] Funding Source: Australian Research Council; Directorate For Geosciences; Div Atmospheric &amp; Geospace Sciences [0936255] Funding Source: National Science Foundation</t>
  </si>
  <si>
    <t>National Science Foundation(National Science Foundation (NSF)); Climate Change Research Centre at UNSW; Australian Research Council(Australian Research Council); Canadian Foundation for Climate and Atmospheric Sciences; Natural Sciences and Engineering Research Council of Canada(Natural Sciences and Engineering Research Council of Canada (NSERC)CGIAR); Australian Research Council(Australian Research Council); Directorate For Geosciences; Div Atmospheric &amp; Geospace Sciences(National Science Foundation (NSF)NSF - Directorate for Geosciences (GEO))</t>
  </si>
  <si>
    <t>We thank N. Gillett, L. Polvani and C. McLandress for providing the model output shown in Figs 1, 2 and 3 (as noted in the figure legends); A. Santoso for generating Fig. 3; L. Ciasto for generating the results shown in Fig. 4b; J. Renwick for providing the New Zealand temperature and precipitation data used in Fig. 4c, d; C. Ummenhofer for assistance with the data for Fig. 4e; and A. Sen Gupta for generating Fig. 5. Thanks also to J. Arblaster, J. Fyfe, N. Gillett, I. Held, H. Hendon, A. Hogg, C. Le Quere, C. McLandress, L. Polvani, J. Renwick, S-W. Son and S. Rintoul for discussions and comments on the manuscript. D. W. J. T. is funded by the National Science Foundation Climate Dynamics program and appreciates sabbatical funding provided by the Climate Change Research Centre at UNSW, where much of the text was written. D. J. K. is supported by the Australian Research Council through the Discovery Projects funding scheme (Project FF0668679). M. H. E. is supported by the Australian Research Council through the Laureate Fellowships funding scheme (Project FL100100214). P. J. K. acknowledges support of the Canadian Foundation for Climate and Atmospheric Sciences and the Natural Sciences and Engineering Research Council of Canada.</t>
  </si>
  <si>
    <t>75 VARICK ST, 9TH FLR, NEW YORK, NY 10013-1917 USA</t>
  </si>
  <si>
    <t>1752-0894</t>
  </si>
  <si>
    <t>1752-0908</t>
  </si>
  <si>
    <t>NAT GEOSCI</t>
  </si>
  <si>
    <t>Nat. Geosci.</t>
  </si>
  <si>
    <t>10.1038/NGEO1296</t>
  </si>
  <si>
    <t>844BW</t>
  </si>
  <si>
    <t>WOS:000296723500009</t>
  </si>
  <si>
    <t>Boere, AC; Damsté, JSS; Rijpstra, WIC; Volkman, JK; Coolen, MJL</t>
  </si>
  <si>
    <t>Boere, Arjan C.; Damste, Jaap S. Sinninghe; Rijpstra, W. Irene C.; Volkman, John K.; Coolen, Marco J. L.</t>
  </si>
  <si>
    <t>Source-specific variability in post-depositional DNA preservation with potential implications for DNA based paleoecological records</t>
  </si>
  <si>
    <t>ORGANIC GEOCHEMISTRY</t>
  </si>
  <si>
    <t>GREEN SULFUR BACTERIA; EXTRACELLULAR DNA; ELLIS FJORD; PLASMID DNA; BLACK-SEA; POLARELLA-GLACIALIS; COMMUNITY PATTERNS; DEGRADATION RATES; EARLY DIAGENESIS; VESTFOLD HILLS</t>
  </si>
  <si>
    <t>Recent studies have shown that genotyping preserved plankton DNA in marine and lacustrine sediment records using ancient DNA methods is a promising approach for refining paleoenvironmental information. However, the extent to which the preservation of fossil plankton DNA differs between species is poorly understood. Using a continuous 2700 year sediment record from Watts Basin in Ellis Fjord (Antarctica), we compared the level of preservation of fossil DNA derived from important plankton members with varying cellular architecture. The amount of preserved small subunit ribosomal DNA (SSU rDNA; ca. 500 base pair fragments) of dinoflagellates (as extracellular DNA rather than as preserved cysts) that could be amplified by way of PCR declined up to five orders of magnitude with increasing sediment depth and age. In contrast, the amount of similar-sized, PCR-amplifiable, diatom SSU rDNA (predominantly from a cyst-forming Chaetoceros sp.) declined only up to tenfold over 2700 years of deposition. No obvious decline in copy numbers with increasing sediment age was observed for similar-sized SSU rDNA of past chemocline-associated photosynthetic green sulfur bacteria (GSB), which do not have a protective resting stage. In good agreement with the quantitative data, the extent of post-depositional natural degradation to fragments too small to serve as a template for the quantitative PCR assays was greatest for dinoflagellates and lowest for GSB. An increase in the ratio between GSB-derived DNA and intact carotenoids with sediment depth implies that short GSB DNA fragments were better preserved than intact carotenoids and provide a more accurate view into paleoproductivity and the sediment flux of GSB in Watts Basin. We discuss the possible causes behind the variation in the level of DNA preservation among the plankton groups investigated, as well as consequences for the use of using fossil DNA records in paleoecology studies. Published by Elsevier Ltd.</t>
  </si>
  <si>
    <t>[Boere, Arjan C.; Damste, Jaap S. Sinninghe; Rijpstra, W. Irene C.; Coolen, Marco J. L.] NIOZ Royal Netherlands Inst Sea Res, Dept Marine Organ Biogeochem, NL-1790 AB Den Burg, Netherlands; [Volkman, John K.] CSIRO Marine &amp; Atmospher Res &amp; Wealth Oceans Flag, Hobart, Tas 7001, Australia</t>
  </si>
  <si>
    <t>Utrecht University; Royal Netherlands Institute for Sea Research (NIOZ); Commonwealth Scientific &amp; Industrial Research Organisation (CSIRO)</t>
  </si>
  <si>
    <t>Coolen, MJL (corresponding author), Woods Hole Oceanog Inst, Dept Marine Chem &amp; Geochem, Woods Hole, MA 02543 USA.</t>
  </si>
  <si>
    <t>mcoolen@whoi.edu</t>
  </si>
  <si>
    <t>Volkman, John K/A-6592-2008; Coolen, Marco J. L./B-8263-2015; Sinninghe Damste, Jaap/F-6128-2011</t>
  </si>
  <si>
    <t>Coolen, Marco J. L./0000-0002-0417-920X; Sinninghe Damste, Jaap/0000-0002-8683-1854</t>
  </si>
  <si>
    <t>Australian Antarctic Science Advisory Committee (ASAC) [1166]; Netherlands Organization for Scientific Research (NWO) [851.20.020, 851.20.006]; NSF-OCE [0825020]; Directorate For Geosciences; Division Of Ocean Sciences [0825020] Funding Source: National Science Foundation</t>
  </si>
  <si>
    <t>Australian Antarctic Science Advisory Committee (ASAC); Netherlands Organization for Scientific Research (NWO)(Netherlands Organization for Scientific Research (NWO)); NSF-OCE(National Science Foundation (NSF)NSF - Directorate for Geosciences (GEO)); Directorate For Geosciences; Division Of Ocean Sciences(National Science Foundation (NSF)NSF - Directorate for Geosciences (GEO))</t>
  </si>
  <si>
    <t>We thank C. Wuchter, P. Thompson and crew of the Australian Antarctic Division for assistance during sampling, and F. Sangiorgi and an anonymous reviewer for useful comments. Funding for the collection of sediment and water samples (by M.J.L.C. and C.W.) was provided by the Australian Antarctic Science Advisory Committee (ASAC Grant 1166 to J.K.V.). The work was further supported by grants from the Netherlands Organization for Scientific Research (NWO; Netherlands Antarctic Research Proposals 851.20.020 to M.J.L.C. and 851.20.006 to J.S.S.D), as well as NSF-OCE Grant 0825020 to M.J.L.C.</t>
  </si>
  <si>
    <t>0146-6380</t>
  </si>
  <si>
    <t>ORG GEOCHEM</t>
  </si>
  <si>
    <t>Org. Geochem.</t>
  </si>
  <si>
    <t>10.1016/j.orggeochem.2011.08.005</t>
  </si>
  <si>
    <t>860CT</t>
  </si>
  <si>
    <t>WOS:000297926100006</t>
  </si>
  <si>
    <t>Global change and Antarctic terrestrial biodiversity</t>
  </si>
  <si>
    <t>hogg@waikato.ac.nz</t>
  </si>
  <si>
    <t>10.1007/s00300-011-1108-9</t>
  </si>
  <si>
    <t>WOS:000297202900001</t>
  </si>
  <si>
    <t>Convey, P</t>
  </si>
  <si>
    <t>Convey, Peter</t>
  </si>
  <si>
    <t>Antarctic terrestrial biodiversity in a changing world</t>
  </si>
  <si>
    <t>Biogeography; Biological invasions; Manipulation; Human impacts; Conservation; Management</t>
  </si>
  <si>
    <t>SIMULATED CLIMATE-CHANGE; ULTRAVIOLET-B RADIATION; MCMURDO DRY VALLEYS; VASCULAR PLANTS; ECOLOGICAL RESPONSES; NEMATODE COMMUNITIES; ENVIRONMENTAL-CHANGE; VICTORIA LAND; ECOSYSTEMS; DIVERSITY</t>
  </si>
  <si>
    <t>Recent analyses of Antarctic terrestrial biodiversity data, in combination with molecular biological studies, have created a new paradigm that long-term persistence and regional isolation are general features of most of the major groups of Antarctic terrestrial biota, overturning the previously widely assumed view of a generally recent colonisation history. This paradigm, as well as incorporating a new and much longer timescale in which to consider the evolution and adaptation of Antarctic terrestrial biota, opens important new cross-disciplinary linkages with geologists and glaciologists seeking to unravel the history of the continent itself. This unique biota now faces the twin challenges of responding to the complex processes of climate change facing some parts of the continent, and the direct impacts associated with human occupation and activity. In many instances, this biota is likely to benefit, initially at least, from the current environmental changes, and there is an expectation of increased production, biomass, population size, community complexity, and colonisation. However, the impacts of climate change may themselves be outweighed by other, direct, impacts of human activities, and in particular, the introduction of non-indigenous organisms from which until recently the terrestrial ecosystems of the continent have been protected. The Antarctic research community and those responsible for governance under the Antarctic treaty system are faced with the pressing challenges of (1) ensuring there is sufficient baseline monitoring and survey activity to enable identification of these changes, however caused and (2) ensuring that effective operational management and bio-security procedures are in place to minimise the threat from anthropogenic activities.</t>
  </si>
  <si>
    <t>Convey, P (corresponding author), British Antarctic Survey, Madingley Rd, Cambridge CB3 0ET, England.</t>
  </si>
  <si>
    <t>pcon@bas.ac.uk</t>
  </si>
  <si>
    <t>Convey, Peter/AAV-5728-2020</t>
  </si>
  <si>
    <t>10.1007/s00300-011-1068-0</t>
  </si>
  <si>
    <t>WOS:000297202900002</t>
  </si>
  <si>
    <t>Green, TGA; Sancho, LG; Pintado, A; Schroeter, B</t>
  </si>
  <si>
    <t>Green, T. G. Allan; Sancho, Leopoldo G.; Pintado, Ana; Schroeter, Burkhard</t>
  </si>
  <si>
    <t>Functional and spatial pressures on terrestrial vegetation in Antarctica forced by global warming</t>
  </si>
  <si>
    <t>Antarctica; Climate change; Temperature; Cyanobacterial; Lichen; Moss; Hepatic</t>
  </si>
  <si>
    <t>UNCINATA HEDW. LOESKE; MICROCLIMATIC CONDITIONS; VASCULAR PLANTS; LICHEN; SOUTHERN; DIFFERENTIATION; COLLEMBOLA; RADIATION; MOSSES; GROWTH</t>
  </si>
  <si>
    <t>There is growing interest in what controls the present distribution of terrestrial vegetation in Antarctica because of the potential use of biodiversity as an indicator or predictor of the effects of climate change. Recent advances in knowledge of distribution and ecophysiological performance of terrestrial vegetation means that an initial analysis of the potential influence of temperature is now possible. Regressions of species numbers of lichens, mosses and hepatics on latitude and mean annual temperature (standard macroclimatic data) were carried out, and the terrestrial vegetation in Antarctica could be divided into two zones. The microenvironmental zone lies south of around 72 degrees S, and biodiversity (richness and location) is uncoupled from the macroenvironment and is, instead, determined by the occasional coincidences of warmth, water, light and shelter. The macroenvironmental zone lies north of about 72 degrees S, and biodiversity (richness, cover and growth) is strongly positively linked to mean annual temperature; species numbers increase at about 9-10% per K (24.0, 9.3 and 1.8 species for lichens, mosses and hepatics, respectively) probably due to improved water availability through increased precipitation and longer active period (monthly degree-days also reach zero at about 72 degrees S) allowing greater productivity, completion of metabolic processes and a switch from survival to growth strategies. Cyanobacterial lichens appear to be a special case and may be expanding after being forced into northerly refugia. Warming will cause a southward movement of the boundary between the two zones but distribution in the microenvironmental zone will remain determined by local coincidences of environment and resources.</t>
  </si>
  <si>
    <t>[Green, T. G. Allan] Univ Waikato, Hamilton, New Zealand; [Green, T. G. Allan; Sancho, Leopoldo G.; Pintado, Ana] Univ Complutense, Fac Farm, E-28040 Madrid, Spain; [Schroeter, Burkhard] Univ Kiel, Inst Bot, D-24098 Kiel, Germany</t>
  </si>
  <si>
    <t>University of Waikato; Complutense University of Madrid; University of Kiel</t>
  </si>
  <si>
    <t>Green, TGA (corresponding author), Univ Waikato, Private Bag 3105, Hamilton, New Zealand.</t>
  </si>
  <si>
    <t>greentga@waikato.ac.nz</t>
  </si>
  <si>
    <t>Sancho, leopoldo G./H-2974-2013; Pintado, Ana/G-9881-2015; SANCHO, LEOPOLDO/G-9120-2015</t>
  </si>
  <si>
    <t>SANCHO, LEOPOLDO/0000-0002-4751-7475; PINTADO, ANA/0000-0003-3007-1486</t>
  </si>
  <si>
    <t>New Zealand Foundation for Research, Science and Technology (FRST); University of Waikato; Department of Biological Sciences, University of Waikato; Spanish Education Ministry [POL2006- 08405, CTM2009- 12838-C04-01]; Deutsche Forschungsgemeinschaft (DFG) [SCHR 473/4-3]; IPN, Kiel, Germany</t>
  </si>
  <si>
    <t>New Zealand Foundation for Research, Science and Technology (FRST)(New Zealand Foundation for Research, Science and Technology); University of Waikato; Department of Biological Sciences, University of Waikato; Spanish Education Ministry(Spanish Government); Deutsche Forschungsgemeinschaft (DFG)(German Research Foundation (DFG)); IPN, Kiel, Germany</t>
  </si>
  <si>
    <t>We are grateful to Antarctica New Zealand (AntNZ) for logistical support over several years as part of the Latitudinal Gradient Project coordinated by Shulamit Gordon. Logistics support was also provided by the Australian Antarctic Programme, the Spanish National Antarctic Program and the US Coastguard Reserve. These are all gratefully thanked. The New Zealand Foundation for Research, Science and Technology (FRST), the University of Waikato Vice Chancellor's Fund and the Department of Biological Sciences, University of Waikato provided financial support. During completion of the research, TGAG and LGS were supported by the FRST grant, 'Understanding, valuing and protecting Antarctica's unique terrestrial ecosystems: predicting biocomplexity in Dry Valley ecosystems,' and TGAG and LGS by the Spanish Education Ministry grants POL2006- 08405 and CTM2009- 12838-C04-01 and BS by the Deutsche Forschungsgemeinschaft (DFG SCHR 473/4-3). Special thanks go to Prof. Ute Harms, IPN, Kiel, Germany for support to BS.</t>
  </si>
  <si>
    <t>10.1007/s00300-011-1058-2</t>
  </si>
  <si>
    <t>WOS:000297202900003</t>
  </si>
  <si>
    <t>Khan, N; Tuffin, M; Stafford, W; Cary, C; Lacap, DC; Pointing, SB; Cowan, D</t>
  </si>
  <si>
    <t>Khan, Nuraan; Tuffin, Marla; Stafford, William; Cary, Craig; Lacap, Donnabella C.; Pointing, Stephen B.; Cowan, Don</t>
  </si>
  <si>
    <t>Hypolithic microbial communities of quartz rocks from Miers Valley, McMurdo Dry Valleys, Antarctica</t>
  </si>
  <si>
    <t>Hypolith; Antarctic Dry Valleys; Microbial colonisation; DGGE; Phylogenetics</t>
  </si>
  <si>
    <t>CYANOBACTERIAL DIVERSITY; ENVIRONMENTAL GRADIENTS; CLASS ACTINOBACTERIA; VICTORIA LAND; CHINA HOT; SOILS; BACTERIA; ECOLOGY; DESERT; ALGAE</t>
  </si>
  <si>
    <t>The McMurdo Dry Valleys region of eastern Antarctica is a cold desert that presents extreme challenges to life. Hypolithic microbial colonisation of the subsoil surfaces of translucent quartz rocks represent a signiWcant source of terrestrial biomass and productivity in this region. Previous studies have described hypoliths as dominated by cyanobacteria. However, hypoliths that occur in the lower Dry Valleys such as the Miers, Garwood and Marshall Valleys are unusual as they are not necessarily cyanobacteria-dominated. These hypoliths support signiWcant eukaryal colonisation by fungi and mosses in addition to cyanobacteria-dominated bacterial assemblages and so have considerable ecological value in this barren landscape. Here, we characterise these novel hypoliths by analysis of environmental rRNA gene sequences. The hypolithic community was demonstrated to be distinct from the surrounding soil and non-translucent rocks. Hypoliths supported cyanobacterial signatures from the Oscillatoriales and Nostocales. Other heterotrophic bacterial signatures were also recovered, and these were phylogenetically diverse and spanned 8 other bacterial phyla. Archaeal phylotypes recovered were phylogenetically aYliated with the large group of unclassiWed, uncultured Crenarcheota. Eukaryal phylotypes indicated that free-living ascomycetous fungi, chlorophytes and mosses (Bryum sp.) were all supported by these hypoliths, and these are thought to be responsible for the extensive eukaryotic biomass that develops around quartz rocks.</t>
  </si>
  <si>
    <t>[Khan, Nuraan; Tuffin, Marla; Stafford, William; Cowan, Don] Univ Western Cape, Dept Biotechnol, Inst Microbial Biotechnol &amp; Metagenom, ZA-7535 Cape Town, South Africa; [Cary, Craig] Univ Waikato, Dept Biol Sci, Thermophile Res Unit, Hamilton, New Zealand; [Lacap, Donnabella C.; Pointing, Stephen B.] Univ Hong Kong, Hong Kong, Hong Kong, Peoples R China</t>
  </si>
  <si>
    <t>University of the Western Cape; University of Waikato; University of Hong Kong</t>
  </si>
  <si>
    <t>Cowan, D (corresponding author), Univ Western Cape, Dept Biotechnol, Inst Microbial Biotechnol &amp; Metagenom, ZA-7535 Cape Town, South Africa.</t>
  </si>
  <si>
    <t>Pointing, Stephen/JHT-2500-2023; Cowan, Donald A/E-3991-2012; Trindade, Marla/AAU-9730-2020</t>
  </si>
  <si>
    <t>Cowan, Donald A/0000-0001-8059-861X; Trindade, Marla/0000-0002-2478-0270; Cary, Stephen/0000-0002-2876-2387</t>
  </si>
  <si>
    <t>South African national Antarctic Programme; New Zealand Antarctic Research Programme under Antarctica New Zealand; Waikato University; National Research Foundation (SA); Hong Kong Research Grants Council [7733/08]; NZ Ministry of Science and Innovation (Terrestrial Antarctic Biocomplexity Survey, nzTABS)</t>
  </si>
  <si>
    <t>South African national Antarctic Programme; New Zealand Antarctic Research Programme under Antarctica New Zealand; Waikato University; National Research Foundation (SA); Hong Kong Research Grants Council(Hong Kong Research Grants Council); NZ Ministry of Science and Innovation (Terrestrial Antarctic Biocomplexity Survey, nzTABS)</t>
  </si>
  <si>
    <t>This research was undertaken under the auspices of the South African national Antarctic Programme; the New Zealand Antarctic Research Programme under Antarctica New Zealand and the Waikato University Antarctic Terrestrial Biology Research Programme. The authors gratefully acknowledge funding from the National Research Foundation (SA), the Hong Kong Research Grants Council (7733/08) and the NZ Ministry of Science and Innovation (Terrestrial Antarctic Biocomplexity Survey, nzTABS). The authors declare that they have no conXict of interest.</t>
  </si>
  <si>
    <t>10.1007/s00300-011-1061-7</t>
  </si>
  <si>
    <t>WOS:000297202900004</t>
  </si>
  <si>
    <t>Torres-Mellado, GA; Jaña, R; Casanova-Katny, MA</t>
  </si>
  <si>
    <t>Torres-Mellado, G. A.; Jana, R.; Casanova-Katny, M. A.</t>
  </si>
  <si>
    <t>Antarctic hairgrass expansion in the South Shetland archipelago and Antarctic Peninsula revisited</t>
  </si>
  <si>
    <t>King George Island; Robert Island; Paradise Harbour; Deschampsia antarctica; Colobanthus quitensis; Sanionia uncinata; Global climatic warming; Plant expansion; Population dynamics</t>
  </si>
  <si>
    <t>INTERNATIONAL GEOPHYSICAL YEAR; VASCULAR PLANTS; CLIMATE-CHANGE; DESCHAMPSIA-ANTARCTICA; COLOBANTHUS-QUITENSIS; ARGENTINE ISLANDS; VEGETATION; AREA; PRECIPITATION; POPULATION</t>
  </si>
  <si>
    <t>Populations of both native higher Antarctic plants, Deschampsia antarctica and Colobanthus quitensis, increased during the last decades. However, for D. antarctica, previous population studies on the South Shetland Islands and the Antarctic Peninsula have been too sporadic, patchy, and methodologically different to allow general conclusions. Our aim was to compare sites with D. antarctica along a north-south latitudinal transect with an integral census method to assess the possible impact of climatic change on grass population dynamics. During two summer seasons (2009-2010), plant populations were censed on Fildes and Coppermine Peninsula and several localities on the west coast of the Antarctic Peninsula. Largest plant populations were found on Fildes Peninsula with vegetation cover (VC) of 44-46%. Six out of eleven stands of D. antarctica on Coppermine Peninsula were new records, with increasing plant number and VC (0.1-22%). In the Antarctic Peninsula, contrarily to our expectation, only at Forbes Point, D. antarctica VC was relatively high (ca. 2%) and a new stand of C. quitensis was found. At three previously reported sites, plants had disappeared. Our monitoring confirms that northern D. antarctica populations are expanding, but that this expansion is not continuous along the Antarctic Peninsula and inconsistent with the gradient of relative temperature increase in north-south direction. We suggest that other abiotic and biotic factors are influencing the colonization and expansion of vascular plants in this particular ecosystem.</t>
  </si>
  <si>
    <t>[Torres-Mellado, G. A.; Casanova-Katny, M. A.] Univ Concepcion, Ctr Biotecnol, Concepcion, Chile; [Torres-Mellado, G. A.] Univ Concepcion, Dept Bot, Concepcion, Chile; [Jana, R.] Inst Antartico Chileno, Dept Cientifico, Punta Arenas, Chile; [Jana, R.] Fdn Ctr Estudios Cuaternario Fuego Patagonia &amp; An, Punta Arenas, Chile</t>
  </si>
  <si>
    <t>Torres-Mellado, GA (corresponding author), Univ Concepcion, Ctr Biotecnol, Casilla 160 C, Concepcion, Chile.</t>
  </si>
  <si>
    <t>angecasanova@gmail.com</t>
  </si>
  <si>
    <t>Jaña, Ricardo/AAR-1225-2020; Casanova-Katny, Angelica/M-3994-2014</t>
  </si>
  <si>
    <t>Jaña, Ricardo/0000-0003-3319-1168;</t>
  </si>
  <si>
    <t>INACH [T0307]</t>
  </si>
  <si>
    <t>INACH</t>
  </si>
  <si>
    <t>We thank INACH and staff of Julio Escudero Scientific Station for the logistic facilities offered during the ECA (45th-46th Antarctic Scientific Expedition) of 2009 and 2010. Many thanks also to the staff of the Chilean station Gabriel Gonzalez Videla, especially the crew of 2009/2010 for supporting the exploration of Paradise Harbour sites; Dr. Jorge Carrasco of the Chilean Meteorological Office for providing the climatic data; to bryologists Juan Larrain Benoit and Gloria Gallegos-Haro of University of Concepcion for determining the mosses species. We also thank Dr. Gotz Palfner, University of Concepcion, for his critical suggestions and revision of the English text. We thank the effort of the two referees who helped us to substantially improve the manuscript before publication. This study was done under the project INACH T0307.</t>
  </si>
  <si>
    <t>10.1007/s00300-011-1099-6</t>
  </si>
  <si>
    <t>WOS:000297202900006</t>
  </si>
  <si>
    <t>Robin, M; Chapuis, JL; Lebouvier, M</t>
  </si>
  <si>
    <t>Robin, Marc; Chapuis, Jean-Louis; Lebouvier, Marc</t>
  </si>
  <si>
    <t>Remote sensing of vegetation cover change in islands of the Kerguelen archipelago</t>
  </si>
  <si>
    <t>Remote sensing; Climate change; Vegetation cover; Vegetation index; Sub-Antarctic islands</t>
  </si>
  <si>
    <t>LEAF-AREA INDEX; ORYCTOLAGUS-CUNICULUS; INTRODUCED PREDATORS; PLANT-COMMUNITIES; GLOBAL VEGETATION; CLIMATE; REFLECTANCE; ERADICATION; SENSITIVITY; INVASIONS</t>
  </si>
  <si>
    <t>The plant communities in the Iles Kerguelen (South Indian Ocean) have been extensively modified by human activities, particularly through the deliberate release of rabbits, and the intentional or accidental introduction of several plant species. During the 1990 and 2000s, a decrease in precipitation resulted in a drastic reduction of some native plant species and in the increase in alien taxa. To monitor at a wide spatial scale the rapid changes of vegetation cover induced by summer droughts, we developed a method combining field data and satellite image analysis. A long-term field monitoring of plant communities was initiated on five small islands in 1992, and annually continued for over 15 years on a total of 161 line transects. Among these islands, the rabbit-which was the only introduced herbivore-was eradicated on three, remained on one control island, and had never been present on a second control island. We computed a linear model to link remote sensored vegetation indexes to plant cover deduced from line transects in numerous habitat types. After testing 14 vegetation indexes, we used a model based on the normalized difference vegetation index to precisely map the vegetation cover at several dates. A map of differences and spatial statistics indicated that vegetation cover, as a whole, decreased over the 15-year period. This study provides a reliable tool for long-term monitoring of the dynamics of plant cover in relation to climate change on the Iles Kerguelen.</t>
  </si>
  <si>
    <t>[Robin, Marc] Univ Nantes, CNRS, LETG, UMR 6554, F-44312 Nantes, France; [Chapuis, Jean-Louis] CERSP Museum Natl Hist Nat CNRS P6, UMR 7204, F-75231 Paris, France; [Lebouvier, Marc] Univ Rennes 1, Ecobio CNRS, UMR 6553, Stn Biol, F-35380 Paimpont, France</t>
  </si>
  <si>
    <t>Nantes Universite; Centre National de la Recherche Scientifique (CNRS); CNRS - Institute of Ecology &amp; Environment (INEE); Sorbonne Universite; Museum National d'Histoire Naturelle (MNHN); Centre National de la Recherche Scientifique (CNRS); CNRS - Institute of Ecology &amp; Environment (INEE); Centre National de la Recherche Scientifique (CNRS); CNRS - Institute of Ecology &amp; Environment (INEE); Universite de Rennes</t>
  </si>
  <si>
    <t>Robin, M (corresponding author), Univ Nantes, CNRS, LETG, UMR 6554, BP 81227, F-44312 Nantes, France.</t>
  </si>
  <si>
    <t>marc.robin@univ-nantes.fr</t>
  </si>
  <si>
    <t>Institut Polaire Francais Paul Emile Victor (IPEV) [136]; Centre National de la Recherche Scientifique (Zone Atelier de Recherches sur l'Environnement Antarctique et Subantarctique)</t>
  </si>
  <si>
    <t>Institut Polaire Francais Paul Emile Victor (IPEV); Centre National de la Recherche Scientifique (Zone Atelier de Recherches sur l'Environnement Antarctique et Subantarctique)(Centre National de la Recherche Scientifique (CNRS))</t>
  </si>
  <si>
    <t>This study was supported by the Institut Polaire Francais Paul Emile Victor (IPEV program 136) and by the Centre National de la Recherche Scientifique (Zone Atelier de Recherches sur l'Environnement Antarctique et Subantarctique). This paper is part of the Scientific Committee on Antarctic Research Program EBA (Evolution and Biodiversity in Antarctica.). The SPOT data registered into 2002, 2009, and 2010 have been obtained with ISIS program (CNES). The authors thank M. W. Beck, I. Hogg, D. Piepenburg, B. Pisanu, M. Raynolds, and anonymous reviewers for providing constructive comments to improve and clarify the paper.</t>
  </si>
  <si>
    <t>10.1007/s00300-011-1069-z</t>
  </si>
  <si>
    <t>WOS:000297202900007</t>
  </si>
  <si>
    <t>McGaughran, A; Hogg, ID; Convey, P</t>
  </si>
  <si>
    <t>McGaughran, A.; Hogg, I. D.; Convey, P.</t>
  </si>
  <si>
    <t>Extended ecophysiological analysis of Gomphiocephalus hodgsoni (Collembola): flexibility in life history strategy and population response</t>
  </si>
  <si>
    <t>Activity; Antarctica; Desiccation; Dispersal; Invertebrate; Metabolism; Physiology; Springtail</t>
  </si>
  <si>
    <t>SOUTHERN VICTORIA LAND; CRYPTOPYGUS-ANTARCTICUS; COLD TOLERANCE; TERRESTRIAL ARTHROPODS; LOCAL-DISTRIBUTION; INVERTEBRATES; SPRINGTAILS; DISPERSAL; WATER; DIFFERENTIATION</t>
  </si>
  <si>
    <t>The springtail Gomphiocephalus hodgsoni (Arthropoda: Collembola) has been the focus of extensive ecophysiological and molecular genetic work and is now arguably the most well-studied of the continental Antarctic springtails. Here, we further the ecophysiological catalogue of this species. First, we provide experimental data on G. hodgsoni from one summer season at Cape Bird (Ross Sea Region) examining dispersal ability and desiccation tolerance. Next, we expand an existing metabolic rate dataset that encompasses individual metabolic rate measurements across both temporal and spatial scales in southern Victoria Land, adding an additional season of metabolic rate measurements taken at a cooler, drier continental location (Garwood Valley). Our data show that some G. hodgsoni individuals can survive at least ten days of suspension on the surface of both fresh and sea water. This, coupled with the presence of G. hodgsoni specimens in air and pitfall traps suggests that dispersal over local scales (i.e. metres) is possible for this species. Our metabolic data show that different populations within the same Antarctic region have different average metabolic rates at both temporal and spatial scales, indicating that distinct populations may respond differently to environmental variables. We suggest that G. hodgsoni maintains a flexible life history strategy that allows its ecophysiological response(s) to be dependent on local environmental conditions. Accordingly, there may be no 'typical' response to environmental changes-a factor that should be considered in both future ecophysiological work and conservation approaches.</t>
  </si>
  <si>
    <t>[McGaughran, A.] Massey Univ, Allan Wilson Ctr Mol Ecol &amp; Evolut, Palmerston North, New Zealand; [Hogg, I. D.] Univ Waikato, Ctr Biodivers &amp; Ecol Res, Hamilton, New Zealand; [Convey, P.] NERC, British Antarctic Survey, Cambridge CB3 OET, England</t>
  </si>
  <si>
    <t>Massey University; University of Waikato; UK Research &amp; Innovation (UKRI); Natural Environment Research Council (NERC); NERC British Antarctic Survey</t>
  </si>
  <si>
    <t>McGaughran, A (corresponding author), Max Planck Inst Dev Biol, Dept Evolutionary Biol, Spemannstr 37-39-4, D-72076 Tubingen, Germany.</t>
  </si>
  <si>
    <t>ang.mcgaughran@gmail.com</t>
  </si>
  <si>
    <t>McGaughran, Angela/C-5916-2014; Hogg, Ian D./HNS-7393-2023; Convey, Peter/AAV-5728-2020</t>
  </si>
  <si>
    <t>McGaughran, Angela/0000-0002-3429-8699; Hogg, Ian D./0000-0002-6685-0089; Convey, Peter/0000-0001-8497-9903</t>
  </si>
  <si>
    <t>New Zealand Tertiary Education Commission; Sir Robin Irvine Doctoral Scholarship; New Zealand Foundation for Research Science and Technology [UOWX0710]; Natural Environment Research Council [bas0100025] Funding Source: researchfish; NERC [bas0100025] Funding Source: UKRI</t>
  </si>
  <si>
    <t>New Zealand Tertiary Education Commission; Sir Robin Irvine Doctoral Scholarship; New Zealand Foundation for Research Science and Technology(New Zealand Foundation for Research, Science and Technology); Natural Environment Research Council(UK Research &amp; Innovation (UKRI)Natural Environment Research Council (NERC)); NERC(UK Research &amp; Innovation (UKRI)Natural Environment Research Council (NERC))</t>
  </si>
  <si>
    <t>We thank Laurie Beth Connell and two anonymous reviewers for their constructive comments on an earlier version of the manuscript. We are also grateful to Antarctica New Zealand for their logistical support. Funding for this project was provided by a New Zealand Tertiary Education Commission Top Achiever Doctoral Scholarship and a Sir Robin Irvine Doctoral Scholarship to AM, with the latter also supporting PC's fieldwork; and by a New Zealand Foundation for Research Science and Technology Grant (UOWX0710) to IH. This paper forms a contribution to SCAR's Evolution and Biodiversity in the Antarctic (EBA), Antarctica New Zealand's Latitudinal Gradient Project (LGP), and British Antarctic Survey's Polar Science for Planet Earth (PSPE) research programmes.</t>
  </si>
  <si>
    <t>10.1007/s00300-011-1001-6</t>
  </si>
  <si>
    <t>WOS:000297202900009</t>
  </si>
  <si>
    <t>Dehnhard, N; Voigt, CC; Poisbleau, M; Demongin, L; Quillfeldt, P</t>
  </si>
  <si>
    <t>Dehnhard, Nina; Voigt, Christian C.; Poisbleau, Maud; Demongin, Laurent; Quillfeldt, Petra</t>
  </si>
  <si>
    <t>Stable isotopes in southern rockhopper penguins: foraging areas and sexual diVerences in the non-breeding period</t>
  </si>
  <si>
    <t>Southern rockhopper penguin; Stable isotope analysis; Non-breeding season; Winter distribution</t>
  </si>
  <si>
    <t>EUDYPTES-CHRYSOCOME-CHRYSOCOME; C.-CHRYSOCOME; INTERANNUAL VARIATION; FALKLAND-ISLANDS; CLIMATE-CHANGE; STATEN-ISLAND; WINTER; DIET; DELTA-N-15; SEABIRDS</t>
  </si>
  <si>
    <t>Southern rockhopper penguins (Eudyptes chrysocome chrysocome) have experienced severe population declines across their distribution area, potentially in response to bottom-up effects following elevated sea surface temperatures, changes in the food web and prey availability. We conducted stable isotope analysis to compare trophic levels and distribution patterns in the non-breeding period over three consecutive years, and between males and females, using egg membranes, blood cells and feathers of parent birds. Tissues representing the non-breeding season had lower delta C-13 values than prey sampled around the Falklands and red blood cells from breeding rockhopper penguins. In contrast, delta N-15 values were higher in red blood cells from the end of winter compared to those from the breeding season and compared to feathers. This indicated that rockhopper penguins left the Falkland Island area in the non-breeding season and foraged either around Burdwood Bank further south, or over the Patagonian Shelf. In winter, only males took more prey of higher trophic level than females. Inter-annual differences in isotopic values partly correlated with sea surface temperatures. However, as prey isotope samples were collected only in 1 year, inter-annual differences in penguin isotopic values may result from different foraging sites, different prey choice or different isotopic baseline values. Our study highlights the potential for stable isotope analyses to detect seasonal and gender-specific differences in foraging areas and trophic levels, while stressing the need for more sampling of isotopic baseline data.</t>
  </si>
  <si>
    <t>[Dehnhard, Nina; Poisbleau, Maud; Demongin, Laurent; Quillfeldt, Petra] Max Planck Inst Ornithol, D-78315 Radolfzell am Bodensee, Germany; [Voigt, Christian C.] Leibniz Inst Zoo &amp; Wildlife Res, D-10315 Berlin, Germany; [Poisbleau, Maud; Demongin, Laurent] Univ Antwerp, Dept Biology Ethol, B-2610 Antwerp, Wilrijk, Belgium</t>
  </si>
  <si>
    <t>Max Planck Society; Leibniz Institut fur Zoo und Wildtierforschung; University of Antwerp</t>
  </si>
  <si>
    <t>Dehnhard, N (corresponding author), Max Planck Inst Ornithol, Schlossallee 2, D-78315 Radolfzell am Bodensee, Germany.</t>
  </si>
  <si>
    <t>dehnhard@orn.mpg.de</t>
  </si>
  <si>
    <t>Dehnhard, Nina/H-6160-2016; Poisbleau, Maud/B-9968-2014; Quillfeldt, Petra/A-9549-2009</t>
  </si>
  <si>
    <t>Dehnhard, Nina/0000-0002-4182-2698; Quillfeldt, Petra/0000-0002-4450-8688</t>
  </si>
  <si>
    <t>Deutsche Forschungsgemeinschaft DFG [Qu 148/1-ff]; Falkland Islands Government</t>
  </si>
  <si>
    <t>Deutsche Forschungsgemeinschaft DFG(German Research Foundation (DFG)); Falkland Islands Government</t>
  </si>
  <si>
    <t>We are grateful to the New Island Conservation Trust for permission to work on the island. We thank Ian, Maria and Georgina Strange, and Dan Birch for their support during the Weld season. Thanks also to Helen Otley, Falkland Islands Government and British Antarctic Survey for their logistic help. Prey samples were provided by Dr. Paul Brickle, Falkland Islands Government Fisheries Department, fat extracted by Felix Weiss and analysed at SURC, UK, by Dr. Rona McGill, as part of a previous project. We thank Karin Sorgel and Anja Luckner from the IZW for isotope analysis of penguin samples. Dr. Katrin Ludynia helped to create a map of the study area. We would like to thank three anonymous reviewers for helpful comments on this manuscript. Our study was funded by a grant provided by the Deutsche Forschungsgemeinschaft DFG (Qu 148/1-ff) and an Environmental Studies Budget grant from the Falkland Islands Government. All work was approved by the Falkland Islands Government (Environmental Planning Office).</t>
  </si>
  <si>
    <t>10.1007/s00300-011-1026-x</t>
  </si>
  <si>
    <t>WOS:000297202900013</t>
  </si>
  <si>
    <t>Singh, SM; Singh, P; Ravindra, R</t>
  </si>
  <si>
    <t>Singh, Shiv M.; Singh, Purnima; Ravindra, Rasik</t>
  </si>
  <si>
    <t>Screening of antioxidant potential of Arctic lichens</t>
  </si>
  <si>
    <t>Bioprospecting; Lichen; Extreme environment; Ny-Alesund; Svalbard</t>
  </si>
  <si>
    <t>RADIATION; EXTRACT; OXYGEN; ISLAND</t>
  </si>
  <si>
    <t>Antioxidants are compounds that scavenge the free radicals produced in living organisms. The antioxidant potential of eight Arctic lichen species was evaluated in vitro using free radical scavenging activity (FRS), inhibition of lipid peroxidation (ILP), and Trolox equivalent antioxidant capacity assay (TEAC). FRS activities of lichen species in various organic solvents such as methanol, ethanol, acetone, and dimethyl sulphoxide (DMSO) were in the range 9.6-51.77%, while ILP activities in these solvents ranged from 32.5 to 82.43%. Pseudophebe pubescens showed the highest ILP (82.43%) and FRS (51.77%) activities as compared to other lichen species and the standard antioxidants butylated hydroxyanisole (BHA) and butylated hydroxytoluene (BHT). The TEAC value was also found to be higher in all species compared to the standard water soluble vitamin E analog Trolox (3.9 mM). The order of antioxidative activities in lichen species was Pseudophebe pubescens &gt; Cladonia amaurocraea &gt; Cladonia mediterranea &gt; Physcia caesia &gt; Flavocetraria nivalis &gt; Cetraria fastigata &gt; Xanthoria elegans &gt; Umbilicaria hyperborea. This is the first report of the measurement of antioxidant potential in Arctic lichens.</t>
  </si>
  <si>
    <t>[Singh, Shiv M.; Ravindra, Rasik] Natl Ctr Antarctic &amp; Ocean Res, Vasco Da Gama 403804, Goa, India; [Singh, Purnima] Birla Inst Technol &amp; Sci, Zuarinagar 403726, Goa, India</t>
  </si>
  <si>
    <t>Ministry of Earth Sciences (MoES) - India; National Centre for Polar and Ocean Research (NCPOR); Birla Institute of Technology &amp; Science Pilani (BITS Pilani)</t>
  </si>
  <si>
    <t>Singh, SM (corresponding author), Natl Ctr Antarctic &amp; Ocean Res, Vasco Da Gama 403804, Goa, India.</t>
  </si>
  <si>
    <t>smsingh@ncaor.org</t>
  </si>
  <si>
    <t>Department of Science and Technology (DST), New Delhi</t>
  </si>
  <si>
    <t>Department of Science and Technology (DST), New Delhi(Department of Science &amp; Technology (India))</t>
  </si>
  <si>
    <t>We are highly indebted to Dr. Shailesh Nayak, Secretary Ministry of Earth Sciences, for encouragement and facilities. We express our gratitude to Prof. Peter Convey (British Antarctic Survey) for review and editing the English language and improving the quality of the manuscript. Thanks are also due to Dr. C. T. Achuthankutty, Dr. Renuka Badhe, and anonymous reviewers for their valuable suggestions. Author PS2 is thankful to Department of Science and Technology (DST), New Delhi, for financial support.</t>
  </si>
  <si>
    <t>10.1007/s00300-011-1027-9</t>
  </si>
  <si>
    <t>WOS:000297202900014</t>
  </si>
  <si>
    <t>O'Reilly, J</t>
  </si>
  <si>
    <t>O'Reilly, Jessica</t>
  </si>
  <si>
    <t>Tectonic History and Gondwanan Geopolitics in the Larsemann Hills, Antarctica</t>
  </si>
  <si>
    <t>POLAR-POLITICAL AND LEGAL ANTHROPOLOGY REVIEW</t>
  </si>
  <si>
    <t>Science; environment; policy; geography; Antarctica; India</t>
  </si>
  <si>
    <t>At the Antarctic Treaty Consultative Meetings, an Indian delegate proposed a new research base located within an environmental protection area, because it is where India and Antarctica were connected on the 125-million-year-old continent of Gondwana. How did this claim come to be successful for the Indian Antarctic Program? In the production of documents within international governing bodies, policy makers enroll allies, emphasizing particular aspects of their plans to members of diverse epistemic communities. Instead of trying to make nationally oriented ideas work through uniform procedural rules, international policy makers reshape the contours of acceptable policy-making procedure and the political possibilities of international governance.</t>
  </si>
  <si>
    <t>St Johns Univ, Coll St Benedict, Shanghai, Peoples R China</t>
  </si>
  <si>
    <t>O'Reilly, J (corresponding author), St Johns Univ, Coll St Benedict, Shanghai, Peoples R China.</t>
  </si>
  <si>
    <t>WILEY PERIODICALS, INC</t>
  </si>
  <si>
    <t>ONE MONTGOMERY ST, SUITE 1200, SAN FRANCISCO, CA 94104 USA</t>
  </si>
  <si>
    <t>1081-6976</t>
  </si>
  <si>
    <t>1555-2934</t>
  </si>
  <si>
    <t>POLAR-POLIT LEG ANTH</t>
  </si>
  <si>
    <t>Polar</t>
  </si>
  <si>
    <t>10.1111/j.1555-2934.2011.01163.x</t>
  </si>
  <si>
    <t>Anthropology</t>
  </si>
  <si>
    <t>021LF</t>
  </si>
  <si>
    <t>WOS:000309885600002</t>
  </si>
  <si>
    <t>Alonso-Garcia, M; Sierro, FJ; Kucera, M; Flores, JA; Cacho, I; Andersen, N</t>
  </si>
  <si>
    <t>Alonso-Garcia, M.; Sierro, F. J.; Kucera, M.; Flores, J. A.; Cacho, I.; Andersen, N.</t>
  </si>
  <si>
    <t>Ocean circulation, ice sheet growth and interhemispheric coupling of millennial climate variability during the mid-Pleistocene (ca 800-400 ka)</t>
  </si>
  <si>
    <t>North Atlantic; Mid-Pleistocene; Stable isotopes; Foraminifera; IRD; IODP Site U1314</t>
  </si>
  <si>
    <t>SUBPOLAR NORTH-ATLANTIC; SEA-SURFACE TEMPERATURES; WATER SOURCE VARIATIONS; DEEP-WATER; THERMOHALINE CIRCULATION; PLANKTONIC-FORAMINIFERA; BENTHIC FORAMINIFERA; INTERGLACIAL WARMTH; ICEBERG DISCHARGES; GLACIAL ATLANTIC</t>
  </si>
  <si>
    <t>Stable carbon and oxygen isotopes from benthic and planktic foraminifers, planktic foraminifer assemblages and ice rafted debris from the North Atlantic Site U1314 (Integrated Ocean Drilling Program Expedition 306) were examined to investigate orbital and millennial-scale climate variability in the North Atlantic and its impact on global circulation focusing on the development of glacial periods during the mid-Pleistocene (ca 800-400 ka). Glacial initiations were characterized by a rapid cooling (6-10 degrees C in less than 7 kyr) in the mean annual sea surface temperature (SST), increasing benthic delta O-18 values and high benthic delta C-13 values. The continuous increase in benthic delta O-18 suggests a continuous ice sheet growth whereas the positive benthic delta C-13 values indicate that the flow of the Iceland Scotland Overflow water (ISOW) was vigorous. Strong deep water formation in the Norwegian Greenland Sea promoted a high transfer of freshwater from the ocean to the continents. However, low SSTs at Site U1314 suggest a subpolar gyre cooling and freshening that may have reduced deep water formation in the Labrador Sea during glacial initiations. Once the 3.5 parts per thousand threshold in the benthic delta O-18 record was exceeded, ice rafting started and ice sheet growth was punctuated by millennial-scale waning events which returned to the ocean part of the freshwater accumulated on the continents. Ice-rafting events were associated with a rapid reduction in the ISOW (benthic delta C-13 values dropped 0.5-1 parts per thousand) and followed by millennial-scale warmings. The first two millennial-scale warm intervals of each glacial period reached interglacial temperatures and were particularly abrupt (6-10 degrees C in similar to 3 kyr). Subsequent millennial-scale warm events were cooler probably because the AMOC was rather reduced as suggested by the low benthic delta C-13 values. These two abrupt warming events that occurred at early glacial periods were also observed in the Antarctic temperature and CO2 records, suggesting a close correlation between both Hemispheres. The comparison of the sea surface proxies with the benthic delta O-18 record (as the Southern sign) indicates the presence of a millennial-scale seesaw pattern similar to that seen during the Last Glacial period. (C) 2011 Elsevier Ltd. All rights reserved.</t>
  </si>
  <si>
    <t>[Alonso-Garcia, M.; Sierro, F. J.; Flores, J. A.] Univ Salamanca, Fac Sci, Dept Geol Paleontol, Salamanca 37188, Spain; [Kucera, M.] Univ Tubingen, Inst Geosci Micropaleontol, DE-72076 Tubingen, Germany; [Cacho, I.] Univ Barcelona, Fac Geol, Dept Stratig Paleontol &amp; Marine Geosci, E-08028 Barcelona, Spain; [Andersen, N.] Univ Kiel, Leibniz Lab Radiometr Dating &amp; Stable Isotope Res, D-24118 Kiel, Germany</t>
  </si>
  <si>
    <t>University of Salamanca; Eberhard Karls University of Tubingen; University of Barcelona; University of Kiel</t>
  </si>
  <si>
    <t>Alonso-Garcia, M (corresponding author), Univ S Florida, Coll Marine Sci, 140 7th Ave S, St Petersburg, FL 33701 USA.</t>
  </si>
  <si>
    <t>montserrat@mail.usf.edu</t>
  </si>
  <si>
    <t>Alonso-Garcia, Montserrat/AAB-5338-2021; Kucera, Michal/ABH-6065-2020; Kucera, Michal/AAE-8115-2020; Cacho, Isabel/AAX-2610-2021; Cacho, Isabel/H-4402-2013; Flores, José-Abel/D-4218-2009; Sierro, Francisco/A-4714-2008</t>
  </si>
  <si>
    <t>Alonso-Garcia, Montserrat/0000-0002-0241-2178; Kucera, Michal/0000-0002-7817-9018; Cacho, Isabel/0000-0002-6512-0770; Cacho, Isabel/0000-0002-6512-0770; Flores, José-Abel/0000-0003-1909-293X; Sierro, Francisco/0000-0002-8647-456X</t>
  </si>
  <si>
    <t>Ministry of Education and Science [CSD 2007-00067]; Junta de Castilla y Leon [GR34]; Spanish government through FPU; [CGL2005-00642/BTE]; [CGL2006-10593]; [CGL2008-05560]</t>
  </si>
  <si>
    <t>Ministry of Education and Science(Ministry of Education, Culture, Sports, Science and Technology, Japan (MEXT)); Junta de Castilla y Leon(Junta de Castilla y Leon); Spanish government through FPU(German Research Foundation (DFG)); ; ;</t>
  </si>
  <si>
    <t>This research used samples provided by the Integrated Ocean Drilling Program, IODP. The map was also provided by IODP (K. Petronotis). Thanks to I. Hernandez-Almeida, B. Flower and C. Williams for their help. We also thank two anonymous reviewers for their useful advices and suggestions which undoubtedly helped us to improve the manuscript. This study was funded by the research projects CGL2005-00642/BTE, CGL2006-10593, CGL2008-05560, as well as the Ministry of Education and Science project GRACCIE (CONSOLIDER-INGENIO CSD 2007-00067) and Junta de Castilla y Leon fundings (Grupo de excelencia GR34). Support from the Spanish government through a FPU fellowship granted to Montserrat Alonso Garcia is gratefully acknowledged.</t>
  </si>
  <si>
    <t>10.1016/j.quascirev.2011.08.005</t>
  </si>
  <si>
    <t>WOS:000297187900002</t>
  </si>
  <si>
    <t>Bentley, MJ; Johnson, JS; Hodgson, DA; Dunai, T; Freemand, SPHT; Cofaigh, CO</t>
  </si>
  <si>
    <t>Bentley, M. J.; Johnson, J. S.; Hodgson, D. A.; Dunai, T.; Freemand, S. P. H. T.; Cofaigh, C. O.</t>
  </si>
  <si>
    <t>Rapid deglaciation of Marguerite Bay, western Antarctic Peninsula in the Early Holocene</t>
  </si>
  <si>
    <t>Antarctica; Ice stream; Cosmogenic; Rapid retreat; Circumpolar Deep Water</t>
  </si>
  <si>
    <t>LAST GLACIAL MAXIMUM; PALAEO-ICE-STREAM; PALMER-DEEP; EXPOSURE AGES; PRODUCTION-RATES; SHEET RETREAT; FLOW DYNAMICS; SHELF; HISTORY; BE-10</t>
  </si>
  <si>
    <t>Glacial geological evidence of rapid ice stream retreat is important for the potential insight it can bring to understanding of contemporary rapid ice sheet change. Here, we report new chronological constraints on the deglacial history of the Marguerite Trough Ice Stream, which formerly drained part of the western margin of the Antarctic Peninsula. This ice stream has been previously identified on geomorphological grounds as an example of an outlet that underwent rapid retreat following the Last Glacial Maximum, but the precise timing of this retreat has not been conclusively determined. We obtained cosmogenic surface exposure dates on erratic boulders that record the thinning history of ice flowing into the ice stream. These dates show that the ice stream underwent &gt;270 m of thinning very rapidly at 9.6 ka BP. The timing of ice stream thinning agrees closely with previously published data on ice shelf retreat, the age of the first post-glacial beaches, and minimum constraining ages for the onset of lacustrine sedimentation, and post-glacial sedimentation in inner shelf fjords. We compare the timing of retreat to the similarly-sized Anvers Trough ice stream further north and find that retreat in Marguerite Bay was more rapid and earlier than in the Anvers Trough. We argue that the intrusion of Circumpolar Deep Water is the most likely forcing mechanism for retreat in Marguerite Bay. A key finding of this study is that rapid retreat occurred in deep water with reverse (continent-dipping) slope but also in relatively shallow water with a positive slope. This may have implications for understanding of oceanographically-forced ice sheet change in other parts of West Antarctica. (C) 2011 Elsevier Ltd. All rights reserved.</t>
  </si>
  <si>
    <t>[Bentley, M. J.; Cofaigh, C. O.] Univ Durham, Dept Geog, Durham DH1 3LE, England; [Bentley, M. J.; Johnson, J. S.; Hodgson, D. A.] British Antarctic Survey, Cambridge CB3 0ET, England; [Dunai, T.] Univ Cologne, Inst Geol &amp; Mineral, D-50674 Cologne, Germany; [Freemand, S. P. H. T.] Scottish Univ Environm Res Ctr, E Kilbride G75 0QF, Lanark, Scotland</t>
  </si>
  <si>
    <t>Durham University; UK Research &amp; Innovation (UKRI); Natural Environment Research Council (NERC); NERC British Antarctic Survey; University of Cologne; Scottish Universities Research &amp; Reactor Center</t>
  </si>
  <si>
    <t>Bentley, MJ (corresponding author), Univ Durham, Dept Geog, South Rd, Durham DH1 3LE, England.</t>
  </si>
  <si>
    <t>m.j.bentley@durham.ac.uk</t>
  </si>
  <si>
    <t>Freeman, Stewart/AAA-6544-2020; Ó Cofaigh, Colm/D-9131-2012; Bentley, Michael J/F-7386-2011; Dunai, Tibor J/E-9558-2012</t>
  </si>
  <si>
    <t>Freeman, Stewart/0000-0001-6148-3171; Bentley, Michael J/0000-0002-2048-0019; Dunai, Tibor Janos/0000-0001-8858-2401; Johnson, Joanne/0000-0003-4537-4447</t>
  </si>
  <si>
    <t>Natural Environment Research Council; British Antarctic Survey Operations Staff; Natural Environment Research Council [bas0100027] Funding Source: researchfish; NERC [bas0100027] Funding Source: UKRI</t>
  </si>
  <si>
    <t>Natural Environment Research Council(UK Research &amp; Innovation (UKRI)Natural Environment Research Council (NERC)); British Antarctic Survey Operations Staff; Natural Environment Research Council(UK Research &amp; Innovation (UKRI)Natural Environment Research Council (NERC)); NERC(UK Research &amp; Innovation (UKRI)Natural Environment Research Council (NERC))</t>
  </si>
  <si>
    <t>This paper is dedicated to Simon Herniman, who died tragically in late 2009. He assisted in the field with the work reported here. Many thanks to Captain Nick Lambert and crew of HMS Endurance for logistical support, and particular thanks to the pilots of 815 Squadron who deployed us in challenging conditions. British Antarctic Survey Operations Staff provided help in planning and support. We thank Tara Deen for providing bathymetric data and Claire Allen for kindly sharing data prior to publication. This paper is published as part of the British Antarctic Survey 'Polar Science for Planet Earth' programme, funded by the Natural Environment Research Council. Mike Tabecki, Hillary Blagborough, Steve Binnie, and Elaine McDougall helped with sample preparation in the labs. We thank two anonymous reviewers for their suggestions to improve the paper.</t>
  </si>
  <si>
    <t>10.1016/j.quascirev.2011.09.002</t>
  </si>
  <si>
    <t>WOS:000297187900010</t>
  </si>
  <si>
    <t>Kohfeld, KE; Chase, Z</t>
  </si>
  <si>
    <t>Kohfeld, Karen E.; Chase, Zanna</t>
  </si>
  <si>
    <t>Controls on deglacial changes in biogenic fluxes in the North Pacific Ocean</t>
  </si>
  <si>
    <t>North Pacific; Glacial; Paleoceanography; Productivity; Iron; Circulation</t>
  </si>
  <si>
    <t>SUB-ARCTIC PACIFIC; SOUTHWESTERN OKHOTSK SEA; LAST GLACIAL MAXIMUM; OXYGEN-MINIMUM ZONE; ICE-RAFTED DEBRIS; LATE QUATERNARY; INTERMEDIATE-WATER; LATE PLEISTOCENE; VANCOUVER-ISLAND; CLIMATE-CHANGE</t>
  </si>
  <si>
    <t>The subarctic North Pacific Ocean holds a large CO2 reservoir that is currently isolated from the atmosphere by a low-salinity layer. It has recently been hypothesized that the reorganization of these high-CO2 waters may have played a crucial role in the degassing of carbon dioxide to the atmosphere during the last deglaciation. This reorganization would leave some imprint on paleo-productivity records. Here we present Th-230-normalized biogenic fluxes from an intermediate depth sediment core in the Northwest Pacific (RC10-196, 54.7 degrees N, 177.1 degrees E, 1007 m) and place them within the context of a synthesis of previously-published biogenic flux data from 49 deep-sea cores north of 20 degrees N, ranging from 420 to 3968 m water depth. The Th-230-normalized opal, carbonate, and organic carbon fluxes from RC10-196 peak approximately 13,000 calendar years BP during the Bolling/Allerod (B/A) period. Our data synthesis suggests that biogenic fluxes were in general lowest during the last glacial period, increased somewhat in the Northwest Pacific during Heinrich Event 1, and reached a maximum across the entire North Pacific during the B/A period. We evaluate several mechanisms as possible drivers of deglacial change in biogenic fluxes in the North Pacific, including changes in preservation, sediment focusing, sea ice extent, iron inputs, stratification, and circulation shifts initiated in the North Atlantic and North Pacific. Our analysis suggests that while micronutrient sources likely contributed to some of the observed changes, the heterogeneity in timing of glaciogenic retreat and sea level make these mechanisms unlikely causes of region-wide contemporaneous peaks in export production. We argue that paleo-observations are most consistent with ventilation increases in both the North Pacific (during H1) and North Atlantic (during B/A) being the primary drivers of increases in biogenic flux during the deglaciation, as respectively they were likely to bring nutrients to the surface via increased vertical mixing and shoaling of the global thermocline. (C) 2011 Elsevier Ltd. All rights reserved.</t>
  </si>
  <si>
    <t>[Kohfeld, Karen E.] Simon Fraser Univ, Sch Resource &amp; Environm Management, Burnaby, BC V5A 1S6, Canada; [Chase, Zanna] Univ Tasmania, Inst Marine &amp; Antarctic Studies, Hobart, Tas 7001, Australia</t>
  </si>
  <si>
    <t>Simon Fraser University; University of Tasmania</t>
  </si>
  <si>
    <t>Kohfeld, KE (corresponding author), Simon Fraser Univ, Sch Resource &amp; Environm Management, Burnaby, BC V5A 1S6, Canada.</t>
  </si>
  <si>
    <t>kohfeld@sfu.ca; zanna.chase@utas.edu.au</t>
  </si>
  <si>
    <t>Chase, Zanna/E-9232-2013</t>
  </si>
  <si>
    <t>Chase, Zanna/0000-0001-5060-779X; Kohfeld, Karen/0000-0001-7241-1624</t>
  </si>
  <si>
    <t>NSERC Canada Research Chair; Canadian Fund for Infrastructure programs; Petroleum Research Fund; OSU REU; SFU; President's Research Grant</t>
  </si>
  <si>
    <t>NSERC Canada Research Chair(Canada Research Chairs); Canadian Fund for Infrastructure programs; Petroleum Research Fund(American Chemical Society); OSU REU; SFU; President's Research Grant</t>
  </si>
  <si>
    <t>We thank E. Colin (Colby College), B. Rogers, T. Rodengen, C. Barlow, L Rebar, L Lewis, M. Lane, G. Lertzman, K. Yu (SFU) and M. Soon (UBC) for their assistance with laboratory measurements. Sediment materials were sampled from the core repository at Lamont-Doherty Earth Observatory. We thank T. Guilderson (LLNL) for his assistance with radiocarbon measurements and D. Stable isotope analysis was conducted at the Saskatchewan Isotope Laboratory. J. Crusius provided data from RAMA 44PC. Discussions with R. F. Anderson helped to shape some of the ideas presented, and the comments of three anonymous reviewers greatly improved the manuscript. KEK was funded by NSERC Canada Research Chair, Discovery Grant, and Canadian Fund for Infrastructure programs. ZC was funded by the Petroleum Research Fund and the OSU REU site grant. SW students were funded through the SFU Work Study program and a President's Research Grant to KEK.</t>
  </si>
  <si>
    <t>10.1016/j.quascirev.2011.08.007</t>
  </si>
  <si>
    <t>WOS:000297187900011</t>
  </si>
  <si>
    <t>Wong, K</t>
  </si>
  <si>
    <t>Wong, Kate</t>
  </si>
  <si>
    <t>The Lost Photographs of Captain Scott: Unseen Images from the Legendary Antarctic Expedition</t>
  </si>
  <si>
    <t>SCIENTIFIC AMERICAN</t>
  </si>
  <si>
    <t>0036-8733</t>
  </si>
  <si>
    <t>SCI AM</t>
  </si>
  <si>
    <t>Sci.Am.</t>
  </si>
  <si>
    <t>10.1038/scientificamerican1111-92</t>
  </si>
  <si>
    <t>838YB</t>
  </si>
  <si>
    <t>WOS:000296329100035</t>
  </si>
  <si>
    <t>Sparrow, AD; Gregorich, EG; Hopkins, DW; Novis, P; Elberling, B; Greenfield, LG</t>
  </si>
  <si>
    <t>Sparrow, A. D.; Gregorich, E. G.; Hopkins, D. W.; Novis, P.; Elberling, B.; Greenfield, L. G.</t>
  </si>
  <si>
    <t>Resource Limitations on Soil Microbial Activity in an Antarctic Dry Valley</t>
  </si>
  <si>
    <t>SOIL SCIENCE SOCIETY OF AMERICA JOURNAL</t>
  </si>
  <si>
    <t>TAYLOR VALLEY; ORGANIC-MATTER; CARBON; MICROORGANISMS; TEMPERATURE; RESPONSES; FLUX</t>
  </si>
  <si>
    <t>Although Antarctic dry valley soils function under some of the harshest environmental conditions on the planet, there is significant biological activity concentrated in small areas in the landscape. These productive areas serve as a source of C and N in organic matter redistributed to the surrounding biologically impoverished soils. We conducted a 3-yr replicated field experiment involving soil amendment with C and N in simple (glucose and NH(4)Cl) and complex (glycine and lacustrine detritus) forms to evaluate the resource limitations on soil microbial activity in an Antarctic dry valley. The respiratory response for all substrates was slow, with a significant but weak response to NH(4)Cl, followed by a more widespread response to all substrates aft er 2 yr and in laboratory incubations conducted 3 yr aft er substrate addition. This response suggests that the soil microbial community is N limited and, when that constraint is alleviated, the organisms are able to access a pool of stored C that they could not metabolize before. The effects of added C and N substrates on respiration rates under laboratory conditions were more rapid and significant than the response rates measured in situ. Because the spatial constraints that had probably limited access to soil resources by microorganisms in the field would have been removed in the laboratory incubation, this finding highlights the severe spatial constraints on access to resources in these soils.</t>
  </si>
  <si>
    <t>[Gregorich, E. G.] Agr &amp; Agri Food Canada, Cent Expt Farm, Ottawa, ON K1A 0C6, Canada; [Sparrow, A. D.] CSIRO Sustainable Ecosyst, Alice Springs, NT 0870, Australia; [Sparrow, A. D.; Greenfield, L. G.] Univ Canterbury, Sch Biol Sci, Christchurch 8020, New Zealand; [Hopkins, D. W.] Herit Watt Univ, Sch Life Sci, Edinburgh EH14 4AS, Midlothian, Scotland; [Hopkins, D. W.] Scottish Crop Res Inst, Dundee DD2 5DA, Scotland; [Novis, P.] Manaaki Whenua Landcare Res, Lincoln 8152, New Zealand; [Elberling, B.] Univ Copenhagen, Inst Geog &amp; Geol, DK-1350 Copenhagen K, Denmark; [Elberling, B.] Univ Ctr Svalbard, Longyearbyen, Norway</t>
  </si>
  <si>
    <t>Agriculture &amp; Agri Food Canada; Commonwealth Scientific &amp; Industrial Research Organisation (CSIRO); University of Canterbury; Heriot Watt University; James Hutton Institute; Landcare Research - New Zealand; University of Copenhagen; University Centre Svalbard (UNIS)</t>
  </si>
  <si>
    <t>Gregorich, EG (corresponding author), Agr &amp; Agri Food Canada, Cent Expt Farm, Ottawa, ON K1A 0C6, Canada.</t>
  </si>
  <si>
    <t>Ed.Gregorich@agr.gc.ca</t>
  </si>
  <si>
    <t>Sparrow, Ashley/AAD-7709-2020; Sparrow, Ashley/D-7872-2011; Gregorich, Edward G./J-9785-2012; Elberling, Bo/M-4000-2014</t>
  </si>
  <si>
    <t>Sparrow, Ashley/0000-0003-0388-8255; Gregorich, Edward/0000-0003-3652-2946; Hopkins, David/0000-0003-0953-8643; Novis, Phil/0000-0002-8802-4984; Elberling, Bo/0000-0002-6023-885X</t>
  </si>
  <si>
    <t>Antarctica New Zealand [K052]; University of Canterbury, New Zealand; University of Nevada-Reno; Research Branch of Agriculture and Agri-Food Canada; Royal Society (of London); TransAntarctic Association; Carnegie Trust for the Universities of Scotland; UK Natural Environment Research Council; SCRI; Scottish Government; Foundation for Research, Science and Technology (NZ); Natural Environment Research Council [NE/D00893X/1] Funding Source: researchfish; NERC [NE/D00893X/1] Funding Source: UKRI</t>
  </si>
  <si>
    <t>Antarctica New Zealand; University of Canterbury, New Zealand; University of Nevada-Reno; Research Branch of Agriculture and Agri-Food Canada(Agriculture &amp; Agri Food Canada); Royal Society (of London)(Royal Society); TransAntarctic Association; Carnegie Trust for the Universities of Scotland; UK Natural Environment Research Council(UK Research &amp; Innovation (UKRI)Natural Environment Research Council (NERC)); SCRI; Scottish Government; Foundation for Research, Science and Technology (NZ)(New Zealand Foundation for Research, Science and Technology); Natural Environment Research Council(UK Research &amp; Innovation (UKRI)Natural Environment Research Council (NERC)); NERC(UK Research &amp; Innovation (UKRI)Natural Environment Research Council (NERC))</t>
  </si>
  <si>
    <t>We are grateful to Antarctica New Zealand for field work and logistic support in the 2002-2003, 2004-2005, and 2005-2006 field seasons (Project no. K052); A. D. Sparrow acknowledges support from the University of Canterbury, New Zealand, and the University of Nevada-Reno; E. G. Gregorich acknowledges the Research Branch of Agriculture and Agri-Food Canada; D. W. Hopkins acknowledges additional support from the Royal Society (of London), the TransAntarctic Association, the Carnegie Trust for the Universities of Scotland, the UK Natural Environment Research Council, and SCRI, which is supported in part by the Scottish Government; P. M. Novis acknowledges support from the Foundation for Research, Science and Technology (NZ). We also thank C. Galilee (NZ), P. St.-Georges (Canada), M. Tisch (NZ), and L. English (UK) for technical support and advice, and D. A. Wardle for helpful discussions during the design of the field experiment.</t>
  </si>
  <si>
    <t>SOIL SCI SOC AMER</t>
  </si>
  <si>
    <t>MADISON</t>
  </si>
  <si>
    <t>677 SOUTH SEGOE ROAD, MADISON, WI 53711 USA</t>
  </si>
  <si>
    <t>0361-5995</t>
  </si>
  <si>
    <t>SOIL SCI SOC AM J</t>
  </si>
  <si>
    <t>Soil Sci. Soc. Am. J.</t>
  </si>
  <si>
    <t>10.2136/sssaj2010.0303</t>
  </si>
  <si>
    <t>841ZK</t>
  </si>
  <si>
    <t>WOS:000296553600017</t>
  </si>
  <si>
    <t>Durgadoo, JV; Ansorge, IJ; de Cuevas, BA; Lutjeharms, JRE; Coward, AC</t>
  </si>
  <si>
    <t>Durgadoo, Jonathan V.; Ansorge, Isabelle J.; de Cuevas, Beverly A.; Lutjeharms, Johann R. E.; Coward, Andrew C.</t>
  </si>
  <si>
    <t>Decay of eddies at the South-West Indian Ridge</t>
  </si>
  <si>
    <t>SOUTH AFRICAN JOURNAL OF SCIENCE</t>
  </si>
  <si>
    <t>PRINCE-EDWARD ISLANDS; OCEAN EDDIES; IDENTIFICATION; PRECIPITATION; CIRCULATION; PATHWAYS; WATER; MODEL</t>
  </si>
  <si>
    <t>The South-West Indian Ridge in the Indian sector of the Southern Ocean is a region recognised for the creation of particularly intense eddy disturbances in the mean flow of the Antarctic Circumpolar Current. Eddies formed at this ridge have been extensively studied over the past decade using hydrographic, satellite, drifter and float data and it is hypothesised that they could provide a vehicle for localised meridional heat and salt exchange. The effectiveness of this process is dependent on the rate of decay of the eddies. However, in order to investigate eddy decay, logistically difficult hydrographic monitoring is required. This study presents the decay of cold eddies at the South-West Indian Ridge, using outputs from a high-resolution ocean model. The model's representation of the dynamic nature of this region is fully characteristic of observations. On average, 3-4 intense and well-defined cold eddies are generated per year; these eddies have mean longevities of 5.0 +/- 2.2 months with average advection speeds of 5 +/- 2 km/day. Most simulated eddies reach their peak intensity within 1.5-2.5 months after genesis and have depths of 2000 m - 3000 m. Thereafter they dissipate within approximately 3 months. The decay of eddies is generally characterised by a decrease in their sea surface height signature, a weakening in their rotation rates and a modification in their temperature-salinity characteristics. Subantarctic top predators are suspected to forage preferentially along the edges of eddies. The process of eddy dissipation may thus influence their feeding behaviour.</t>
  </si>
  <si>
    <t>[Durgadoo, Jonathan V.; Ansorge, Isabelle J.; Lutjeharms, Johann R. E.] Univ Cape Town, Dept Oceanog, ZA-7925 Cape Town, South Africa; [Durgadoo, Jonathan V.] Leibniz Inst Meereswissensch IFM GEOMAR, Kiel, Germany; [de Cuevas, Beverly A.; Coward, Andrew C.] Univ Southampton, Natl Oceanog Ctr, Marine Syst Modelling Grp, Southampton, Hants, England</t>
  </si>
  <si>
    <t>University of Cape Town; Helmholtz Association; GEOMAR Helmholtz Center for Ocean Research Kiel; University of Southampton; NERC National Oceanography Centre</t>
  </si>
  <si>
    <t>Durgadoo, JV (corresponding author), Private Bag X3, ZA-7701 Rondebosch, South Africa.</t>
  </si>
  <si>
    <t>jdurgadoo@gmail.com</t>
  </si>
  <si>
    <t>ANSORGE, ISABELLE/AAY-7396-2020</t>
  </si>
  <si>
    <t>South African National Antarctic Programme; University of Cape Town; Natural Environment Research Council [noc010005, noc010010] Funding Source: researchfish; NERC [noc010010, noc010005] Funding Source: UKRI</t>
  </si>
  <si>
    <t>South African National Antarctic Programme; University of Cape Town; Natural Environment Research Council(UK Research &amp; Innovation (UKRI)Natural Environment Research Council (NERC)); NERC(UK Research &amp; Innovation (UKRI)Natural Environment Research Council (NERC))</t>
  </si>
  <si>
    <t>We thank the South African National Antarctic Programme and the University of Cape Town for funding. Model data were acquired during a short visit to the National Oceanographic Centre, Southampton.</t>
  </si>
  <si>
    <t>ACAD SCIENCE SOUTH AFRICA A S S AF</t>
  </si>
  <si>
    <t>LYNWOOD RIDGE</t>
  </si>
  <si>
    <t>PO BOX 72135, LYNWOOD RIDGE 0040, SOUTH AFRICA</t>
  </si>
  <si>
    <t>0038-2353</t>
  </si>
  <si>
    <t>S AFR J SCI</t>
  </si>
  <si>
    <t>S. Afr. J. Sci.</t>
  </si>
  <si>
    <t>10.4102/sajs.v107i11/12.673</t>
  </si>
  <si>
    <t>868PI</t>
  </si>
  <si>
    <t>WOS:000298534800006</t>
  </si>
  <si>
    <t>Cristofanelli, P; Calzolari, F; Bonafè, U; Lanconelli, C; Lupi, A; Busetto, M; Vitale, V; Colombo, T; Bonasoni, P</t>
  </si>
  <si>
    <t>Cristofanelli, P.; Calzolari, F.; Bonafe, U.; Lanconelli, C.; Lupi, A.; Busetto, M.; Vitale, V.; Colombo, T.; Bonasoni, P.</t>
  </si>
  <si>
    <t>Five-year analysis of background carbon dioxide and ozone variations during summer seasons at the Mario Zucchelli station (Antarctica)</t>
  </si>
  <si>
    <t>TERRA-NOVA-BAY; ATMOSPHERIC CO2; SURFACE OZONE; SYOWA STATION; CLUSTER-ANALYSIS; BOUNDARY-LAYER; NOX EMISSIONS; WIND REGIME; DEPLETION; CHEMISTRY</t>
  </si>
  <si>
    <t>The work focuses on the analysis of CO2 and O-3 surface variations observed during five summer experimental campaigns carried out at the 'Icaro Camp' clean air facility (74.7 degrees S, 164.1 degrees E, 41 m a.s.l.) of the 'Mario Zucchelli' Italian coastal research station. This experimental activity allowed the definition of summer average background O-3 values that ranged from 18.3 +/- 4.7 ppbv (summer 2005-2006) to 21.3 +/- 4.0 ppbv (summer 2003-2004). Background CO2 concentrations showed an average growth rate of 2.10 ppmv yr(-1), with the highest CO2 increase between the summer campaigns 2002-2003 and 2001-2002 (+2.85 ppmv yr(-1)), probably reflecting the influence of the 2002/2003 ENSO event. A comparison with other Antarctic coastal sites suggested that the summer background CO2 and O-3 at MZS-IC are well representative of the average conditions of the Ross Sea coastal regions. As shown by the analysis of local wind direction and by 3-D back-trajectory calculations, the highest CO2 and O-3 values were recorded in correspondence to air masses flowing from the interior of the Antarctic continent. These results suggest that air mass transport from the interior of the continent exerts an important influence on air mass composition in Antarctic coastal areas.</t>
  </si>
  <si>
    <t>[Cristofanelli, P.; Calzolari, F.; Bonafe, U.; Lanconelli, C.; Lupi, A.; Busetto, M.; Vitale, V.; Bonasoni, P.] Inst Atmospher Sci &amp; Climate, Natl Res Council, I-40129 Bologna, Italy; [Colombo, T.] Italian AF, Ctr Nazl Climatol &amp; Meteorol, Pratica Di Mare, RM, Italy</t>
  </si>
  <si>
    <t>Consiglio Nazionale delle Ricerche (CNR); Istituto di Scienze dell'Atmosfera e del Clima (ISAC-CNR)</t>
  </si>
  <si>
    <t>Bonasoni, P (corresponding author), Inst Atmospher Sci &amp; Climate, Natl Res Council, I-40129 Bologna, Italy.</t>
  </si>
  <si>
    <t>p.bonasoni@isac.cnr.it</t>
  </si>
  <si>
    <t>busetto, maurizio/Q-4118-2018; vitale, vito/AAW-8441-2021; Lanconelli, Christian/Q-5848-2018; Cristofanelli, Paolo/AAA-5575-2021; Bonasoni, Paolo/C-6338-2015</t>
  </si>
  <si>
    <t>Lanconelli, Christian/0000-0002-9545-1255; Cristofanelli, Paolo/0000-0001-5666-9131; Calzolari, Francescopiero/0000-0003-4535-9626; vitale, vito/0000-0003-0978-8976; lupi, angelo/0000-0002-5009-9876; busetto, maurizio/0000-0003-1115-6564; Bonasoni, Paolo/0000-0002-8812-5291</t>
  </si>
  <si>
    <t>PNRA [PNRA 2004/2.2]; SHARE (Stations at High Altitude for Research on the Environment) [EV-K2-CNR]; U.S. NOAA Earth System Research Laboratory, Global Monitoring Division; New Zealand Antarctic program; NIWA Lauder, New Zealand</t>
  </si>
  <si>
    <t>PNRA; SHARE (Stations at High Altitude for Research on the Environment); U.S. NOAA Earth System Research Laboratory, Global Monitoring Division; New Zealand Antarctic program; NIWA Lauder, New Zealand</t>
  </si>
  <si>
    <t>This work was carried out within the project DO3MECO2 (number PNRA 2004/2.2) funded by the PNRA. The project SHARE (Stations at High Altitude for Research on the Environment) of EV-K2-CNR also contributed to supporting this publication. The authors gratefully acknowledge the Meteorological Service of Italian Air Force for making available the CO2 standards at Mt Cimone, and the NOAA Air Resources Laboratory (ARL) for the provision of the HYSPLIT transport and dispersion model and READY website (http://www.arl.noaa.gov/ready.html) used in the publication. The 'Zoraida' meteorological data were provided by the PNRA 'Osservatoriometeo-climatologico' through its website www.climantartide.it. Finally, the authors gratefully acknowledge all the researchers and Institutions who shared the data used in this publication: Rolph Weller (Alfred Wegner Institute) for providing ozone data from Neumayer station; the Office of Antarctic Observations - Japan Meteorological Agency for providing SYO ozone data; Thomas J. Conway (Global Monitoring Division, NOAA/ESRL) for providing carbon dioxide data at Syowa (Japan National Institute of Polar Research), Palmer (United States Antarctic Program) and Halley (British Antarctic Survey) stations (ftp://ftp.cmdl.noaa.gov/ccg/co2/flask/month/); Paul Steele, Ray Langenfelds and Paul Krummel (Commonwealth Scientific and Industrial Research Organisation) for providing carbon dioxide data from the Casey station (Australian Antarctic Division). Ozone measurements at Arrival Height were provided as part of a cooperative program of the U.S. NOAA Earth System Research Laboratory, Global Monitoring Division, the New Zealand Antarctic program and NIWA Lauder, New Zealand. Finally, the authors are grateful to the two anonymous referees for their valuable comments and revisions.</t>
  </si>
  <si>
    <t>10.1111/j.1600-0889.2011.00576.x</t>
  </si>
  <si>
    <t>835IT</t>
  </si>
  <si>
    <t>WOS:000296030800003</t>
  </si>
  <si>
    <t>Weller, R; Wagenbach, D; Legrand, M; Elsässer, C; Tian-Kunze, X; König-Langlo, G</t>
  </si>
  <si>
    <t>Weller, Rolf; Wagenbach, Dietmar; Legrand, Michel; Elsaesser, Christoph; Tian-Kunze, Xiangshan; Koenig-Langlo, Gert</t>
  </si>
  <si>
    <t>Continuous 25-yr aerosol records at coastal Antarctica - I: inter-annual variability of ionic compounds and links to climate indices</t>
  </si>
  <si>
    <t>DRONNING MAUD LAND; METHANE SULFONIC-ACID; SOUTHERN ANNULAR MODE; ICE-CORE EVIDENCE; SEA-SALT AEROSOL; POLAR ICE; STRATOSPHERIC NO2; NEUMAYER-STATION; CIRCUMPOLAR WAVE; DUMONT DURVILLE</t>
  </si>
  <si>
    <t>The aerosol climatology at the coastal Antarctic Neumayer Station (NM) was investigated based on continuous, 25-yr long observations of biogenic sulphur components (methanesulfonate and non-sea salt sulphate), sea salt and nitrate. Although significant long-term trends could only be detected for nitrate (-3.6 +/- 2.5% per year between 1983 and 1993 and +4.0 +/- 3.2% per year from 1993-2007), non-harmonic periodicities between 2 and 5 yr were typical for all species. Dedicated time series analyses revealed that relations to sea ice extent and various circulation indices are weak at best or not significant. In particular, no consistent link between sea ice extent and sea salt loadings was evident suggesting only a rather local relevance of the NM sea salt record. Nevertheless, a higher Southern Annular Mode index tended to entail a lower biogenic sulphur signal. In examining the spatial uniformity of the NM findings we contrasted them to respective 17 yr records from the coastal Dumont d'Urville Station. We found similar long-term trends for nitrate, indicating an Antarctic-wide but not identifiable atmospheric signal, although any significant impact of solar activity or pollution could be ruled out. No inter-site variability on the multiannual scale was evident for the other ionic compounds.</t>
  </si>
  <si>
    <t>[Weller, Rolf; Koenig-Langlo, Gert] Alfred Wegener Inst Polar &amp; Marine Res, D-27570 Bremerhaven, Germany; [Wagenbach, Dietmar; Elsaesser, Christoph] Heidelberg Univ, Inst Umweltphys, D-69120 Heidelberg, Germany; [Legrand, Michel] CNRS, Lab Glaciol &amp; Geophys Environm, St Martin Dheres, France; [Tian-Kunze, Xiangshan] Univ Hamburg, Inst Meereskunde, D-20146 Hamburg, Germany</t>
  </si>
  <si>
    <t>Helmholtz Association; Alfred Wegener Institute, Helmholtz Centre for Polar &amp; Marine Research; Ruprecht Karls University Heidelberg; Centre National de la Recherche Scientifique (CNRS); University of Hamburg</t>
  </si>
  <si>
    <t>Weller, R (corresponding author), Alfred Wegener Inst Polar &amp; Marine Res, Handelshafen 12, D-27570 Bremerhaven, Germany.</t>
  </si>
  <si>
    <t>Rolf.Weller@awi.de</t>
  </si>
  <si>
    <t>Legrand, Michel/AAU-4678-2020; Konig-Langlo, Gert/K-5048-2012</t>
  </si>
  <si>
    <t>Tian-Kunze, Xiangshan/0000-0001-8270-1924; Konig-Langlo, Gert/0000-0002-6100-4107</t>
  </si>
  <si>
    <t>German Science Foundation; European Community</t>
  </si>
  <si>
    <t>German Science Foundation(German Research Foundation (DFG)); European Community</t>
  </si>
  <si>
    <t>The authors thank the many technicians and scientists of the Neumayer overwintering crews, whose outstanding commitment enabled achieving continuous high-quality aerosol records over more than 25 yr. We thank three reviewers for their effort and comments and suggestions which considerably improved the paper. Finally, I. Levin helps to improve the paper through helpful discussions and careful proof readings. We also acknowledge partly funding the initial phase of the air chemical NM Observatory programme by the German Science Foundation as well as financial support obtained within the European Community STEP program within the project Polar Atmospheric Chemistry. This is AWI publication awi-n19320.</t>
  </si>
  <si>
    <t>10.1111/j.1600-0889.2011.00542.x</t>
  </si>
  <si>
    <t>WOS:000296030800008</t>
  </si>
  <si>
    <t>Elsässer, C; Wagenbach, D; Weller, R; Auer, M; Wallner, A; Christl, M</t>
  </si>
  <si>
    <t>Elsaesser, Christoph; Wagenbach, Dietmar; Weller, Rolf; Auer, Matthias; Wallner, Anton; Christl, Marcus</t>
  </si>
  <si>
    <t>Continuous 25-yr aerosol records at coastal Antarctica Part 2: variability of the radionuclides 7Be, 10Be and 210Pb</t>
  </si>
  <si>
    <t>STRATOSPHERE-TROPOSPHERE EXCHANGE; ACCELERATOR MASS-SPECTROMETRY; COSMOGENIC NUCLIDE PRODUCTION; SOLAR-ACTIVITY; SEASONAL VARIABILITY; SIZE DISTRIBUTION; NEUMAYER-STATION; ICE; TRANSPORT; CLIMATE</t>
  </si>
  <si>
    <t>We investigated the variability of Pb-210, Be-7 and Be-10 in coastal Antarctic aerosol samples based on continuous, monthly and annually resolved time series obtained from Neumayer Station over the period 1983 to 2008. Clear seasonal cycles peaking in the local summer half year stand out as a common feature of all three radionuclide records. Time series analyses suggest that significant multiannual changes are confined to a 4-6 yr periodicity resembling that of the Southern Annual Mode index in case of Pb-210 and to the expected decadal solar cycle in case of the cosmogenic Be-isotopes. Both, changes in the meridional transport and surface inversion strength appear to drive the seasonal Pb-210 cycle, which generally peaks in November. In contrast, stratospheric air mass intrusions are proved to be the main reason for the Be-isotopes seasonality. This finding is revealed by enhanced Be-10/Be-7 ratios occurring during late summer / early autumn broadly concurrently with the individual Be-isotopes and the Be-7/Pb-210 ratio. The Be-10 and Be-7 records clearly reflect the decadal, solar-modulated production signal but, for unknown reasons, they substantially differ in their detailed pattern. It is ruled out, that an excess Be-7 production by solar energetic particles was responsible for this mismatch.</t>
  </si>
  <si>
    <t>[Elsaesser, Christoph; Wagenbach, Dietmar; Auer, Matthias] Heidelberg Univ, Inst Umweltphys, D-69120 Heidelberg, Germany; [Weller, Rolf] Alfred Wegener Inst Polar &amp; Marine Res, D-27570 Bremerhaven, Germany; [Auer, Matthias; Wallner, Anton] Univ Vienna, A-1090 Vienna, Austria; [Christl, Marcus] Swiss Fed Inst Technol, Lab Ion Beam Phys, CH-8093 Zurich, Switzerland</t>
  </si>
  <si>
    <t>Ruprecht Karls University Heidelberg; Helmholtz Association; Alfred Wegener Institute, Helmholtz Centre for Polar &amp; Marine Research; University of Vienna; Swiss Federal Institutes of Technology Domain; ETH Zurich</t>
  </si>
  <si>
    <t>Elsässer, C (corresponding author), Heidelberg Univ, Inst Umweltphys, Neuenheimer Feld 229, D-69120 Heidelberg, Germany.</t>
  </si>
  <si>
    <t>Christoph.Elsaesser@iup.uni-heidelberg.de</t>
  </si>
  <si>
    <t>Wallner, Anton/G-1480-2011; Christl, Marcus/J-4769-2016</t>
  </si>
  <si>
    <t>Wallner, Anton/0000-0003-2804-3670; Christl, Marcus/0000-0002-3131-6652; Rolf, Weller/0000-0003-4880-5572</t>
  </si>
  <si>
    <t>German Science Foundation; EU; Alfred Wegener Institute for Polar and Marine Research; National Science Foundation [ANT-0739620]</t>
  </si>
  <si>
    <t>German Science Foundation(German Research Foundation (DFG)); EU(European Union (EU)); Alfred Wegener Institute for Polar and Marine Research; National Science Foundation(National Science Foundation (NSF))</t>
  </si>
  <si>
    <t>The authors would like to thank all the Neumayer overwintering crews: Without their careful field work, the 25 yr continuous aerosol sampling would not have been possible. Similarly, we thank many students within the IUP Glacier and Climate working group for their steady efforts in obtaining the various radionuclide results. Special thanks go to Gert Konig-Langlo for advice on deploying the meteorological Neumayer observations and for providing us the data almost ready for use. We appreciate constructive criticism and the many suggestions of the two anonymous reviewers, which greatly helped improving the paper. The work was partly funded by the German Science Foundation, the EU-STEP programme and through special grants by the Alfred Wegener Institute for Polar and Marine Research to the Institut fur Umweltphysik. The National Science Foundation under grant ANT-0739620 supported neutron monitors of the Bartol Research Institute.</t>
  </si>
  <si>
    <t>10.1111/j.1600-0889.2011.00543.x</t>
  </si>
  <si>
    <t>Green Published, hybrid</t>
  </si>
  <si>
    <t>WOS:000296030800009</t>
  </si>
  <si>
    <t>Cowan, DA; Chown, SL; Convey, P; Tuffin, M; Elughes, K; Pointing, S; Vincent, WF</t>
  </si>
  <si>
    <t>Cowan, Don A.; Chown, Steven L.; Convey, Peter; Tuffin, Marla; Elughes, Kevin; Pointing, Stephen; Vincent, Warwick F.</t>
  </si>
  <si>
    <t>Non-indigenous microorganisms in the Antarctic: assessing the risks</t>
  </si>
  <si>
    <t>TRENDS IN MICROBIOLOGY</t>
  </si>
  <si>
    <t>HORIZONTAL GENE-TRANSFER; TERRESTRIAL ECOSYSTEMS; BIOLOGICAL INVASIONS; MICROBIAL DIVERSITY; FECAL-COLIFORMS; HUMAN IMPACTS; DISPERSAL; SURVIVAL; BIODIVERSITY; COMMUNITIES</t>
  </si>
  <si>
    <t>The Antarctic continent is frequently cited as the last pristine continent on Earth. However, this view is misleading for several reasons. First, there has been a rapid increase in visitors to Antarctica, with large increases at research bases and their environs and to sites of major tourist interest (e.g. historical sites and concentrations of megafauna). Second, although substantial efforts are made to avoid physical disturbance and contamination by chemical, human and other wastes at these sites, little has been done to prevent the introduction of non-indigenous microorganisms. Here, we analyse the extent and significance of anthropogenic introduction of microbial 'contaminants' to the Antarctic continent. We conclude that such processes are unlikely to have any immediate gross impact on microbiological community structure or function, but that increased efforts are required to protect the unique ecosystems of Antarctica from microbial and genetic contamination and homogenisation.</t>
  </si>
  <si>
    <t>[Cowan, Don A.; Tuffin, Marla] Univ Western Cape, Inst Microbial Biotechnol &amp; Metagen, ZA-7535 Bellville, Cape Town, South Africa; [Chown, Steven L.] Univ Stellenbosch, Ctr Invas Biol, Dept Bot &amp; Zool, ZA-7602 Matieland, South Africa; [Convey, Peter; Elughes, Kevin] British Antarctic Survey, Cambridge CB3 0ET, England; [Pointing, Stephen] Univ Hong Kong, Sch Biol Sci, Hong Kong, Hong Kong, Peoples R China; [Vincent, Warwick F.] Univ Laval, Dept Biol, Quebec City, PQ G1 V 0A6, Canada; [Vincent, Warwick F.] Univ Laval, Ctr No Studies CEN, Quebec City, PQ G1 V 0A6, Canada</t>
  </si>
  <si>
    <t>University of the Western Cape; Stellenbosch University; UK Research &amp; Innovation (UKRI); Natural Environment Research Council (NERC); NERC British Antarctic Survey; University of Hong Kong; Laval University; Laval University</t>
  </si>
  <si>
    <t>Cowan, DA (corresponding author), Univ Western Cape, Inst Microbial Biotechnol &amp; Metagen, ZA-7535 Bellville, Cape Town, South Africa.</t>
  </si>
  <si>
    <t>Convey, Peter/AAV-5728-2020; Trindade, Marla/AAU-9730-2020; Cowan, Donald A/E-3991-2012; Chown, Steven/ABD-7646-2021; Vincent, Warwick/AAH-6152-2019; Chown, Steven/H-3347-2011</t>
  </si>
  <si>
    <t>Convey, Peter/0000-0001-8497-9903; Trindade, Marla/0000-0002-2478-0270; Cowan, Donald A/0000-0001-8059-861X; Vincent, Warwick/0000-0001-9055-1938; Chown, Steven/0000-0001-6069-5105</t>
  </si>
  <si>
    <t>CELL PRESS</t>
  </si>
  <si>
    <t>50 HAMPSHIRE ST, FLOOR 5, CAMBRIDGE, MA 02139 USA</t>
  </si>
  <si>
    <t>0966-842X</t>
  </si>
  <si>
    <t>1878-4380</t>
  </si>
  <si>
    <t>TRENDS MICROBIOL</t>
  </si>
  <si>
    <t>Trends Microbiol.</t>
  </si>
  <si>
    <t>10.1016/j.tim.2011.07.008</t>
  </si>
  <si>
    <t>847UI</t>
  </si>
  <si>
    <t>WOS:000296997600003</t>
  </si>
  <si>
    <t>Guerra, MBB; Schaefer, CEGR; Rosa, PD; Simas, FNB; Pereira, TTC; Pereira, ER</t>
  </si>
  <si>
    <t>Bueno Guerra, Marcelo Braga; Schaefer, Carlos Ernesto G. R.; Rosa, Paula de Freitas; Simas, Felipe N. B.; Pereira, Thiago T. C.; Pereira-Filho, Edenir Rodrigues</t>
  </si>
  <si>
    <t>Heavy Metals Contamination in Century-Old Manmade Technosols of Hope Bay, Antarctic Peninsula</t>
  </si>
  <si>
    <t>WATER AIR AND SOIL POLLUTION</t>
  </si>
  <si>
    <t>Antarctic; X-ray fluorescence; Principal component analysis; Enrichment factors; Bioavailability; Soil pollution</t>
  </si>
  <si>
    <t>ENVIRONMENTAL GEOCHEMISTRY; TRACE-ELEMENTS; SOILS; SPECTROMETRY; TOXICITY</t>
  </si>
  <si>
    <t>Technosols are anthropogenic soils that may be strongly impacted by heavy metal deposition, which have not yet been described in Antarctica. In this paper, we present a chemical study of what is supposedly the oldest manmade soil from Antarctic Peninsula, developed in the vicinity of Trinity House and Nordenskjold Hut at Hope Bay. Chemical and morphological soil attributes indicate that a former ornithogenic site (penguin rookery) was further subjected to human disturbance, following local exploration since 1903. We detected very high amounts of heavy metals such as Cd, Cu, Pb, and Zn. For the most impacted site, pseudototal concentrations of these elements reach 47, 2,082, 19,381, and 5,225 mg kg(-1), respectively. Enrichment factors were calculated using Zr as reference element, and high values were found for these contaminated sites, qualifying some of them as extremely polluted. Also, both the mobilizable and mobile fraction of Cd and Pb indicate the need of intervention in the affected area. These findings are all consistent with the human impacts and strong contamination. Strong positive correlation between the pseudototal concentrations of Cd, Cu, Mn, Ni, Pb, and Zn indicates a similar source of pollution. These soils may represent the oldest Technosols in Antarctic Continent.</t>
  </si>
  <si>
    <t>[Bueno Guerra, Marcelo Braga; Rosa, Paula de Freitas; Pereira-Filho, Edenir Rodrigues] Univ Fed Sao Carlos, UFSCar, Grp Appl Instrumental Anal, Dept Chem, BR-13565905 Sao Carlos, SP, Brazil; [Schaefer, Carlos Ernesto G. R.; Simas, Felipe N. B.; Pereira, Thiago T. C.] Univ Fed Vicosa, UFV, Dept Soil Sci, BR-36570000 Vicosa, MG, Brazil</t>
  </si>
  <si>
    <t>Universidade Federal de Sao Carlos; Universidade Federal de Vicosa</t>
  </si>
  <si>
    <t>Pereira, ER (corresponding author), Univ Fed Sao Carlos, UFSCar, Grp Appl Instrumental Anal, Dept Chem, Washington Luiz High Way,Km 235,POB 676, BR-13565905 Sao Carlos, SP, Brazil.</t>
  </si>
  <si>
    <t>erpf@ufscar.br</t>
  </si>
  <si>
    <t>Pereira-Filho, Edenir/F-5789-2010; Schaefer, Carlos Ernesto/AAY-4977-2020; Criosfera, Inct/J-8639-2013; Remiro, Paula de Freitas Rosa/G-1963-2018; Guerra, Marcelo B. B./D-3294-2015; Pereira Filho, Edenir/E-2283-2012</t>
  </si>
  <si>
    <t>Ernesto Goncalves Reynaud Schaefer, Carlos/0000-0001-5735-3227; Ernesto Goncalves Reynaud Schaefer, Carlos/0000-0001-7060-1598; Pereira Filho, Edenir/0000-0003-0608-0278</t>
  </si>
  <si>
    <t>Fundacao de Amparo a Pesquisa do Estado de Sao Paulo [07/04515-4, 09/09481-6, 08/08260-3]; Conselho Nacional de Desenvolvimento Cientifico e Tecnologico and Coordenacao de Aperfeicoamento de Pessoal de Nivel Superior; Fundacao de Amparo a Pesquisa do Estado de Sao Paulo (FAPESP) [09/09481-6, 08/08260-3] Funding Source: FAPESP</t>
  </si>
  <si>
    <t>Fundacao de Amparo a Pesquisa do Estado de Sao Paulo(Fundacao de Amparo a Pesquisa do Estado de Sao Paulo (FAPESP)); Conselho Nacional de Desenvolvimento Cientifico e Tecnologico and Coordenacao de Aperfeicoamento de Pessoal de Nivel Superior; Fundacao de Amparo a Pesquisa do Estado de Sao Paulo (FAPESP)(Fundacao de Amparo a Pesquisa do Estado de Sao Paulo (FAPESP))</t>
  </si>
  <si>
    <t>The authors are grateful to Fundacao de Amparo a Pesquisa do Estado de Sao Paulo (Processes 07/04515-4, 09/09481-6, and 08/08260-3), Conselho Nacional de Desenvolvimento Cientifico e Tecnologico and Coordenacao de Aperfeicoamento de Pessoal de Nivel Superior for financial support; to the Brazilian Navy for the logistic support, and to Dr. Carlos Perez for the analysis of SR-XRF at Laboratorio Nacional de Luz Sincrotron (Processes XRF 7045 and 7046). This work is a contribution of the TERRANTAR laboratory of the INCT Criosfera (CNPq - Brazil). The authors also thank the anonymous reviewers for the contributions.</t>
  </si>
  <si>
    <t>0049-6979</t>
  </si>
  <si>
    <t>WATER AIR SOIL POLL</t>
  </si>
  <si>
    <t>Water Air Soil Pollut.</t>
  </si>
  <si>
    <t>10.1007/s11270-011-0811-z</t>
  </si>
  <si>
    <t>Environmental Sciences; Meteorology &amp; Atmospheric Sciences; Water Resources</t>
  </si>
  <si>
    <t>Environmental Sciences &amp; Ecology; Meteorology &amp; Atmospheric Sciences; Water Resources</t>
  </si>
  <si>
    <t>842WQ</t>
  </si>
  <si>
    <t>WOS:000296632900008</t>
  </si>
  <si>
    <t>Li, J; Tian, XP; Zhu, TJ; Yang, LL; Li, WJ</t>
  </si>
  <si>
    <t>Li, Jing; Tian, Xin-Peng; Zhu, Tian-Jiao; Yang, Ling-Ling; Li, Wen-Jun</t>
  </si>
  <si>
    <t>Streptomyces fildesensis sp nov., a novel streptomycete isolated from Antarctic soil</t>
  </si>
  <si>
    <t>ANTONIE VAN LEEUWENHOEK INTERNATIONAL JOURNAL OF GENERAL AND MOLECULAR MICROBIOLOGY</t>
  </si>
  <si>
    <t>Streptomyces fildesensis sp nov.; 16S rRNA; Antarctic</t>
  </si>
  <si>
    <t>DNA HYBRIDIZATION; CLASSIFICATION</t>
  </si>
  <si>
    <t>A novel actinomycete strain, GW25-5(T), was isolated from a soil sample collected from the Fildes Peninsula, King George Island, West Antarctica. The strain was characterized by white to grey aerial mycelia, which were differentiated to straight to flexuous spore chains, with rod-shaped smooth spores. The cell wall of strain GW25-5(T) contained LL-diaminopimelic acid (A(2)pm) and traces of meso-A(2)pm. Whole-cell sugars were galactose and minor amounts of mannose and glucose. The predominant menaquinones were MK-9(H-6) (49%), MK-9(H-8) (24%) and MK-9(H-4) (12%). The phospholipids contained DPG, PE, PI, PIM and PL(s). The major cellular fatty acids were iso-C-16:0 and anteiso-C-15:0. Genomic DNA G+C content of strain GW25-5(T) was 70.0 mol%. BLAST result showed that strain GW25-5 has the 16S rRNA gene sequence highest similarity of 97.5% with members of genus Streptomyces and phylogenetic analysis indicated that this strain belongs to the genus Streptomyces. DNA-DNA relatedness values of strain GW25-5(T) with the closest species of Streptomyces purpureus LMG 19368(T) and Streptomyces beijiangensis YIM 6(T) were significantly lower than 70% of the threshold value for the delineation of genomic species. A polyphasic taxonomic investigation based on a judicious combination of genotypic and phenotypic characteristics revealed that the organism represents a novel species of the genus Streptomyces. Thus, we propose strain GW25-5(T) as the type strain of this novel species, Streptomyces fildesensis (=CGMCC 4.5735(T) = YIM 93602(T) = DSM 41987(T) = NRRL B 24828(T)).</t>
  </si>
  <si>
    <t>[Zhu, Tian-Jiao] Ocean Univ China, Sch Med &amp; Pharm, Minist Educ, Key Lab Marine Drugs, Qingdao 266003, Peoples R China; [Li, Jing] Ocean Univ China, Coll Marine Life Sci, Qingdao 266003, Peoples R China; [Tian, Xin-Peng; Li, Wen-Jun] Chinese Acad Sci, Key Lab Marine Bioresources Sustainable Utilizat, Guangzhou 510301, Guangdong, Peoples R China; [Tian, Xin-Peng; Li, Wen-Jun] Chinese Acad Sci, RNAM Ctr Marine Microbiol, Guangzhou 510301, Guangdong, Peoples R China; [Tian, Xin-Peng; Li, Wen-Jun] Chinese Acad Sci, Guangdong Key Lab Marine Mat Med, Guangzhou 510301, Guangdong, Peoples R China; [Tian, Xin-Peng; Li, Wen-Jun] Chinese Acad Sci, S China Sea Inst Oceanol, Guangzhou 510301, Guangdong, Peoples R China; [Yang, Ling-Ling; Li, Wen-Jun] Yunnan Univ, Yunnan Inst Microbiol, Minist Educ, Key Lab Microbial Resources, Kunming 650091, Peoples R China; [Yang, Ling-Ling; Li, Wen-Jun] Yunnan Univ, Yunnan Inst Microbiol, Lab Conservat &amp; Utilizat Bioresources, Kunming 650091, Peoples R China</t>
  </si>
  <si>
    <t>Ocean University of China; Ocean University of China; Chinese Academy of Sciences; Chinese Academy of Sciences; Chinese Academy of Sciences; Chinese Academy of Sciences; South China Sea Institute of Oceanology, CAS; Yunnan University; Yunnan University</t>
  </si>
  <si>
    <t>Zhu, TJ (corresponding author), Ocean Univ China, Sch Med &amp; Pharm, Minist Educ, Key Lab Marine Drugs, Qingdao 266003, Peoples R China.</t>
  </si>
  <si>
    <t>zhutj@ouc.edu.cn; wjli@ynu.edu.cn</t>
  </si>
  <si>
    <t>Tian, Xin peng/W-1599-2019; Li, Wen-Jun/ACA-8525-2022</t>
  </si>
  <si>
    <t>Li, Wen-Jun/0000-0002-1233-736X</t>
  </si>
  <si>
    <t>National Basic Research Program of China [2010CB8 33801]; National Natural Science Foundation of China [40906075, 40906076]; Shandong Provincial Science and Technology Development Program [2009GG1 0002082]; State Key Laboratory of Microbial Resources; Institute of Microbiology; Chinese Academy of Sciences [SKLMR-080601]; SOA Key Laboratory for Polar Science [KP2005013]; Chinese Arctic and Antarctic Administration of the State Oceanic Administration</t>
  </si>
  <si>
    <t>National Basic Research Program of China(National Basic Research Program of China); National Natural Science Foundation of China(National Natural Science Foundation of China (NSFC)); Shandong Provincial Science and Technology Development Program; State Key Laboratory of Microbial Resources; Institute of Microbiology; Chinese Academy of Sciences(Chinese Academy of Sciences); SOA Key Laboratory for Polar Science; Chinese Arctic and Antarctic Administration of the State Oceanic Administration</t>
  </si>
  <si>
    <t>This research was supported by the National Basic Research Program of China (No. 2010CB8 33801), The National Natural Science Foundation of China (40906075, 40906076), Shandong Provincial Science and Technology Development Program (project no. 2009GG1 0002082), State Key Laboratory of Microbial Resources, Institute of Microbiology, Chinese Academy of Sciences (SKLMR-080601) and the SOA Key Laboratory for Polar Science (KP2005013). The authors acknowledge the support of Chinese Arctic and Antarctic Administration of the State Oceanic Administration.</t>
  </si>
  <si>
    <t>0003-6072</t>
  </si>
  <si>
    <t>1572-9699</t>
  </si>
  <si>
    <t>ANTON LEEUW INT J G</t>
  </si>
  <si>
    <t>Antonie Van Leeuwenhoek</t>
  </si>
  <si>
    <t>10.1007/s10482-011-9609-7</t>
  </si>
  <si>
    <t>831NA</t>
  </si>
  <si>
    <t>WOS:000295736900006</t>
  </si>
  <si>
    <t>Passchier, S; Browne, G; Field, B; Fielding, CR; Krissek, LA; Panter, K; Pekar, SF; Harwood; Florindo, F; Levy, R; Acton, G; Atkins, C; Bassett, K; Berg, M; Bibby, T; Blair, S; Blank, L; Del Carlo, P; Dooley, J; Drew, S; Dunbar, G; Frank, T; Frisch-Gleason, R; Grelle, T; Handwerger, D; Hannah, M; Hoffmann, S; Hubbard, J; Huffman, L; Ishman, S; Johnson, K; Jovane, L; Konfirst, M; Kuhn, G; Lacy, L; Lehmann, R; Magens, D; Mankoff, K; Millan, C; Nielsen, S; Olney, M; Patterson, T; Paulsen, T; Persico, D; Petrushak, S; Pierdominici, S; Pound, K; Reed, J; Reichelt, L; Riesselman, C; Sandroni, S; Schmitt, D; di Clemente, GS; Speece, M; Strada, E; Szymcek, P; Talarico, F; Taviani, M; Tuzzi, E; Williams, R; Wonik, T</t>
  </si>
  <si>
    <t>Passchier, S.; Browne, G.; Field, B.; Fielding, C. R.; Krissek, L. A.; Panter, K.; Pekar, S. F.; Harwood, David; Florindo, Fabio; Levy, Richard (Rich); Acton, Gary; Atkins, Clifford (Cliff); Bassett, Kari; Berg, Megan; Bibby, Theodore (Ted); Blair, Stacie; Blank, Leslie; Del Carlo, Paola; Dooley, Julia; Drew, Scott; Dunbar, Gavin; Frank, Tracy; Frisch-Gleason, Robin; Grelle, Thomas; Handwerger, David (Dave); Hannah, Michael (Mike); Hoffmann, Stefan; Hubbard, Joanna; Huffman, Louise; Ishman, Scott; Johnson, Katherine (Katie); Jovane, Luigi; Konfirst, Matthew (Matt); Kuhn, Gerhard (Gerd); Lacy, Laura; Lehmann, Rainer; Magens, Diana; Mankoff, Kenneth (Ken); Millan, Cristina; Nielsen, Simon; Olney, Matthew (Matt); Patterson, Taylor; Paulsen, Timothy (Tim); Persico, Davide; Petrushak, Steven (Steve); Pierdominici, Simona; Pound, Katherine (Kate); Reed, Joshua (Josh); Lucia (Lucy); Riesselman, Christina; Sandroni, Sonia; Schmitt, Douglas (Doug); di Clemente, Graziano Scotto; Speece, Marvin (Marv); Strada, Eleonora; Szymcek, Phillip (Phill); Talarico, Franco; Taviani, Marco; Tuzzi, Eva; Williams, Robert (Bob); Wonik, Thomas</t>
  </si>
  <si>
    <t>ANDRILL-SMS Sci Team</t>
  </si>
  <si>
    <t>Early and middle Miocene Antarctic glacial history from the sedimentary facies distribution in the AND-2A drill hole, Ross Sea, Antarctica</t>
  </si>
  <si>
    <t>ATMOSPHERIC CARBON-DIOXIDE; ICE-SHEET; MCMURDO SOUND; GLACIMARINE SEDIMENTATION; EAST ANTARCTICA; SHELF; MAXIMUM; CLIMATE; LEVEL; BAY</t>
  </si>
  <si>
    <t>In 2007, the Antarctic Geological Drilling Program (ANDRILL) drilled 1138.54 m of strata similar to 10 km off the East Antarctic coast, including an expanded early to middle Miocene succession not previously recovered from the Antarctic continental shelf. Here, we present a facies model, distribution, and paleoclimatic interpretation for the AND-2A drill hole, which enable us, for the first time, to reconstruct periods of early and middle Miocene glacial advance and retreat and paleo environmental changes at an ice-proximal site. Three types of facies associations can be recognized that imply significantly different paleoclimatic interpretations. (1) A diamictite-dominated facies association represents glacially dominated depositional environments, including subglacial environments, with only brief intervals where ice-free coasts existed, and periods when the ice sheet was periodically larger than the modern ice sheet. (2) A stratified diamictite and mudstone facies association includes facies characteristic ofopen-marine to iceberg-influenced depositional environments and is more consistent with a very dynamic ice sheet, with a grounding line south of the modern position. (3) A mudstone-dominated facies association generally lacks diamictites and was produced in a glacially influenced hemipelagic depositional environment. Based on the distribution of these facies associations, we can conclude that the Antarctic ice sheets were dynamic, with grounding lines south of the modern location at ca. 20.1-19.6 Ma and ca. 19.3-18.7 Ma and during the Miocene climatic optimum, ca. 17.6-15.4 Ma, with ice-sheet and sea-ice minima at ca. 16.5-16.3 Ma and ca. 15.7-15.6 Ma. While glacial minima at ca. 20.1-19.6 Ma and ca. 19.3-18.7 Ma were characterized by temperate margins, an increased abundance of gravelly facies and diatomaceous siltstone and a lack of meltwater plume deposits suggest a cooler and drier climate with polythermal conditions for the Miocene climatic optimum (ca. 17.6-15.4 Ma). Several periods of major ice growth with a grounding line traversing the drill site are recognized between ca. 20.2 and 17.6 Ma, and after ca. 15.4 Ma, with evidence of cold polar glaciers with ice shelves. The AND-2A core provides proximal evidence that during the middle Miocene climate transition, an ice sheet larger than the modern ice sheet was already present by ca. 14.7 Ma, similar to 1 m.y. earlier than generally inferred from deep-sea oxygen isotope records. These findings highlight the importance of high-latitude ice-proximal records for the interpretation of far-field proxies across major climate transitions.</t>
  </si>
  <si>
    <t>[Passchier, S.] Montclair State Univ, Dept Earth &amp; Environm Studies, Montclair, NJ 07043 USA; [Passchier, S.] Montclair State Univ, Dept Earth &amp; Environm Studies, Montclair, NJ 07043 USA; [Browne, G.; Field, B.] GNS Sci, Lower Hutt 5040, New Zealand; [Fielding, C. R.] Univ Nebraska, Dept Earth &amp; Atmospher Sci, Lincoln, NE 68588 USA; [Krissek, L. A.; Drew, Scott; Millan, Cristina] Ohio State Univ, Sch Earth Sci, Columbus, OH 43210 USA; [Panter, K.] Bowling Green State Univ, Dept Geol, Bowling Green, OH 43403 USA; [Pekar, S. F.] CUNY Queens Coll, Sch Earth &amp; Environm Sci, Flushing, NY 11367 USA; [Harwood, David; Huffman, Louise; Lacy, Laura; Reed, Joshua (Josh)] Univ Nebraska, ANDRILL Sci Management Off, Lincoln, NE 68588 USA; [Florindo, Fabio] Ist Nazl Geofis, I-00143 Rome, Italy; [Acton, Gary] Univ Calif Davis, Dept Geol, Davis, CA 95616 USA; [Atkins, Clifford (Cliff)] Victoria Univ Wellington, Sch Geog Environm &amp; Earth Sci, Wellington 6005, New Zealand; [Bassett, Kari] Univ Canterbury, Dept Geol Sci, Christchurch, New Zealand; [Bibby, Theodore (Ted); Blair, Stacie; Petrushak, Steven (Steve)] Florida State Univ, Dept Geol Sci, Tallahassee, FL 32306 USA; [Blank, Leslie] Raytheon Polar Serv, Centennial, CO USA; [Del Carlo, Paola] Ist Nazl Geofis &amp; Vulcanol, Sezione Pisa, I-56126 Pisa, Italy; [Dunbar, Gavin] Victoria Univ Wellington, Antarctic Res Ctr, Wellington 6005, New Zealand; [Frank, Tracy; Tuzzi, Eva] Univ Nebraska Lincoln, Dept Geosci, Lincoln, NE 68588 USA; [Grelle, Thomas; Wonik, Thomas] LIAG, Hannover, Germany; [Hannah, Michael (Mike)] Victoria Univ Wellington, Sch Earth Sci, Wellington 4007, New Zealand; [Hoffmann, Stefan] Univ Gottingen, Dept Sedimentol &amp; Environm Geol, D-37077 Gottingen, Germany; [Ishman, Scott] SO Illinois Univ Carbondale, Dept Geol, Carbondale, IL 62901 USA; [Johnson, Katherine (Katie)] Geomarine Res, Auckland 1072, New Zealand; [Jovane, Luigi] Univ Calif Davis, Paleomagnet Lab, Dept Geol, Davis, CA 95616 USA; [Konfirst, Matthew (Matt)] No Illinois Univ, Dept Geol &amp; Environm Geosci, De Kalb, IL 60115 USA; [Magens, Diana] Alfred Wegener Inst, Dept Marine Geophys, D-27515 Bremerhaven, Germany; [Mankoff, Kenneth (Ken)] NASA GISS, New York, NY 10025 USA; [Nielsen, Simon] Japan Agcy Marine Earth Sci &amp; Technol, Ctr Deep Earth Explorat, Yokohama, Kanagawa 2360001, Japan; [Olney, Matthew (Matt)] Univ S Florida, Dept Geol, Tampa, FL 33620 USA; [Patterson, Taylor; Speece, Marvin (Marv)] Montana Tech Univ Montana, Dept Geophys Engn, Butte, MT 59701 USA; [Paulsen, Timothy (Tim)] Univ Wisconsin Oshkosh, Dept Geol, Oshkosh, WI 54901 USA; [Persico, Davide] Univ Parma, Dipartimento Sci Terra, I-43100 Parma, Italy; [Pierdominici, Simona] Ist Nazl Geofis &amp; Vulcanol, I-00143 Rome, Italy; [Pound, Katherine (Kate)] St Cloud State Univ, Dept Earth &amp; Atmospher Sci, St Cloud, MN 56301 USA; [Lucia (Lucy)] Alfred Wegener Inst, D-27568 Bremerhaven, Germany; [Riesselman, Christina] Stanford Univ, Geol &amp; Environm Sci, Stanford, CA 94305 USA; [Sandroni, Sonia] Sez Sci Terra Siena, Museo Nazl Antartide, I-53100 Siena, Italy; [Schmitt, Douglas (Doug)] Univ Alberta, Inst Geophys Res, Dept Phys, Edmonton, AB T6G 2G7, Canada; [di Clemente, Graziano Scotto] Secondary school Luigi Stefanini, I-31100 Treviso, Italy; [Strada, Eleonora; Talarico, Franco] Univ Siena, Dipartimento Sci Terra, I-53100 Siena, Italy; [Taviani, Marco] CNR, ISMAR Bologna, I-40129 Bologna, Italy</t>
  </si>
  <si>
    <t>Montclair State University; Montclair State University; GNS Science - New Zealand; University of Nebraska System; University of Nebraska Lincoln; University System of Ohio; Ohio State University; University System of Ohio; Bowling Green State University; City University of New York (CUNY) System; Queens College NY (CUNY); University of Nebraska System; University of Nebraska Lincoln; Istituto Nazionale Geofisica e Vulcanologia (INGV); University of California System; University of California Davis; Victoria University Wellington; University of Canterbury; State University System of Florida; Florida State University; Istituto Nazionale Geofisica e Vulcanologia (INGV); Victoria University Wellington; University of Nebraska System; University of Nebraska Lincoln; Leibniz Institut fur Angewandte Geophysik (LIAG); Victoria University Wellington; University of Gottingen; Southern Illinois University System; Southern Illinois University; University of California System; University of California Davis; Northern Illinois University; Helmholtz Association; Alfred Wegener Institute, Helmholtz Centre for Polar &amp; Marine Research; National Aeronautics &amp; Space Administration (NASA); NASA Goddard Space Flight Center; Goddard Institute for Space Studies; Japan Agency for Marine-Earth Science &amp; Technology (JAMSTEC); State University System of Florida; University of South Florida; University of Montana System; University of Montana; University of Wisconsin System; University of Wisconsin Oshkosh; University of Parma; Istituto Nazionale Geofisica e Vulcanologia (INGV); Minnesota State Colleges &amp; Universities; Saint Cloud State University; Helmholtz Association; Alfred Wegener Institute, Helmholtz Centre for Polar &amp; Marine Research; Stanford University; University of Alberta; University of Siena; Consiglio Nazionale delle Ricerche (CNR); Istituto di Scienze Marine (ISMAR-CNR)</t>
  </si>
  <si>
    <t>Passchier, S (corresponding author), Montclair State Univ, Dept Earth &amp; Environm Studies, Montclair, NJ 07043 USA.</t>
  </si>
  <si>
    <t>passchiers@mail.montclair.edu; G.Browne@gns.cri.nz; brad.field@gns.cri.nz; cfielding2@unl.edu; krissek@mps.ohio-state.edu; kpanter@bgsu.edu; stephen.pekar@qc.cuny.edu; dharwood1@unl.edu; florindo@ingv.it; gdacton@ucdavis.edu; cliff.atkins@vuw.ac.nz; kari.bassett@canterbury.ac.nz; meganberg@mac.com; tcb03c@fsu.edu; blair@quartz.gly.fsu.edu; delcarlo@pi.ingv.it; dooleyj@christina.k12.de.us; drew.37@osu.edu; gavin.dunbar@vuw.ac.nz; tfrank2@unl.edu; gleason@aaps.k12.mi.us; t.grelle@liag-hannover.de; dave@xmission.com; Michael.hannah@vuw.ac.nz; s.hoffmann@geo.uni-goettingen.de; hubbard_joanna@asdk12.org; lhuffman@andrill.org; sishman@siu.edu; k.johnson@geomarine.org.nz; jovane@geology.ucdavis.edu; mk@mattkonfirst.com; llacy2@unl.edu; rainer.lehmann@gmx.net; Diana.Magens@awi.de; mankoff@giss.nasa.gov; millan.2@osu.edu; simon.n@jamstec.go.jp; cyclingolney@yahoo.co.uk; paulsen@uwosh.edu; davide.persico@unipr.it; gneissguy2000@yahoo.com; pierdominici@ingv.it; kspound@stcloudstate.edu; jareed@andrill.org; lreichelt@gmx.de; criessel@stanford.edu; sandroni@unisi.it; doug@phys.ualberta.ca; grscott@tin.it; mspeece@mtech.edu; strada2@unisi.it; pszymcek@gmail.com; talarico@unisi.it; marco.taviani@bo.ismar.cnr.it; evatuzzi@libero.it; bbermk@xtra.co.nz; Thomas.wonik@liag-hannover.de</t>
  </si>
  <si>
    <t>Passchier, Sandra/B-1993-2008; Florindo, Fabio/F-4119-2010; Acton, Gary D/B-6108-2016; Passchier, Sandra/GYU-2381-2022; Sandroni, Sonia/C-7188-2008; Panter, Kurt S/B-4486-2010; Jovane, Luigi/E-7536-2012; Florindo, Fabio/M-1459-2019; Florindo, Fabio/AAU-2548-2021; Passchier, Sandra/AAQ-2243-2021; Jovane, Luigi/AAH-5438-2020; Taviani, Marco/AAF-2168-2020; Del Carlo, Paola/AAH-1725-2019; Field, Brad D/F-1062-2011; Pierdominici, Simona/F-9120-2011</t>
  </si>
  <si>
    <t>Passchier, Sandra/0000-0001-7204-7025; Florindo, Fabio/0000-0002-6058-9748; Sandroni, Sonia/0000-0002-7941-7145; Florindo, Fabio/0000-0002-6058-9748; Passchier, Sandra/0000-0001-7204-7025; Jovane, Luigi/0000-0003-4348-4714; Taviani, Marco/0000-0003-0414-4274; Pierdominici, Simona/0000-0002-5368-4536; Field, Bradley/0000-0001-5254-6636</t>
  </si>
  <si>
    <t>National Science Foundation [0342484]; U.S. Antarctic Program (USAP); Raytheon Polar Services Corporation (RPSC); Antarctica New Zealand; U.S. National Science Foundation; New Zealand Foundation for Research; Italian Antarctic Research Program; German Science Foundation; Alfred Wegener Institute</t>
  </si>
  <si>
    <t>National Science Foundation(National Science Foundation (NSF)); U.S. Antarctic Program (USAP); Raytheon Polar Services Corporation (RPSC); Antarctica New Zealand; U.S. National Science Foundation(National Science Foundation (NSF)); New Zealand Foundation for Research(New Zealand Foundation for Research, Science and Technology); Italian Antarctic Research Program; German Science Foundation(German Research Foundation (DFG)); Alfred Wegener Institute</t>
  </si>
  <si>
    <t>This material is based upon work supported by the National Science Foundation under Cooperative Agreement 0342484 through subawards administered by the Antarctic Geologic Drilling (ANDRILL) Science Management Office at the University of Nebraska-Lincoln as part of the ANDRILL U. S. Science Support Program. Any opinions, findings, and conclusions or recommendations expressed in this material are those of the authors and do not necessarily reflect the views of the National Science Foundation.r The ANDRILL Program is a multinational collaboration among the Antarctic programs of Germany, Italy, New Zealand, and the United States. Antarctica New Zealand is the project operator and developed the drilling system in collaboration with Alex Pyne at Victoria University of Wellington and Webster Drilling and Exploration. The U.S. Antarctic Program (USAP) and Raytheon Polar Services Corporation (RPSC) supported the science team at McMurdo Station and in the Crary Science and Engineering Laboratory, while Antarctica New Zealand supported the drilling team at Scott Base. Scientific studies for the ANDRILL Program are jointly supported by the U.S. National Science Foundation, New Zealand Foundation for Research, the Italian Antarctic Research Program, the German Science Foundation, and the Alfred Wegener Institute.</t>
  </si>
  <si>
    <t>10.1130/B30334.1</t>
  </si>
  <si>
    <t>WOS:000295402600015</t>
  </si>
  <si>
    <t>Veevers, JJ; Saeed, A</t>
  </si>
  <si>
    <t>Veevers, J. J.; Saeed, A.</t>
  </si>
  <si>
    <t>Age and composition of Antarctic bedrock reflected by detrital zircons, erratics, and recycled microfossils in the Prydz Bay-Wilkes Land-Ross Sea-Marie Byrd Land sector (70°-240°E)</t>
  </si>
  <si>
    <t>Detrital zircons; U-Pb ages; Hf-isotopes; Erratics; Recycled microfossils; Ice-covered Antarctica</t>
  </si>
  <si>
    <t>PRINCE-CHARLES MOUNTAINS; NORTHERN VICTORIA LAND; GAMBURTSEV SUBGLACIAL MOUNTAINS; U-PB GEOCHRONOLOGY; CENTRAL TRANSANTARCTIC MOUNTAINS; TERRE ADELIE CRATON; HOST-ROCK AFFINITY; T-DM AGES; EAST ANTARCTICA; WEST ANTARCTICA</t>
  </si>
  <si>
    <t>The age and composition of the 14x 10(6) km(2) of Antarctica's surface obscured by ice is unknown except for some dates on detrital minerals. In remedy, we bring together proxies of Antarctic bedrock in the form of (1) detrital zircons analysed for U-Pb age, T-DM(C), epsilon Hf, and rock type, including five new analyses of Neogene turbidites, (2) erratics that reflect age, composition, and metamorphism, and (3) recycled microfossils that reflect age, facies, and metamorphism. Each sample is located in its ice-drainage basin for backtracking to the potential provenance. Gaps in age between sample and upslope exposure are specifically attributable to the provenance. This work indicates that the central Antarctic provenance about a core of the Gamburtsev Subglacial Mountains (GSM) and Vostok Subglacial Highlands (VSH) contains a basement that includes igneous (mafic granitoids) and metamorphic rocks with peak U-Pb ages of 0.5-0.7, 0.9-1.3, 1.4-1.7, 1.9-2.1, 2.2-2.3,2.6-2.8, and 3.15-3.35 Ga, T-DM(C) 1.3-3.6 Ga, and epsilon Hf + 12 to 40. Other modelled cratons with similar ages are set in a matrix of foldbelts of 0.5-0.7 Ga age. The basement in the core is surmounted by Permian red beds, at the periphery by Permian and Triassic sedimentary rocks unaffected by igneous heating or load metamorphism, and west of the Transantarctic Mountains (TAM) in the Wilkes Basin arguably by Late Cretaceous through Pliocene marine sediments. Erratics of undated red sandstone along the coast of Wilkes Land and George V Land indicate a red-bed provenance in the interior. The Prince Charles Mountains (PCM) provide an exposed example of a crust of Precambrian igneous and metamorphic rocks and Permian and Triassic sedimentary rocks. (C) 2011 International Association for Gondwana Research. Published by Elsevier B.V. All rights reserved.</t>
  </si>
  <si>
    <t>[Veevers, J. J.; Saeed, A.] Macquarie Univ, Dept Earth &amp; Planetary Sci, GEMOC ARC Natl Key Ctr, Sydney, NSW 2109, Australia</t>
  </si>
  <si>
    <t>Veevers, JJ (corresponding author), Macquarie Univ, Dept Earth &amp; Planetary Sci, GEMOC ARC Natl Key Ctr, Sydney, NSW 2109, Australia.</t>
  </si>
  <si>
    <t>GAU, geochemist/H-1985-2016</t>
  </si>
  <si>
    <t>ARC [DP0344841]; Macquarie University; ARC LIEF; DEST; Australian Research Council [DP0344841] Funding Source: Australian Research Council</t>
  </si>
  <si>
    <t>ARC(Australian Research Council); Macquarie University; ARC LIEF(Australian Research Council); DEST(Australian GovernmentDepartment of Industry, Innovation and Science); Australian Research Council(Australian Research Council)</t>
  </si>
  <si>
    <t>We thank Alexander Golynsky, Phil O'Brien, and J.J. Peucat for help with references, Alexander Golynsky and Phil O'Brien for bedrock elevation data, Kath Grey, Robin Helby, and Roger Morgan for information on palynomorphs, Ian Goodwin for information on glaciological features in the Windmill Islands area, Peter Voice for digitized datasets, John Goodge for supplying a copy of Goodge and Fanning (2010) before publication, and Mark Fanning for Excel files of zircon ages in DSDP 269 and in sample CR-LP in the Shackleton Glacier area. Samples of DSDP cores were provided from the repositories of the IODP. We are particularly grateful to Steven Boger and German Leitchenkov for valuable reviews. This work is supported by ARC DP0344841 and grants from Macquarie University. The analytical data were obtained used instrumentation funded by ARC LIEF and DEST Systemic Infrastructure Grants, industry partners, and Macquarie University. This is contribution 668 from the Australian Research Council National Key Centre for the Geochemical Evolution and Metallogeny of Continents (http://www.gemoc.mq.edu.au).</t>
  </si>
  <si>
    <t>10.1016/j.gr.2011.03.007</t>
  </si>
  <si>
    <t>831TT</t>
  </si>
  <si>
    <t>WOS:000295754700004</t>
  </si>
  <si>
    <t>Corsolini, S; Borghesi, N; Ademollo, N; Focardi, S</t>
  </si>
  <si>
    <t>Corsolini, Simonetta; Borghesi, Nicoletta; Ademollo, Nicoletta; Focardi, Silvano</t>
  </si>
  <si>
    <t>Chlorinated biphenyls and pesticides in migrating and resident seabirds from East and West Antarctica</t>
  </si>
  <si>
    <t>ENVIRONMENT INTERNATIONAL</t>
  </si>
  <si>
    <t>PCBs; Chlorinated pesticides; Penguins; Petrels; Skuas; Antarctica</t>
  </si>
  <si>
    <t>CAPILLARY GAS-CHROMATOGRAPHY; SKUA CATHARACTA-MACCORMICKI; SOUTH POLAR; ROSS SEA; PCB; PENGUINS; FOOD; HEXACHLOROCYCLOHEXANE; BIOACCUMULATION; POLLUTANTS</t>
  </si>
  <si>
    <t>The unhatched eggs of the following seabirds were analyzed to quantify PCBs, hexachlorobenzene (HCB), alpha-, beta-, gamma-, delta-hexachlorocyclohexanes (HCHs), o,p' and p,p' isomers of DDT, DDD and DDE: resident Adelie (Pygoscelis adeliae, ADPE) and Emperor (Aptenodytes forsteri, EMPE) penguins, migrating snow petrel (Pagodroma nivea, SNPT) and South Polar skua (Catharacta maccormicki, SPSK) from the Ross Sea (East Antarctica); and migrating Brown skua (Catharacta antartica, BRSK) and resident ADPE from the Brainsfield Strait (West Antarctica). The general aims were to evaluate the contaminant accumulation in eggs of migrating and resident species in the two study areas, and to compare levels in penguins and skuas nesting in East and West Antarctica. PCB congener and HCH and DDT isomer profiles were also assessed. Comparisons were evaluated using seven PCB congeners (IUPAC nos. 28, 52, 101, 118 + 149, 138, 153, and 180), p,p'-DDE, Sigma DDTs, and Sigma HCHs. Higher contaminant concentrations were detected in migrating seabirds (South polar skua and brown skua)&gt;sub-Antarctic species (snow petrel)&gt;Antarctic species (penguins) from both the sampling sites, suggesting contamination events at lower latitudes for those birds migrating northward. HCHs showed the lowest concentrations in all species (from 0.03 +/- 0.03 ng/g wet wt in SPSK to 1.81 +/- 1.23 ng/g wet wt in ADPE from West Antarctica), and PCBs were the most abundant contaminants (from 4.34 +/- 2.15 ng/g wet wt. in EMPE to 53.41 +/- 19.61 ng/g wet wt. in brown skua). Among pesticides, it is relevant the detection of p,p'-DDT in Adelie penguin from West Antarctica and in both species of skua; the detection of this pesticide can confirm its actual use in certain malaria-endemic countries from where it is transferred through the long range transport to the polar regions. Contaminants did not show any significant temporal trend during a ten year time span, from 1994/95 to 2004/05, in organisms collected in East Antarctica and they did not indicate any latitudinal gradient along the Ross Sea coasts. (C) 2011 Elsevier Ltd. All rights reserved.</t>
  </si>
  <si>
    <t>[Corsolini, Simonetta; Borghesi, Nicoletta; Ademollo, Nicoletta; Focardi, Silvano] Univ Siena, Dipartimento Sci Ambientali G Sarfatti, I-53100 Siena, Italy; [Ademollo, Nicoletta] CNR, Ist Ric Acque, Area Ric Roma, I-00016 Monterotondo, RM, Italy</t>
  </si>
  <si>
    <t>University of Siena; Consiglio Nazionale delle Ricerche (CNR)</t>
  </si>
  <si>
    <t>Corsolini, S (corresponding author), Univ Siena, Dipartimento Sci Ambientali G Sarfatti, Via PA Mattioli 4, I-53100 Siena, Italy.</t>
  </si>
  <si>
    <t>corsolini@unisi.it</t>
  </si>
  <si>
    <t>Corsolini, Simonetta/B-9460-2012; ademollo, nicoletta/AAY-4811-2020</t>
  </si>
  <si>
    <t>Corsolini, Simonetta/0000-0002-9772-2362; Ademollo, nicoletta/0000-0002-1875-6530</t>
  </si>
  <si>
    <t>Italian National Antarctic Research Program (PNRA)</t>
  </si>
  <si>
    <t>Italian National Antarctic Research Program (PNRA)(Ministry of Education, Universities and Research (MIUR))</t>
  </si>
  <si>
    <t>Antarctic samples were collected in the framework of the Italian National Antarctic Research Program (PNRA) that funded all the analyses and works as well. We are very grateful to Silvia Olmastroni and Francesco Pezzo for collecting eggs in 2000/01 and 2004/05 summer seasons.</t>
  </si>
  <si>
    <t>0160-4120</t>
  </si>
  <si>
    <t>1873-6750</t>
  </si>
  <si>
    <t>ENVIRON INT</t>
  </si>
  <si>
    <t>Environ. Int.</t>
  </si>
  <si>
    <t>10.1016/j.envint.2011.05.017</t>
  </si>
  <si>
    <t>816EV</t>
  </si>
  <si>
    <t>WOS:000294582400004</t>
  </si>
  <si>
    <t>Avila, TR; Machado, AAD; Bianchini, A</t>
  </si>
  <si>
    <t>Avila, Tatiana Ramos; de Souza Machado, Anderson Abel; Bianchini, Adalto</t>
  </si>
  <si>
    <t>Chitobiase of planktonic crustaceans from South Atlantic coast (Southern Brazil): Characterization and influence of abiotic parameters on enzyme activity</t>
  </si>
  <si>
    <t>Acartia tonsa; Chitobiase; Crustaceans; Enzyme affinity; Zooplankton</t>
  </si>
  <si>
    <t>CRAB UCA-PUGILATOR; FIDDLER-CRAB; ANTARCTIC KRILL; N-ACETYLGLUCOSAMINIDASE; EUPHAUSIA-SUPERBA; ACARTIA-TONSA; SALINITY; HEPATOPANCREAS; TEMPERATURE; EPIDERMIS</t>
  </si>
  <si>
    <t>Chitobiase is one of the enzymes involved in chitin degradation in nature. It is produced and released by a variety of organisms from bacteria to fish. In crustaceans, it is associated with digestive function and acts on the epidermis during the molting process. In the present study, the influence of water pH, temperature and salinity on maximum chitobiase activity (MCA), as well as the enzyme affinity (Km) for a substrate, the methylumbelliferyl N-acetyl-beta-o-glucosaminide (MUFNAG) was evaluated in the copepod Acartia tonsa. Km values for chitobiases of other crustaceans from the Patos Lagoon estuary and Cassino Beach (Southern Brazil) were also determined. For A. tonsa, MCA was observed at pH 5-6 and 30-35 degrees C. The range of pH was quite similar to that reported for other aquatic organisms. However, the range of temperature was lower than that previously reported. For salinity, no previous studies have considered the influence of this parameter on MCA. For A. tonsa, MCA was observed in freshwater, showing a significant linear decrease with increasing salinity. Considering that maximum copepod survival and growth rates are observed between 15 and 25 ppt, these findings suggest that the observed enzyme activity in this range of salinity (68 to 47% of that measured in freshwater) is not a limiting factor for A. tonsa growth. However, the extremely decreased enzyme activity observed in salinity 30 ppt (33% of that measured in freshwater) suggests that chitobiase activity might be one of the limiting factor for copepod growth at 30 ppt salinity or higher. Km values (mu M) determined for organisms evaluated in the present study (copepod A. tonsa = 20.77; mysid Metamysidopsis elongata atlantica = 14.67; nauplii barnacle Balanus improvisus = 18.19; decapod zoea = 14.30; decapod megalopa = 24.77) were lower than those reported for other crustaceans from Northern Hemisphere. Also, they were much lower than those of organisms from different taxonomic groups like bacteria and fungi, but much higher than in protozoans and dinoflagelates. These findings suggest that chitobiase might be differentially evolved in each specific group of organism, and even within different ontogenetic stages of the same species, for a better adaptation to cope with its respective environmental needs. (C) 2011 Elsevier B.V. All rights reserved.</t>
  </si>
  <si>
    <t>[Bianchini, Adalto] Univ Fed Rio Grande, Inst Ciencias Biol, BR-96201900 Rio Grande, RS, Brazil; [Avila, Tatiana Ramos; de Souza Machado, Anderson Abel] Univ Fed Rio Grande, Programa Posgrad Oceanog Biol, BR-96201900 Rio Grande, RS, Brazil</t>
  </si>
  <si>
    <t>Universidade Federal do Rio Grande; Universidade Federal do Rio Grande</t>
  </si>
  <si>
    <t>Bianchini, A (corresponding author), Univ Fed Rio Grande, Inst Ciencias Biol, Av Italia Km 8,Campus Carreiros, BR-96201900 Rio Grande, RS, Brazil.</t>
  </si>
  <si>
    <t>adaltobianchini@furg.br</t>
  </si>
  <si>
    <t>Bianchini, Adalto/C-5384-2013</t>
  </si>
  <si>
    <t>Bianchini, Adalto/0000-0002-7627-7650</t>
  </si>
  <si>
    <t>Conselho Nacional de Desenvolvimento Cientifico e Tecnologico (CNPq) from Brazil; International Development Research Centre (IDRC) from Canada; International Canada Research Chair from IDRC</t>
  </si>
  <si>
    <t>Conselho Nacional de Desenvolvimento Cientifico e Tecnologico (CNPq) from Brazil(Conselho Nacional de Desenvolvimento Cientifico e Tecnologico (CNPQ)); International Development Research Centre (IDRC) from Canada(International Development Research Centre - IDRC); International Canada Research Chair from IDRC(International Development Research Centre - IDRC)</t>
  </si>
  <si>
    <t>This study was financially supported by the Conselho Nacional de Desenvolvimento Cientifico e Tecnologico (CNPq) from Brazil in the scope of the Instituto Nacional de Ciencia e Tecnologia de Toxicologia Aquatica (INCT-TA) and by the International Development Research Centre (IDRC) from Canada. T.R. Avila is a graduate fellow from the Brazilian CAPES. A. Bianchini is a research fellow from the Brazilian CNPq (Proc. #304430/2009-9) and is supported by the International Canada Research Chair Program from IDRC. [SS]</t>
  </si>
  <si>
    <t>OCT 31</t>
  </si>
  <si>
    <t>10.1016/j.jembe.2011.07.001</t>
  </si>
  <si>
    <t>831DC</t>
  </si>
  <si>
    <t>WOS:000295707900024</t>
  </si>
  <si>
    <t>Burns, G; Ortega-Martinez, O; Thorndyke, MC; Peck, LS; Dupont, S; Clark, MS</t>
  </si>
  <si>
    <t>Burns, Gavin; Ortega-Martinez, Olga; Thorndyke, Michael C.; Peck, Lloyd S.; Dupont, Samuel; Clark, Melody S.</t>
  </si>
  <si>
    <t>Dynamic gene expression profiles during arm regeneration in the brittle star Amphiura filiformis</t>
  </si>
  <si>
    <t>Blastema; Differentiation; Echinoderm; Gene expression; Proliferation; Regeneration</t>
  </si>
  <si>
    <t>GROWTH-FACTOR; FIN REGENERATION; CELL-ADHESION; PROTEIN; MICROARRAY; IDENTIFICATION; ECHINODERMATA; OPHIUROIDEA; FERRITIN; TRANSCRIPTION</t>
  </si>
  <si>
    <t>Echinoderms and in particular brittle stars display a remarkable ability to regenerate lost or damaged tissues. They offer an excellent model in which to study regeneration displaying extensive regenerative ability and close relationship to vertebrates providing the opportunity for comparative studies. Previous studies of gene expression during arm regeneration in brittle stars have focused on single genes commonly associated with the regenerative process. In this study we present the first microarray investigation of gene expression during arm regeneration in the brittle star Amphiura filiformis. We show the large-scale gene expression changes associated with the complex process of regeneration with over 50% of the clones measured showing a significant change at some point during the process when compared to non-regenerating arms. Particular attention is paid to genes associated with Hox gene expression regulation, neuronal development and the bone morphogenic protein BMP-1. Our data give an insight into the molecular control required during the various stages of regeneration from the stem cell rich blastema stage through to the highly differentiated regenerate. This work also forms an important basis for future gene expression investigations in this emerging model of limb regeneration. Crown Copyright (C) 2011 Published by Elsevier B.V. All rights reserved.</t>
  </si>
  <si>
    <t>[Burns, Gavin; Peck, Lloyd S.; Clark, Melody S.] British Antarctic Survey, Nat Environm Res Council, Cambridge CB3 0ET, England; [Ortega-Martinez, Olga; Thorndyke, Michael C.; Dupont, Samuel] Sven Loven Ctr Marine Sci, S-45034 Kristineberg, Fiskebackskil, Sweden</t>
  </si>
  <si>
    <t>Burns, G (corresponding author), British Antarctic Survey, Nat Environm Res Council, Madingley Rd, Cambridge CB3 0ET, England.</t>
  </si>
  <si>
    <t>gabu@bas.ac.uk</t>
  </si>
  <si>
    <t>Dupont, Sam T/F-5527-2013; Clark, Melody/D-7371-2014</t>
  </si>
  <si>
    <t>Clark, Melody/0000-0002-3442-3824; Ortega-Martinez, Olga/0000-0003-2734-6434</t>
  </si>
  <si>
    <t>EU Network of Excellence, Marine Genomics Europe; EMBO; Linnaeus Centre for Marine Evolutionary Biology at the University of Gothenburg; Swedish Research Council VR; Swedish Research Council Formas; Royal Swedish Academy of Sciences; Natural Environment Research Council [dml011000, bas0100025] Funding Source: researchfish; NERC [bas0100025, dml011000] Funding Source: UKRI</t>
  </si>
  <si>
    <t>EU Network of Excellence, Marine Genomics Europe; EMBO(European Molecular Biology Organization (EMBO)); Linnaeus Centre for Marine Evolutionary Biology at the University of Gothenburg; Swedish Research Council VR(Swedish Research Council); Swedish Research Council Formas(Swedish Research Council Formas); Royal Swedish Academy of Sciences; Natural Environment Research Council(UK Research &amp; Innovation (UKRI)Natural Environment Research Council (NERC)); NERC(UK Research &amp; Innovation (UKRI)Natural Environment Research Council (NERC))</t>
  </si>
  <si>
    <t>This paper was produced within the British Antarctic Survey Polar Sciences for Planet Earth core programme, Adaptations and Physiology Work Package. This work was partially funded by the EU Network of Excellence, Marine Genomics Europe. OOM was funded by an EMBO postdoctoral fellowship; SD by the Linnaeus Centre for Marine Evolutionary Biology at the University of Gothenburg (http://www.cemeb.science.gu.se), and supported by a Linnaeus-grant from the Swedish Research Councils VR and Formas. Also supported by funds to MT from Swedish Research Council VR and the Royal Swedish Academy of Sciences. [RH]</t>
  </si>
  <si>
    <t>10.1016/j.jembe.2011.06.032</t>
  </si>
  <si>
    <t>WOS:000295707900023</t>
  </si>
  <si>
    <t>Aguirre, LK; Hooker, Y; Willenz, P; Hajdu, E</t>
  </si>
  <si>
    <t>Karem Aguirre, L.; Hooker, Yuri; Willenz, Philippe; Hajdu, Eduardo</t>
  </si>
  <si>
    <t>A new Clathria (Demospongiae, Microcionidae) from Peru occurring on rocky substrates as well as epibiontic on Eucidaris thouarsii sea urchins</t>
  </si>
  <si>
    <t>Porifera; new species; epibiosis; Clathria (Microciona)</t>
  </si>
  <si>
    <t>POECILOSCLERIDA; PORIFERA; ECHINOIDS; RECORDS</t>
  </si>
  <si>
    <t>Southeastern Pacific sponges (Phylum Porifera) range among the world's least known faunas, with only 13 species reported to date from the entire Peruvian coast. This state of affairs motivated the onset of two large, cooperative, exploratory initiatives, with the aim of mapping sponge richness and distribution in the area: Proyectos ESPER and EsponjAS. Over 800 specimens have been collected in Peru since 2007, with identifications still in progress. Among these, a sponge species originally thought to be an exclusive epibiont on Eucidaris thouarsii sea urchins, relatively conspicuous on Peru's Punta Sal region. This sponge, latter found to occur on additional substrates too, is described as a new species of Clathria (Microciona). Cidarid density ranged between 1.5 and 12/m(2), and largest diameter of the tests between 3.2 and 5.6 cm. Total number of spines on each sea urchin varied between 68 and 96, and percent sponge coverage of these, between 18.2 and 75.7. There appears to be only a slight tendency for increased sponge coverage on larger sea urchins, so there may be factors, other than sea urchin age, shaping this association. Clathria (Microciona) aculeofila sp. nov. can be markedly dominant as an epibiont on E. thouarsii, albeit the great sponge richness in the area. This is in contrast to the allegedly opportunistic, diverse epibiosis by sponges reported previously for Antarctic cidaroids.</t>
  </si>
  <si>
    <t>[Hajdu, Eduardo] Univ Fed Rio de Janeiro, Dept Invertebrados, Museu Nacl, BR-20940040 Rio De Janeiro, Brazil; [Willenz, Philippe] Royal Belgian Inst Nat Sci RBINSC, Sect Malacol, Dept Invertebrates, B-1000 Brussels, Belgium; [Karem Aguirre, L.; Hooker, Yuri] Univ Peruana Cayetano Heredia, Fac Ciencias &amp; Filosofia, Lab Biol Marina, Lima, Peru</t>
  </si>
  <si>
    <t>Universidade Federal do Rio de Janeiro; Royal Belgian Institute of Natural Sciences; Universidad Peruana Cayetano Heredia</t>
  </si>
  <si>
    <t>Hajdu, E (corresponding author), Univ Fed Rio de Janeiro, Dept Invertebrados, Museu Nacl, Quinta Boa Vista S-N, BR-20940040 Rio De Janeiro, Brazil.</t>
  </si>
  <si>
    <t>karemaguirre@gmail.com; hookery@yahoo.com; philippe.willenz@naturalsciences.be; eduardo.hajdu@gmail.com</t>
  </si>
  <si>
    <t>Hajdu, Eduardo/C-3863-2009</t>
  </si>
  <si>
    <t>Hajdu, Eduardo/0000-0002-8760-9403</t>
  </si>
  <si>
    <t>Global Taxonomy Initiative from the Belgian Development Cooperation; Conselho Nacional de Desenvolvimento Cientifico e Tecnologico (CNPq/PROSUL); Consejo Nacional de Ciencia, Tecnologia e Innovacion Tecnologica (CONCYTEC)</t>
  </si>
  <si>
    <t>Global Taxonomy Initiative from the Belgian Development Cooperation; Conselho Nacional de Desenvolvimento Cientifico e Tecnologico (CNPq/PROSUL)(Conselho Nacional de Desenvolvimento Cientifico e Tecnologico (CNPQ)); Consejo Nacional de Ciencia, Tecnologia e Innovacion Tecnologica (CONCYTEC)</t>
  </si>
  <si>
    <t>The ESPER Project was funded by the Global Taxonomy Initiative from the Belgian Development Cooperation; the Proyecto EsponjAS was funded by Conselho Nacional de Desenvolvimento Cientifico e Tecnologico (CNPq/PROSUL). K. Aguirre received a grant from Consejo Nacional de Ciencia, Tecnologia e Innovacion Tecnologica (CONCYTEC). The Servicio Nacional de Areas Naturales Protegidas (SERNANP), Agrorural (ex Proabonos) and the Direccion de Hidrografia y Navegacion del Peru are acknowledged for permitting access to Isla Lobos de Afuera and for logistical support.</t>
  </si>
  <si>
    <t>846DH</t>
  </si>
  <si>
    <t>WOS:000296876900003</t>
  </si>
  <si>
    <t>Polito, MJ; Trivelpiece, WZ; Karnovsky, NJ; Ng, E; Patterson, WP; Emslie, SD</t>
  </si>
  <si>
    <t>Polito, Michael J.; Trivelpiece, Wayne Z.; Karnovsky, Nina J.; Ng, Elizabeth; Patterson, William P.; Emslie, Steven D.</t>
  </si>
  <si>
    <t>Integrating Stomach Content and Stable Isotope Analyses to Quantify the Diets of Pygoscelid Penguins</t>
  </si>
  <si>
    <t>CHINSTRAP PENGUINS; ADELIE PENGUINS; TEMPORAL VARIATION; SEASONAL-CHANGES; FORAGING-NICHE; SEABIRDS; POPULATION; DIGESTION; ECOLOGY; ISLAND</t>
  </si>
  <si>
    <t>Stomach content analysis (SCA) and more recently stable isotope analysis (SIA) integrated with isotopic mixing models have become common methods for dietary studies and provide insight into the foraging ecology of seabirds. However, both methods have drawbacks and biases that may result in difficulties in quantifying inter-annual and species-specific differences in diets. We used these two methods to simultaneously quantify the chick-rearing diet of Chinstrap (Pygoscelis antarctica) and Gentoo (P. papua) penguins and highlight methods of integrating SCA data to increase accuracy of diet composition estimates using SIA. SCA biomass estimates were highly variable and underestimated the importance of soft-bodied prey such as fish. Two-source, isotopic mixing model predictions were less variable and identified inter-annual and species-specific differences in the relative amounts of fish and krill in penguin diets not readily apparent using SCA. In contrast, multi-source isotopic mixing models had difficulty estimating the dietary contribution of fish species occupying similar trophic levels without refinement using SCA-derived otolith data. Overall, our ability to track inter-annual and species-specific differences in penguin diets using SIA was enhanced by integrating SCA data to isotopic mixing modes in three ways: 1) selecting appropriate prey sources, 2) weighting combinations of isotopically similar prey in two-source mixing models and 3) refining predicted contributions of isotopically similar prey in multi-source models.</t>
  </si>
  <si>
    <t>[Polito, Michael J.; Emslie, Steven D.] Univ N Carolina, Dept Biol &amp; Marine Biol, Wilmington, NC 28401 USA; [Trivelpiece, Wayne Z.] Natl Marine Fisheries Serv, Antarctic Ecosyst Res Div, SW Fisheries Sci Ctr, La Jolla, CA 92038 USA; [Karnovsky, Nina J.; Ng, Elizabeth] Pomona Coll, Dept Biol, Claremont, CA 91711 USA; [Patterson, William P.] Univ Saskatchewan, Dept Geol Sci, Isotope Lab, Saskatoon, SK S7N 0W0, Canada</t>
  </si>
  <si>
    <t>University of North Carolina; University of North Carolina Wilmington; National Oceanic Atmospheric Admin (NOAA) - USA; Claremont Colleges; Pomona College; University of Saskatchewan</t>
  </si>
  <si>
    <t>Polito, MJ (corresponding author), Univ N Carolina, Dept Biol &amp; Marine Biol, Wilmington, NC 28401 USA.</t>
  </si>
  <si>
    <t>mjp7454@uncw.edu</t>
  </si>
  <si>
    <t>Patterson, William P/J-6473-2012; , Bill/GSD-6628-2022; Polito, Michael/G-9118-2012</t>
  </si>
  <si>
    <t>Polito, Michael/0000-0001-8639-4431; Patterson, William/0000-0003-3387-708X; Chiaradia, Andre/0000-0002-6178-4211</t>
  </si>
  <si>
    <t>U.S. AMLR; U.S. National Science Foundation Office of Polar Programs; Office of Polar Programs (OPP); Directorate For Geosciences [0739575] Funding Source: National Science Foundation</t>
  </si>
  <si>
    <t>U.S. AMLR; U.S. National Science Foundation Office of Polar Programs(National Science Foundation (NSF)); Office of Polar Programs (OPP); Directorate For Geosciences(National Science Foundation (NSF)NSF - Directorate for Geosciences (GEO))</t>
  </si>
  <si>
    <t>This research was funded by U.S. AMLR Program (http://swfsc.noaa.gov) and U.S. National Science Foundation Office of Polar Programs (www.nsf.gov) grants to S. Emslie and W. Trivelpiece. The funders had no role in study design, data collection and analysis, decision to publish, or preparation of the manuscript.</t>
  </si>
  <si>
    <t>OCT 28</t>
  </si>
  <si>
    <t>e26642</t>
  </si>
  <si>
    <t>10.1371/journal.pone.0026642</t>
  </si>
  <si>
    <t>876BL</t>
  </si>
  <si>
    <t>WOS:000299081800025</t>
  </si>
  <si>
    <t>Manney, GL; Santee, ML; Rex, M; Livesey, NJ; Pitts, MC; Veefkind, P; Nash, ER; Wohltmann, I; Lehmann, R; Froidevaux, L; Poole, LR; Schoeberl, MR; Haffner, DP; Davies, J; Dorokhov, V; Gernandt, H; Johnson, B; Kivi, R; Kyrö, E; Larsen, N; Levelt, PF; Makshtas, A; McElroy, CT; Nakajima, H; Parrondo, MC; Tarasick, DW; von der Gathen, P; Walker, KA; Zinoviev, NS</t>
  </si>
  <si>
    <t>Manney, Gloria L.; Santee, Michelle L.; Rex, Markus; Livesey, Nathaniel J.; Pitts, Michael C.; Veefkind, Pepijn; Nash, Eric R.; Wohltmann, Ingo; Lehmann, Ralph; Froidevaux, Lucien; Poole, Lamont R.; Schoeberl, Mark R.; Haffner, David P.; Davies, Jonathan; Dorokhov, Valery; Gernandt, Hartwig; Johnson, Bryan; Kivi, Rigel; Kyro, Esko; Larsen, Niels; Levelt, Pieternel F.; Makshtas, Alexander; McElroy, C. Thomas; Nakajima, Hideaki; Concepcion Parrondo, Maria; Tarasick, David W.; von der Gathen, Peter; Walker, Kaley A.; Zinoviev, Nikita S.</t>
  </si>
  <si>
    <t>Unprecedented Arctic ozone loss in 2011</t>
  </si>
  <si>
    <t>STRATOSPHERIC POLAR VORTEX; MICROWAVE LIMB SOUNDER; CHEMICAL DEPLETION; CLOUD OBSERVATIONS; TRANSPORT; MLS; CLIMATOLOGY; ANTARCTICA; CHEMISTRY; DYNAMICS</t>
  </si>
  <si>
    <t>Chemical ozone destruction occurs over both polar regions in local winter-spring. In the Antarctic, essentially complete removal of lower-stratospheric ozone currently results in an ozone hole every year, whereas in the Arctic, ozone loss is highly variable and has until now been much more limited. Here we demonstrate that chemical ozone destruction over the Arctic in early 2011 was-for the first time in the observational record-comparable to that in the Antarctic ozone hole. Unusually long-lasting cold conditions in the Arctic lower stratosphere led to persistent enhancement in ozone-destroying forms of chlorine and to unprecedented ozone loss, which exceeded 80 per cent over 18-20 kilometres altitude. Our results show that Arctic ozone holes are possible even with temperatures much milder than those in the Antarctic. We cannot at present predict when such severe Arctic ozone depletion may be matched or exceeded.</t>
  </si>
  <si>
    <t>[Manney, Gloria L.; Santee, Michelle L.; Livesey, Nathaniel J.; Froidevaux, Lucien] CALTECH, Jet Prop Lab, Pasadena, CA 91109 USA; [Manney, Gloria L.] New Mexico Inst Min &amp; Technol, Socorro, NM 87801 USA; [Rex, Markus; Wohltmann, Ingo; Lehmann, Ralph; Gernandt, Hartwig; von der Gathen, Peter] Alfred Wegener Inst Polar &amp; Marine Res, D-14473 Potsdam, Germany; [Pitts, Michael C.] NASA, Langley Res Ctr, Hampton, VA 23681 USA; [Veefkind, Pepijn; Levelt, Pieternel F.] Royal Netherlands Meteorol Inst, NL-3730 AE De Bilt, Netherlands; [Veefkind, Pepijn; Levelt, Pieternel F.] Delft Univ Technol, NL-2600 GA Delft, Netherlands; [Nash, Eric R.; Haffner, David P.] Sci Syst &amp; Applicat Inc, Lanham, MD 20706 USA; [Poole, Lamont R.] Sci Syst &amp; Applicat Inc, Hampton, VA 23666 USA; [Schoeberl, Mark R.] Sci &amp; Technol Corp, Lanham, MD 20706 USA; [Davies, Jonathan; McElroy, C. Thomas; Tarasick, David W.] Environm Canada, Toronto, ON M3H 5T4, Canada; [Dorokhov, Valery] Cent Aerol Observ, Dolgoprudnyi 141700, Russia; [Johnson, Bryan] NOAA, Earth Syst Res Lab, Boulder, CO 80305 USA; [Kivi, Rigel; Kyro, Esko] Finnish Meteorol Inst, Arctic Res Ctr, Sodankyla 99600, Finland; [Larsen, Niels] Danish Meteorol Inst, Danish Climate Ctr, DK-2100 Copenhagen, Denmark; [Levelt, Pieternel F.] Eindhoven Univ Technol, NL-5600 MB Eindhoven, Netherlands; [Makshtas, Alexander; Zinoviev, Nikita S.] Arctic &amp; Antarctic Res Inst, St Petersburg 199397, Russia; [Nakajima, Hideaki] Natl Inst Environm Studies, Tsukuba, Ibaraki 3058506, Japan; [Concepcion Parrondo, Maria] Natl Inst Aerosp Technol, Torrejon De Ardoz 28850, Spain; [Walker, Kaley A.] Univ Toronto, Toronto, ON M5S 1A7, Canada</t>
  </si>
  <si>
    <t>California Institute of Technology; National Aeronautics &amp; Space Administration (NASA); NASA Jet Propulsion Laboratory (JPL); New Mexico Institute of Mining Technology; Helmholtz Association; Alfred Wegener Institute, Helmholtz Centre for Polar &amp; Marine Research; National Aeronautics &amp; Space Administration (NASA); NASA Langley Research Center; Royal Netherlands Meteorological Institute; Delft University of Technology; Science Systems and Applications Inc; Science Systems and Applications Inc; Environment &amp; Climate Change Canada; National Oceanic Atmospheric Admin (NOAA) - USA; Finnish Meteorological Institute; Danish Meteorological Institute DMI; Eindhoven University of Technology; Arctic &amp; Antarctic Research Institute; National Institute for Environmental Studies - Japan; University of Toronto</t>
  </si>
  <si>
    <t>Manney, GL (corresponding author), CALTECH, Jet Prop Lab, 4800 Oak Grove Dr, Pasadena, CA 91109 USA.</t>
  </si>
  <si>
    <t>Gloria.L.Manney@jpl.nasa.gov; Michelle.L.Santee@jpl.nasa.gov</t>
  </si>
  <si>
    <t>Nakajima, Hideaki/M-8845-2019; Larsen, Niels/G-3145-2014; Haffner, David/V-5341-2019; Wohltmann, Ingo/C-1301-2010; Santee, MIchelle/R-5762-2019; Livesey, Nathaniel/AGQ-7257-2022; Rex, Markus/A-6054-2009; Manney, Gloria/JED-7207-2023; Tarasick, David Walter/IYS-7006-2023; von der Gathen, Peter/B-8515-2009; Levelt, Pieternel/AAE-3835-2022</t>
  </si>
  <si>
    <t>Nakajima, Hideaki/0000-0002-2742-1230; Larsen, Niels/0000-0002-1582-661X; Wohltmann, Ingo/0000-0003-4606-6788; Rex, Markus/0000-0001-7847-8221; Tarasick, David Walter/0000-0001-9869-0692; von der Gathen, Peter/0000-0001-7409-1556;</t>
  </si>
  <si>
    <t>OMI; CALIPSO; Match science teams; Aura project; Environment Canada; Canadian Space Agency; Academy of Finland; EC DG Research; NASA; Grants-in-Aid for Scientific Research [20244077] Funding Source: KAKEN</t>
  </si>
  <si>
    <t>OMI; CALIPSO; Match science teams; Aura project; Environment Canada(CGIAR); Canadian Space Agency(Canadian Space Agency); Academy of Finland(Research Council of Finland); EC DG Research; NASA(National Aeronautics &amp; Space Administration (NASA)); Grants-in-Aid for Scientific Research(Ministry of Education, Culture, Sports, Science and Technology, Japan (MEXT)Japan Society for the Promotion of ScienceGrants-in-Aid for Scientific Research (KAKENHI))</t>
  </si>
  <si>
    <t>We thank the MLS (especially A. Lambert, D. Miller, W. Read, M. Schwartz, P. Stek, J. Waters), OMI (especially P. K. Bhartia, G. Jaross, G. Labow), CALIPSO and Match science teams, as well as A. Douglass, J. Joiner and the Aura project, for their support. We also thank W. Daffer and R. Fuller for programming assistance at JPL; the many observers whose work went into obtaining the ozone-sonde measurements; the ozone scientists who participated in the discussion of the 2011 Arctic ozone loss and appropriate definition of an Arctic ozone hole (including, but not limited to, N. Harris, G. Bodeker, G. Braathen, M. Kurylo, R. Salawitch); and especially P. Newman and K. Minschwaner for discussions and comments. Meteorological analyses were provided by NASA's Global Modeling and Assimilation Office (GMAO) and by the European Centre for Medium-Range Weather Forecasts. We thank S. Pawson of GMAO for advice on usage of the MERRA reanalysis. Ozone-sonde measurements at Alert, Eureka, Resolute Bay, Churchill and Goose Bay were funded by Environment Canada. Additional ozone sondes were flown at Eureka as part of the Canadian Arctic Atmospheric Chemistry Experiment (ACE) Validation Campaign and were funded by the Canadian Space Agency. Academy of Finland provided partial funding for performing and processing ozone-sonde measurements in Jokioinen and Sodankyla. Ozone soundings and work at AWI were partially funded by the EC DG Research through the RECONCILE project. Work at the Jet Propulsion Laboratory, California Institute of Technology, and at Science Systems and Applications Inc., was done under contract with NASA.</t>
  </si>
  <si>
    <t>OCT 27</t>
  </si>
  <si>
    <t>U65</t>
  </si>
  <si>
    <t>10.1038/nature10556</t>
  </si>
  <si>
    <t>837JI</t>
  </si>
  <si>
    <t>WOS:000296194200034</t>
  </si>
  <si>
    <t>Tinto, KJ; Bell, RE</t>
  </si>
  <si>
    <t>Tinto, K. J.; Bell, R. E.</t>
  </si>
  <si>
    <t>Progressive unpinning of Thwaites Glacier from newly identified offshore ridge: Constraints from aerogravity</t>
  </si>
  <si>
    <t>ANTARCTIC ICE-SHEET; PINE ISLAND; WEST ANTARCTICA; MASS-BALANCE; GREENLAND; SHELVES; RETREAT</t>
  </si>
  <si>
    <t>A new bathymetric model from the Thwaites Glacier region based on IceBridge airborne gravity data defines morphologic features that exert key controls on the evolution of the ice flow. A prominent ridge with two distinct peaks has been identified 40 km in front of the present-day grounding line, undulating between 300-700 m below sea level with an average relief of 700 m. Presently, the Thwaites ice shelf is pinned on the eastern peak. More extensive pinning in the past would have restricted flow of floating ice across the full width of the Thwaites Glacier system. At present thinning rates, ice would have lost contact with the western part of the ridge between 55-150 years ago, allowing unconfined flow of floating ice and contributing to the present-day mass imbalance of Thwaites Glacier. The bathymetric model also reveals a 1200 m deep trough beneath a bight in the grounding line where the glacier is moving the fastest. This newly defined trough marks the lowest topographic pathway to the Byrd Subglacial Basin, and the most likely path for future grounding line retreat. Citation: Tinto, K. J., and R. E. Bell ( 2011), Progressive unpinning of Thwaites Glacier from newly identified offshore ridge: Constraints from aerogravity, Geophys. Res. Lett., 38, L20503, doi:10.1029/2011GL049026.</t>
  </si>
  <si>
    <t>[Tinto, K. J.; Bell, R. E.] Columbia Univ, Lamont Doherty Earth Observ, Earth Inst, Palisades, NY 10964 USA</t>
  </si>
  <si>
    <t>Columbia University</t>
  </si>
  <si>
    <t>Tinto, KJ (corresponding author), Columbia Univ, Lamont Doherty Earth Observ, Earth Inst, 61 Rte 9W, Palisades, NY 10964 USA.</t>
  </si>
  <si>
    <t>tinto@ldeo.columbia.edu</t>
  </si>
  <si>
    <t>OCT 26</t>
  </si>
  <si>
    <t>L20503</t>
  </si>
  <si>
    <t>10.1029/2011GL049026</t>
  </si>
  <si>
    <t>839CT</t>
  </si>
  <si>
    <t>WOS:000296343000001</t>
  </si>
  <si>
    <t>Singh, AK; Jayashree, B; Sinha, AK; Rawat, R; Pathan, BM; Dhar, A</t>
  </si>
  <si>
    <t>Singh, Anand K.; Jayashree, B.; Sinha, A. K.; Rawat, Rahul; Pathan, B. M.; Dhar, Ajay</t>
  </si>
  <si>
    <t>Observations of near-conjugate high-latitude substorms and their low-latitude implications</t>
  </si>
  <si>
    <t>CURRENT SCIENCE</t>
  </si>
  <si>
    <t>Auroral electrojet; geomagnetic substorms; magnetic field disturbances; Pi2 pulsations</t>
  </si>
  <si>
    <t>MAGNETOSPHERIC SUBSTORMS; AURORAL ELECTROJETS; GEOMAGNETIC-FIELD; AE; INDEX; PHASE</t>
  </si>
  <si>
    <t>Geomagnetic substorms are triggered on the nightside of the earth's magnetosphere and the most dramatic effect is observed at the auroral latitudes (60 degrees-70 degrees magnetic). Magnetic field disturbances observed at a set of longitudinally distributed auroral stations are used to derive auroral electrojet (AE) indices being widely used to monitor substorm activities. We present observations of magnetic substorms having more prominent effect poleward of the standard auroral oval. Magnetic data from the third Indian Antarctic station, Bharati (BHA; corrected geomagnetic (CGM) coordinates: 74.7 degrees S, 96.6 degrees E) in conjunction with IMAGE chain data (near conjugate station Hornsund (HOR; CGM coordinates: 74.3 degrees N, 108.5 degrees E) have been subjected to detailed examination to study such substorms. The substorms presented in this study were mainly localized to high latitudes and hence the standard AE indices failed to monitor such substorm activities. Nevertheless, typical low-latitude features of substorm, for example, positive bay and Pi2 burst on the nightside were distinctly evident.</t>
  </si>
  <si>
    <t>[Singh, Anand K.; Jayashree, B.; Sinha, A. K.; Rawat, Rahul; Pathan, B. M.; Dhar, Ajay] Indian Inst Geomagnetism, New Panvel W 410218, Navi Mumbai, India</t>
  </si>
  <si>
    <t>Department of Science &amp; Technology (India); Indian Institute of Geomagnetism (IIG)</t>
  </si>
  <si>
    <t>Singh, AK (corresponding author), Indian Inst Geomagnetism, New Panvel W 410218, Navi Mumbai, India.</t>
  </si>
  <si>
    <t>singhaaks@gmail.com</t>
  </si>
  <si>
    <t>Singh, Anand K./K-7986-2012</t>
  </si>
  <si>
    <t>Bulusu, Jayashree/0000-0001-8631-4024; Sinha, Ashwini Kumar/0000-0003-1329-6579; Rawat, Rahul/0000-0002-7275-8895</t>
  </si>
  <si>
    <t>INDIAN ACAD SCIENCES</t>
  </si>
  <si>
    <t>BANGALORE</t>
  </si>
  <si>
    <t>C V RAMAN AVENUE, SADASHIVANAGAR, P B #8005, BANGALORE 560 080, INDIA</t>
  </si>
  <si>
    <t>0011-3891</t>
  </si>
  <si>
    <t>CURR SCI INDIA</t>
  </si>
  <si>
    <t>Curr. Sci.</t>
  </si>
  <si>
    <t>OCT 25</t>
  </si>
  <si>
    <t>835RN</t>
  </si>
  <si>
    <t>WOS:000296053600022</t>
  </si>
  <si>
    <t>Sijp, WP; England, MH; Huber, M</t>
  </si>
  <si>
    <t>Sijp, Willem P.; England, Matthew H.; Huber, Matthew</t>
  </si>
  <si>
    <t>Effect of the deepening of the Tasman Gateway on the global ocean</t>
  </si>
  <si>
    <t>DEEP-WATER PRODUCTION; DRAKE PASSAGE; ANTARCTIC GLACIATION; THERMOHALINE CIRCULATION; OLIGOCENE TRANSITION; EOCENE GREENHOUSE; ICE; TEMPERATURE; EVOLUTION; IMPACTS</t>
  </si>
  <si>
    <t>We examine the effect of the deepening of the Tasman Seaway at the end of the Eocene in a climate model with realistic late Eocene bathymetry and winds. For this, we have constructed an Eocene numerical model based on the University of Victoria climate model with wind forcing derived from a fully coupled Eocene simulation. The model climate state is characterized by an oceanic meridional overturning circulation (MOC) involving Southern Hemisphere sinking and a northward atmospheric moisture transport across the equator. The deepening of the Tasman Seaway in the presence of an open Drake Passage and the associated establishment of the Antarctic Circumpolar Current (ACC) have a limited climatic impact on Antarctica. Nonetheless, the Antarctic deep sinking regions cool sufficiently to lead to a global deep ocean cooling of 3 degrees C. No initiation of Northern Component Water is found, indicating that this may require the development of a more mature ACC. Previous studies suggest that the Ross Sea gyre cools the east coast of Australia, and expected the deepening of the Tasman Seaway to lead to a warming east of Australia due to the introduction of warmer water from the Australo-Antarctic Gulf. We here find that this warming is limited to close to the Australian coast, and that widespread cooling prevails further off shore.</t>
  </si>
  <si>
    <t>[Sijp, Willem P.] Univ New S Wales, Climate Change Res Ctr, Sydney, NSW 2052, Australia; [England, Matthew H.; Huber, Matthew] Purdue Univ, Dept Earth &amp; Atmospher Sci, Purdue Climate Change Res Ctr, W Lafayette, IN 47907 USA</t>
  </si>
  <si>
    <t>University of New South Wales Sydney; Purdue University System; Purdue University</t>
  </si>
  <si>
    <t>Sijp, WP (corresponding author), Univ New S Wales, Climate Change Res Ctr, Sydney, NSW 2052, Australia.</t>
  </si>
  <si>
    <t>w.sijp@unsw.edu.au; m.england@unsw.edu.au; huberm@purdue.edu</t>
  </si>
  <si>
    <t>England, Matthew/A-7539-2011; Sijp, Willem P/E-5988-2012; Huber, Matthew/A-7677-2008</t>
  </si>
  <si>
    <t>England, Matthew/0000-0001-9696-2930; Huber, Matthew/0000-0002-2771-9977; Sijp, Willem/0000-0002-5971-3860</t>
  </si>
  <si>
    <t>Australian Research Council; Australian Antarctic Science Program; U.S. National Science Foundation (NSF) [0927946-ATM]; University of Victoria staff</t>
  </si>
  <si>
    <t>Australian Research Council(Australian Research Council); Australian Antarctic Science Program; U.S. National Science Foundation (NSF)(National Science Foundation (NSF)); University of Victoria staff</t>
  </si>
  <si>
    <t>We thank the University of Victoria staff for support in usage of the their coupled climate model. This research was supported by the Australian Research Council and the Australian Antarctic Science Program. Matthew Huber is supported by U.S. National Science Foundation (NSF) grant 0927946-ATM. This is Purdue Climate Change Research Center Publication 1111. We thank Andreas Oschlies for hosting a visit to IFM-GEOMAR and supplying code and advice to allow W. P. Sijp to implement the turbulent kinetic energy scheme of Blanke and Delecluse [1993] based on Gaspar et al. [1990] into the model. We thank Sascha Flogel for stimulating discussions and detailed comments on this manuscript.</t>
  </si>
  <si>
    <t>PA4207</t>
  </si>
  <si>
    <t>10.1029/2011PA002143</t>
  </si>
  <si>
    <t>839AR</t>
  </si>
  <si>
    <t>WOS:000296337300001</t>
  </si>
  <si>
    <t>Sime, LC; Lang, N; Thomas, ER; Benton, AK; Mulvaney, R</t>
  </si>
  <si>
    <t>Sime, Louise C.; Lang, Nicola; Thomas, Elizabeth R.; Benton, Ailsa K.; Mulvaney, Robert</t>
  </si>
  <si>
    <t>On high-resolution sampling of short ice cores: Dating and temperature information recovery from Antarctic Peninsula virtual cores</t>
  </si>
  <si>
    <t>CONTINUOUS-FLOW ANALYSIS; SURFACE MASS-BALANCE; ATMOSPHERIC CIRCULATION; CLIMATE; VARIABILITY; RECORDS; PRECIPITATION; ACCUMULATION; REANALYSES; ISOTOPES</t>
  </si>
  <si>
    <t>Recent developments in ice melter systems and continuous flow analysis (CFA) techniques now allow higher-resolution ice core analysis. Here, we present a new method to aid interpretation of high-resolution ice core stable water isotope records. Using a set of simple isotopic recording and postdepositional assumptions, the European Centre for Medium-Range Weather Forecasts' 40 year reanalysis time series of temperature and precipitation are converted to virtual core depth series across the Antarctic Peninsula, helping us to understand what information can be gleaned from the CFA high-resolution observations. Virtual core temperatures are transferred onto time using three different depth-age transfer assumptions: (1) a perfect depth-age model, (2) a depth-age model constructed from single or dual annual photochemical tie points, and (3) a cross-dated depth-age model. Comparing the sampled temperatures on the various depth-age models with the original time series allows quantification of the effect of ice core sample resolution and dating. We show that accurate annual layer count depth-age models should allow some subseasonal temperature anomalies to be recovered using a sample resolution of around 40 mm, or 10-20 samples per year. Seasonal temperature anomalies may be recovered using sample lengths closer to 60 mm, or about 7-14 samples per year. These results tend to confirm the value of current CFA ice core sampling strategies and indicate that it should be possible to recover about a third of subannual (but not synoptic) temperature anomaly information from annually layer-counted peninsula ice cores.</t>
  </si>
  <si>
    <t>[Sime, Louise C.; Lang, Nicola; Thomas, Elizabeth R.; Benton, Ailsa K.; Mulvaney, Robert] British Antarctic Survey, Div Phys Sci, Cambridge CB3 0ET, England</t>
  </si>
  <si>
    <t>Sime, LC (corresponding author), British Antarctic Survey, Div Phys Sci, Madingley Rd, Cambridge CB3 0ET, England.</t>
  </si>
  <si>
    <t>Sime, Louise/F-8058-2012; Thomas, Elizabeth Ruth/ADF-3660-2022; Sime, Louise/AAX-7730-2021; Mulvaney, Robert/K-3929-2012</t>
  </si>
  <si>
    <t>Sime, Louise/0000-0002-9093-7926; Thomas, Elizabeth Ruth/0000-0002-3010-6493; Sime, Louise/0000-0002-9093-7926; Mulvaney, Robert/0000-0002-5372-8148</t>
  </si>
  <si>
    <t>United Kingdom Natural Environment Research Council; Natural Environment Research Council [bas0100024] Funding Source: researchfish; NERC [bas0100024] Funding Source: UKRI</t>
  </si>
  <si>
    <t>United Kingdom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</si>
  <si>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Thanks to Kevin Oliver for advice on methods, to Peter Fretwell for producing the Figure 1 map, to all members of the British Antarctic Survey Ice Coring group for interesting discussions on past British Antarctic Survey ice coring and sampling strategy, and to Hans Christian Steen-Larsen and an anonymous reviewer for insightful reviews. This study is part of the British Antarctic Survey Polar Science for Planet Earth Programme. All authors gratefully acknowledge funding from United Kingdom Natural Environment Research Council.</t>
  </si>
  <si>
    <t>D20117</t>
  </si>
  <si>
    <t>10.1029/2011JD015894</t>
  </si>
  <si>
    <t>839AI</t>
  </si>
  <si>
    <t>WOS:000296336300001</t>
  </si>
  <si>
    <t>Abram, NJ; Mulvaney, R; Arrowsmith, C</t>
  </si>
  <si>
    <t>Abram, Nerilie J.; Mulvaney, Robert; Arrowsmith, Carol</t>
  </si>
  <si>
    <t>Environmental signals in a highly resolved ice core from James Ross Island, Antarctica</t>
  </si>
  <si>
    <t>SOUTHERN ANNULAR MODE; INDIAN-OCEAN SECTOR; SEA-SALT SULFATE; 8 GLACIAL CYCLES; EPICA DOME-C; CLIMATE-CHANGE; EAST ANTARCTICA; SNOW CHEMISTRY; SURFACE SNOW; PENINSULA</t>
  </si>
  <si>
    <t>The accumulation, isotopic and chemical signals of an ice core from James Ross Island, Antarctica, are investigated for the interval from 1967 to 2008. Over this interval, comparison with station, satellite and reanalysis data allows for a detailed assessment of the environmental information preserved in the ice. Accumulation at James Ross Island is enhanced during years when the circumpolar westerlies are weak, allowing more precipitation events to reach the northeastern Antarctic Peninsula. The stable water isotope composition of the ice core has an interannual temperature dependence consistent with the spatial isotope-temperature gradient across Antarctica, and preserves information about both summer and winter temperature variability in the region. Sea salts in the ice core are derived from open water sources in the marginal sea ice zone to the north of James Ross Island and transported to the site by strengthened northerly and westerly winds in the winter. A strong covariance with temperature means that the sea salt record may be able to be utilized, in conjunction with the isotope signal, as an indicator of winter temperature. Marine biogenic compounds in the ice core are derived from summer productivity within the sea ice zone to the south of James Ross Island. This source region may have become significant only in recent decades, when the collapse of nearby ice shelves established new sites of open water with high summer productivity. These findings provide a foundation for interpreting the environmental signals in the James Ross Island ice core, which extends though the whole Holocene and represents the oldest ice core that has been recovered from the Antarctic Peninsula region.</t>
  </si>
  <si>
    <t>[Arrowsmith, Carol] NERC Isotope Geosci Lab, Keyworth NG12 5GG, Notts, England; [Abram, Nerilie J.; Mulvaney, Robert] British Antarctic Survey, Cambridge CB3 0ET, England</t>
  </si>
  <si>
    <t>UK Research &amp; Innovation (UKRI); Natural Environment Research Council (NERC); NERC British Geological Survey; UK Research &amp; Innovation (UKRI); Natural Environment Research Council (NERC); NERC British Antarctic Survey</t>
  </si>
  <si>
    <t>Abram, NJ (corresponding author), Australian Natl Univ, Res Sch Earth Sci, GPO Box 4, Canberra, ACT 0200, Australia.</t>
  </si>
  <si>
    <t>nerilie.abram@anu.edu.au</t>
  </si>
  <si>
    <t>Abram, Nerilie/AAT-5171-2021; Mulvaney, Robert/K-3929-2012</t>
  </si>
  <si>
    <t>Abram, Nerilie/0000-0003-1246-2344; Arrowsmith, Carol/0000-0003-3849-5179; Mulvaney, Robert/0000-0002-5372-8148</t>
  </si>
  <si>
    <t>Natural Environment Research Council; NERC [bas0100024, nigl010001] Funding Source: UKRI; Natural Environment Research Council [nigl010001, bas0100024] Funding Source: researchfish</t>
  </si>
  <si>
    <t>We thank Jack Triest, Sue Foord, Louise Sime, Olivier Alemany and Samantha Shelley, who helped to drill the James Ross Island ice core, and Emilie Capron, Louise Fleet and Emily Ludlow for laboratory assistance. We also gratefully acknowledge Geert Jan van Oldenberg and the KNMI Climate Explorer resource that aided the data analysis performed in this study (http://climexp.knmi.nl), and Gareth Marshall and the READER project for making the Antarctic station data available (www.antarctica.ac.uk/met/READER). Eric Wolff, Louise Sime, John King, Tom Bracegirdle and Ted Maksym provided helpful discussions during the preparation of this manuscript. This study is part of the British Antarctic Survey Polar Science for Planet Earth Programme. It was funded by the Natural Environment Research Council.</t>
  </si>
  <si>
    <t>OCT 22</t>
  </si>
  <si>
    <t>D20116</t>
  </si>
  <si>
    <t>10.1029/2011JD016147</t>
  </si>
  <si>
    <t>837AB</t>
  </si>
  <si>
    <t>WOS:000296161400006</t>
  </si>
  <si>
    <t>Ave, M; Boyle, PJ; Brannon, E; Gahbauer, F; Hermann, G; Höppner, C; Hörandel, JR; Ichimura, M; Müller, D; Obermeier, A; Romero-Wolf, A</t>
  </si>
  <si>
    <t>Ave, M.; Boyle, P. J.; Brannon, E.; Gahbauer, F.; Hermann, G.; Hoeppner, C.; Hoerandel, J. R.; Ichimura, M.; Mueller, D.; Obermeier, A.; Romero-Wolf, A.</t>
  </si>
  <si>
    <t>The TRACER instrument: A balloon-borne cosmic-ray detector</t>
  </si>
  <si>
    <t>NUCLEAR INSTRUMENTS &amp; METHODS IN PHYSICS RESEARCH SECTION A-ACCELERATORS SPECTROMETERS DETECTORS AND ASSOCIATED EQUIPMENT</t>
  </si>
  <si>
    <t>Cosmic rays; Energy spectra; Space-research instruments; Transition radiation; Cherenkov radiation; Scintillation detectors</t>
  </si>
  <si>
    <t>ENERGY-SPECTRA; TRANSITION RADIATION; HELIUM SPECTRA; NUCLEI; PROTON; FRAGMENTATION</t>
  </si>
  <si>
    <t>We describe a large-area detector for measurements of the intensity of cosmic-ray nuclei in balloon-borne exposures. In order to observe individual nuclei at very high energies, the instrument employs transition radiation detectors (TRD) whose energy response extends well beyond 10(4) GeV amu(-1). The TR measurement is performed with arrays of single-wire proportional tubes interleaved with plastic-fiber radiators. An additional energy determination comes from the specific ionization in gas and its relativistic rise which is also measured with proportional tubes. The tubes also determine the trajectory of each cosmic-ray nucleus with mm-resolution. In total, nearly 1600 tubes are used. The instrument is triggered by large-area plastic scintillators. The scintillators, together with acrylic Cherenkov counters, also determine the nuclear charge Z of each cosmic-ray particle, measure the energy in the GeV amu(-1) region, and discriminate against low-energy background. We describe the details of this detector system, and discuss its performance in three high-altitude balloon flights, including two long-duration flights in 2003 and 2006 at Antarctic and Arctic latitudes, respectively. Scientific results from these flights are summarized, and possible future developments are reviewed. (C) 2011 Elsevier B.V. All rights reserved.</t>
  </si>
  <si>
    <t>[Ave, M.; Boyle, P. J.; Brannon, E.; Gahbauer, F.; Hermann, G.; Hoeppner, C.; Hoerandel, J. R.; Ichimura, M.; Mueller, D.; Obermeier, A.; Romero-Wolf, A.] Univ Chicago, Enrico Fermi Inst, Chicago, IL 60637 USA</t>
  </si>
  <si>
    <t>University of Chicago</t>
  </si>
  <si>
    <t>Boyle, PJ (corresponding author), McGill Univ, Montreal, PQ H3A 2T5, Canada.</t>
  </si>
  <si>
    <t>patrick.boyle@mcgill.ca</t>
  </si>
  <si>
    <t>Gahbauer, Florian/M-8734-2019; Pernas, Maximo Ave/L-3780-2017; Ichimura, Masakatsu/G-6747-2014; Gahbauer, Florian H/J-9542-2014</t>
  </si>
  <si>
    <t>Gahbauer, Florian/0000-0002-7126-2513; Gahbauer, Florian H/0000-0002-7126-2513; Horandel, Jorg/0000-0001-6604-547X; Hermann, German/0000-0002-4595-1032</t>
  </si>
  <si>
    <t>National Science Foundation; Raytheon Polar Services Company (LDBI); Esrange Space Center, Sweden [LDB2]; NASA [NAG 5-5305, NAG 5-5072, N-NNX08AC41G]; Illinois Space Grant Consortium</t>
  </si>
  <si>
    <t>National Science Foundation(National Science Foundation (NSF)); Raytheon Polar Services Company (LDBI); Esrange Space Center, Sweden; NASA(National Aeronautics &amp; Space Administration (NASA)); Illinois Space Grant Consortium</t>
  </si>
  <si>
    <t>We wish to acknowledge the invaluable assistance of the staff of the University of Chicago Engineering Center for their work in the construction of this instrument, especially W. C. Johnson, G. Kelderhouse, C. Smith, E. Drag, D. Bonasera, B. Lynch, S. Heimsath, R. Northrop, D. Pernic, P. Waltz and D. Plitt. Special thanks go to the personnel of the Columbia Scientific Balloon Facility (CSBF), in particular D. Ball, B. Stepp, and D. Sullivan for their excellent service in conducting the balloon flights, and to S. Cannon for help with thermal modelling. We also appreciate the support services of the National Science Foundation and Raytheon Polar Services Company (LDBI), and the Esrange Space Center, Sweden (LDB2). This work was supported by NASA Grants NAG 5-5305, NAG 5-5072, and N-NNX08AC41G. Support from the Illinois Space Grant Consortium made possible the participation of many undergraduate students, who played an important role in the construction of the TRACER instrument.</t>
  </si>
  <si>
    <t>0168-9002</t>
  </si>
  <si>
    <t>1872-9576</t>
  </si>
  <si>
    <t>NUCL INSTRUM METH A</t>
  </si>
  <si>
    <t>Nucl. Instrum. Methods Phys. Res. Sect. A-Accel. Spectrom. Dect. Assoc. Equip.</t>
  </si>
  <si>
    <t>OCT 21</t>
  </si>
  <si>
    <t>10.1016/j.nima.2011.05.050</t>
  </si>
  <si>
    <t>Instruments &amp; Instrumentation; Nuclear Science &amp; Technology; Physics, Nuclear; Physics, Particles &amp; Fields</t>
  </si>
  <si>
    <t>Instruments &amp; Instrumentation; Nuclear Science &amp; Technology; Physics</t>
  </si>
  <si>
    <t>831XT</t>
  </si>
  <si>
    <t>WOS:000295765100021</t>
  </si>
  <si>
    <t>Iimura, H; Fritts, DC; Tsutsumi, M; Nakamura, T; Hoffmann, P; Singer, W</t>
  </si>
  <si>
    <t>Iimura, H.; Fritts, D. C.; Tsutsumi, M.; Nakamura, T.; Hoffmann, P.; Singer, W.</t>
  </si>
  <si>
    <t>Long-term observations of the wind field in the Antarctic and Arctic mesosphere and lower-thermosphere at conjugate latitudes</t>
  </si>
  <si>
    <t>MF RADAR OBSERVATIONS; MEAN WINDS; MESOPAUSE REGION; SOLAR-CYCLE; MIDDLE ATMOSPHERE; PLANETARY-WAVES; SEMIDIURNAL TIDE; DIURNAL TIDE; DOPPLER INTERFEROMETER; NUMERICAL-SIMULATION</t>
  </si>
  <si>
    <t>Mean winds, semidiurnal and diurnal tides, and trends and long-period oscillations spanning a solar cycle (from early 1999 through June 2010) measured by medium frequency (MF) radars at conjugate Antarctic and Arctic latitudes (Syowa, Antarctica, 69 degrees S, 39.6 degrees E, and Andenes, Norway, 69.3 degrees N, 16 degrees E) are described and compared. Zonal mean winds are stronger and more uniform from year to year over the Antarctic, with a stronger eastward winter jet spanning the range of altitudes presented (70 to 96 km). The summer westward jet is also stronger and maximizes at higher altitudes over the Antarctic than over the Arctic. The eastward winter jet over the Arctic, while generally weaker, exhibits a localized maximum in late winter at similar to 2 to 3 year intervals. Meridional mean winds likewise achieve somewhat stronger maxima at higher altitudes over the Antarctic than over the Arctic. Semidiurnal tide amplitudes are typically somewhat larger over the Antarctic and similar in the two components, with maxima at similar to 85 km or above and narrow responses that tend to cluster from similar to February to May and similar to September to November over the Antarctic and from similar to December to February and similar to June to September over the Arctic. Zonal diurnal tide amplitudes are quite similar between the sites, with maxima extending from similar to 70 to 90 km and slightly stronger over the Antarctic. Meridional diurnal amplitudes display more significant growth with altitude, achieve stronger maxima at the highest altitudes presented, and typically exhibit a single and narrow maximum during December to February over the Antarctic and double maxima from similar to May to September over the Arctic. Also discussed are trends and long-period oscillations over a solar cycle observed in these mean and tidal wind fields.</t>
  </si>
  <si>
    <t>[Iimura, H.; Fritts, D. C.] NW Res Associates Inc, Colorado Res Associates Div, Boulder, CO 80301 USA; [Hoffmann, P.; Singer, W.] Univ Rostock, Leibniz Inst Atmospher Phys, D-18225 Kuhlungsborn, Germany; [Tsutsumi, M.; Nakamura, T.] Natl Inst Polar Res Inc, Tokyo 1738515, Japan</t>
  </si>
  <si>
    <t>NorthWest Research Associates; University of Rostock; Leibniz Institut fur Atmospharenphysik e.V. an der Universitat Rostock (IAP); Research Organization of Information &amp; Systems (ROIS); National Institute of Polar Research (NIPR) - Japan</t>
  </si>
  <si>
    <t>Iimura, H (corresponding author), NW Res Associates Inc, Colorado Res Associates Div, 3380 Mitchell Ln, Boulder, CO 80301 USA.</t>
  </si>
  <si>
    <t>iimurah@cora.nwra.com</t>
  </si>
  <si>
    <t>Nakamura, Takuji/0000-0002-3876-2946</t>
  </si>
  <si>
    <t>National Science Foundation [OPP-0839084]; Inter-university Upper Atmosphere Global Observation NETwork (IUGONET); Ministry of Education, Culture, Sports, Science and Technology (MEXT), Japan; DFG [SI 501/5-1, SI 501/5-2]; Office of Polar Programs (OPP); Directorate For Geosciences [0839084] Funding Source: National Science Foundation</t>
  </si>
  <si>
    <t>National Science Foundation(National Science Foundation (NSF)); Inter-university Upper Atmosphere Global Observation NETwork (IUGONET); Ministry of Education, Culture, Sports, Science and Technology (MEXT), Japan(Ministry of Education, Culture, Sports, Science and Technology, Japan (MEXT)); DFG(German Research Foundation (DFG)); Office of Polar Programs (OPP); Directorate For Geosciences(National Science Foundation (NSF)NSF - Directorate for Geosciences (GEO))</t>
  </si>
  <si>
    <t>This work has been supported by the National Science Foundation of OPP-0839084 and the Inter-university Upper Atmosphere Global Observation NETwork (IUGONET) project funded by the Ministry of Education, Culture, Sports, Science and Technology (MEXT), Japan. Syowa MF radar is operated by National Institute of Polar Research under JARE (Japanese Antarctic Research Expedition). Andenes MF radar is partly operated by DFG in the frame of the CAWSES priority program SPP 1176 under grants SI 501/5-1 and SI 501/5-2 and partly by DFG in the frame of the CAWSES priority program SPP 1176 under grants SI 501/5-1 and SI 501/5-2.</t>
  </si>
  <si>
    <t>D20112</t>
  </si>
  <si>
    <t>10.1029/2011JD016003</t>
  </si>
  <si>
    <t>836ZX</t>
  </si>
  <si>
    <t>WOS:000296160900002</t>
  </si>
  <si>
    <t>Long, MC; Dunbar, RB; Tortell, PD; Smith, WO; Mucciarone, DA; DiTullio, GR</t>
  </si>
  <si>
    <t>Long, Matthew C.; Dunbar, Robert B.; Tortell, Philippe D.; Smith, Walker O.; Mucciarone, David A.; DiTullio, Giacomo R.</t>
  </si>
  <si>
    <t>Vertical structure, seasonal drawdown, and net community production in the Ross Sea, Antarctica</t>
  </si>
  <si>
    <t>PHYTOPLANKTON TAXONOMIC VARIABILITY; SOUTHERN-OCEAN; IN-SITU; O-2/AR; IRON; CO2; NUTRIENTS; FLUXES; MODEL; ICE</t>
  </si>
  <si>
    <t>We calculate net community production (NCP) during summer 2005-2006 and spring 2006 in the Ross Sea using multiple approaches to determine the magnitude and consistency of rates. Water column carbon and nutrient inventories and surface ocean O-2/Ar data are compared to satellite-derived primary productivity (PP) estimates and C-14 uptake experiments. In spring, NCP was related to stratification proximal to upper ocean fronts. In summer, the most intense C drawdown was in shallow mixed layers affected by ice melt; depth-integrated C drawdown, however, increased with mixing depth. Delta O-2/Ar-based methods, relying on gas exchange reconstructions, underestimate NCP due to seasonal variations in surface Delta O-2/Ar and NCP rates. Mixed layer Delta O-2/Ar requires approximately 60 days to reach steady state, starting from early spring. Additionally, cold temperatures prolong the sensitivity of gas exchange reconstructions to past NCP variability. Complex vertical structure, in addition to the seasonal cycle, affects interpretations of surface-based observations, including those made from satellites. During both spring and summer, substantial fractions of NCP were below the mixed layer. Satellite-derived estimates tended to overestimate PP relative to C-14-based estimates, most severely in locations of stronger upper water column stratification. Biases notwithstanding, NCP-PP comparisons indicated that community respiration was of similar magnitude to NCP. We observed that a substantial portion of NCP remained as suspended particulate matter in the upper water column, demonstrating a lag between production and export. Resolving the dynamic physical processes that structure variance in NCP and its fate will enhance the understanding of the carbon cycling in highly productive Antarctic environments.</t>
  </si>
  <si>
    <t>[Long, Matthew C.; Dunbar, Robert B.; Mucciarone, David A.] Stanford Univ, Stanford, CA 94305 USA; [DiTullio, Giacomo R.] Coll Charleston, Grice Marine Lab, Charleston, SC 29412 USA; [Smith, Walker O.] Coll William &amp; Mary, Virginia Inst Marine Sci, Gloucester Point, VA 23062 USA; [Tortell, Philippe D.] Univ British Columbia, Dept Earth &amp; Ocean Sci, Vancouver, BC V6T 1Z4, Canada; [Tortell, Philippe D.] Univ British Columbia, Dept Bot, Vancouver, BC V6T 1Z4, Canada</t>
  </si>
  <si>
    <t>Stanford University; College of Charleston; William &amp; Mary; Virginia Institute of Marine Science; University of British Columbia; University of British Columbia</t>
  </si>
  <si>
    <t>Long, MC (corresponding author), Natl Ctr Atmospher Res, 1850 Table Mesa Dr, Boulder, CO 80305 USA.</t>
  </si>
  <si>
    <t>mclong@ucar.edu</t>
  </si>
  <si>
    <t>Long, Matthew C/H-4632-2016</t>
  </si>
  <si>
    <t>Mucciarone, David/0000-0003-4482-2463; Tortell, Philippe/0000-0003-0212-2151; Long, Matthew/0000-0003-1273-2957; Dunbar, Robert/0000-0002-9728-5609</t>
  </si>
  <si>
    <t>U.S. NSF [OPP-0338350, OPP-0338157, OPP-0338097]</t>
  </si>
  <si>
    <t>U.S. NSF(National Science Foundation (NSF))</t>
  </si>
  <si>
    <t>This work was supported by the U.S. NSF (OPP-0338350 to R. B. D., OPP-0338157 to W.O.S., and OPP-0338097 to G. R. D.). We thank the captain and crew of the R/V Nathaniel B. Palmer. This manuscript benefited from discussions with Kevin Arrigo; we thank him for his thoughtful comments. Additional thanks to Gert van Dijken for providing satellite primary productivity data and code for the PSSM algorithm. The comments of Michael Bender and two anonymous reviewers greatly improved this paper.</t>
  </si>
  <si>
    <t>C10029</t>
  </si>
  <si>
    <t>10.1029/2009JC005954</t>
  </si>
  <si>
    <t>837AF</t>
  </si>
  <si>
    <t>WOS:000296161900001</t>
  </si>
  <si>
    <t>Barker, S; Knorr, G; Edwards, RL; Parrenin, F; Putnam, AE; Skinner, LC; Wolff, E; Ziegler, M</t>
  </si>
  <si>
    <t>Barker, Stephen; Knorr, Gregor; Edwards, R. Lawrence; Parrenin, Frederic; Putnam, Aaron E.; Skinner, Luke C.; Wolff, Eric; Ziegler, Martin</t>
  </si>
  <si>
    <t>800,000 Years of Abrupt Climate Variability</t>
  </si>
  <si>
    <t>MILLENNIAL-SCALE; PHASE-RELATIONSHIPS; ICE CORES; GREENLAND; RECORD; SEESAW; MODEL; OCEAN; DEEP; CH4</t>
  </si>
  <si>
    <t>We constructed an 800,000-year synthetic record of Greenland climate variability based on the thermal bipolar seesaw model. Our Greenland analog reproduces much of the variability seen in the Greenland ice cores over the past 100,000 years. The synthetic record shows strong similarity with the absolutely dated speleothem record from China, allowing us to place ice core records within an absolute timeframe for the past 400,000 years. Hence, it provides both a stratigraphic reference and a conceptual basis for assessing the long-term evolution of millennial-scale variability and its potential role in climate change at longer time scales. Indeed, we provide evidence for a ubiquitous association between bipolar seesaw oscillations and glacial terminations throughout the Middle to Late Pleistocene.</t>
  </si>
  <si>
    <t>[Barker, Stephen; Ziegler, Martin] Cardiff Univ, Sch Earth &amp; Ocean Sci, Cardiff CF10 3AT, S Glam, Wales; [Knorr, Gregor] Alfred Wegener Inst, D-27570 Bremerhaven, Germany; [Edwards, R. Lawrence] Univ Minnesota, Dept Earth Sci, Minneapolis, MN 55455 USA; [Parrenin, Frederic] CNRS, Lab Glaciol, F-38400 Grenoble, France; [Parrenin, Frederic] Univ Grenoble 1, F-38400 Grenoble, France; [Parrenin, Frederic] Lab Chronoenvironm, F-25000 Besancon, France; [Putnam, Aaron E.] Univ Maine, Dept Earth Sci, Orono, ME 04469 USA; [Putnam, Aaron E.] Univ Maine, Climate Change Inst, Orono, ME 04469 USA; [Skinner, Luke C.] Univ Cambridge, Godwin Lab Palaeoclimate Res, Dept Earth Sci, Cambridge CB2 3EQ, England; [Wolff, Eric] British Antarctic Survey, Cambridge CB3 0ET, England</t>
  </si>
  <si>
    <t>Cardiff University; Helmholtz Association; Alfred Wegener Institute, Helmholtz Centre for Polar &amp; Marine Research; University of Minnesota System; University of Minnesota Twin Cities; Centre National de la Recherche Scientifique (CNRS); Communaute Universite Grenoble Alpes; Universite Grenoble Alpes (UGA); Universite de Franche-Comte; University of Maine System; University of Maine Orono; University of Maine System; University of Maine Orono; University of Cambridge; UK Research &amp; Innovation (UKRI); Natural Environment Research Council (NERC); NERC British Antarctic Survey</t>
  </si>
  <si>
    <t>Barker, S (corresponding author), Cardiff Univ, Sch Earth &amp; Ocean Sci, Cardiff CF10 3AT, S Glam, Wales.</t>
  </si>
  <si>
    <t>barkers3@cf.ac.uk</t>
  </si>
  <si>
    <t>Ziegler, Martin/N-9699-2013; Stephen, Barker/C-2770-2009; Wolff, Eric W/D-7925-2014; Ziegler, Martin/E-8604-2011; Edwards, Richard/JAX-3732-2023; Edwards, R. Lawrence/I-3124-2014; Parrenin, Frédéric/H-3054-2014</t>
  </si>
  <si>
    <t>Wolff, Eric W/0000-0002-5914-8531; Parrenin, Frédéric/0000-0002-9489-3991; Barker, Stephen/0000-0001-7870-6431; Putnam, Aaron/0000-0002-5358-1473; Knorr, Gregor/0000-0002-8317-5046; Ziegler, Martin/0000-0003-3198-6434</t>
  </si>
  <si>
    <t>Philip Leverhulme Prize; Natural Environment Research Council (UK) [NE/F002734/1, NE/G004021/1]; NSF [0502535, 1103403]; Natural Environment Research Council (UK); Directorate For Geosciences; Div Atmospheric &amp; Geospace Sciences [1103403] Funding Source: National Science Foundation; Natural Environment Research Council [NE/F002734/1, bas0100024, NE/G004021/1] Funding Source: researchfish; NERC [NE/G004021/1, NE/F002734/1, bas0100024] Funding Source: UKRI</t>
  </si>
  <si>
    <t>Philip Leverhulme Prize(Leverhulme Trust); Natural Environment Research Council (UK)(UK Research &amp; Innovation (UKRI)Natural Environment Research Council (NERC)); NSF(National Science Foundation (NSF)); Natural Environment Research Council (UK)(UK Research &amp; Innovation (UKRI)Natural Environment Research Council (NERC)); Directorate For Geosciences; Div Atmospheric &amp; Geospace Sciences(National Science Foundation (NSF)NSF - Directorate for Geosciences (GEO)); Natural Environment Research Council(UK Research &amp; Innovation (UKRI)Natural Environment Research Council (NERC)); NERC(UK Research &amp; Innovation (UKRI)Natural Environment Research Council (NERC))</t>
  </si>
  <si>
    <t>We thank the authors of all of the studies cited here for making their results available for this work. Supported by a Philip Leverhulme Prize (S.B.), Natural Environment Research Council (UK) awards NE/F002734/1 and NE/G004021/1 (S.B.), and NSF grants 0502535 and 1103403 (R.L.E.). This study is also part of the British Antarctic Survey Polar Science for Planet Earth Programme, funded by the Natural Environment Research Council (UK).</t>
  </si>
  <si>
    <t>10.1126/science.1203580</t>
  </si>
  <si>
    <t>835RC</t>
  </si>
  <si>
    <t>WOS:000296052500045</t>
  </si>
  <si>
    <t>Morard, R; Quillévéré, F; Douady, CJ; de Vargas, C; de Garidel-Thoron, T; Escarguel, G</t>
  </si>
  <si>
    <t>Morard, Raphael; Quillevere, Frederic; Douady, Christophe J.; de Vargas, Colomban; de Garidel-Thoron, Thibault; Escarguel, Gilles</t>
  </si>
  <si>
    <t>Worldwide Genotyping in the Planktonic Foraminifer Globoconella inflata: Implications for Life History and Paleoceanography</t>
  </si>
  <si>
    <t>MOLECULAR EVIDENCE; GENETIC TYPES; DIVERSITY; BACILLARIOPHYCEAE; RECONSTRUCTION; DIVERGENCE; SIGNATURE</t>
  </si>
  <si>
    <t>The planktonic foraminiferal morpho-species Globoconella inflata is widely used as a stratigraphic and paleoceanographic index. While G. inflata was until now regarded as a single species, we show that it rather constitutes a complex of two pseudo-cryptic species. Our study is based on SSU and ITS rDNA sequence analyses and genotyping of 497 individuals collected at 49 oceanic stations covering the worldwide range of the morpho-species. Phylogenetic analyses unveil the presence of two divergent genotypes. Type I inhabits transitional and subtropical waters of both hemispheres, while Type II is restricted to the Antarctic subpolar waters. The two genetic species exhibit a strictly allopatric distribution on each side of the Antarctic Subpolar Front. On the other hand, sediment data show that G. inflata was restricted to transitional and subtropical environments since the early Pliocene, and expanded its geographic range to southern subpolar waters similar to 700 kyrs ago, during marine isotopic stage 17. This datum may correspond to a peripatric speciation event that led to the partition of an ancestral genotype into two distinct evolutionary units. Biometric measurements performed on individual G. inflata from plankton tows north and south of the Antarctic Subpolar Front indicate that Types I and II display slight but significant differences in shell morphology. These morphological differences may allow recognition of the G. inflata pseudo-cryptic species back into the fossil record, which in turn may contribute to monitor past movements of the Antarctic Subpolar Front during the middle and late Pleistocene.</t>
  </si>
  <si>
    <t>[Morard, Raphael; Quillevere, Frederic; Escarguel, Gilles] Univ Lyon 1, CNRS, UMR 5276, Lab Geol Lyon Terre Planetes Environm, F-69622 Villeurbanne, France; [Morard, Raphael; de Vargas, Colomban] UPMC, CNRS, UMR Evolut Plancton &amp; PaleoOceans 7144, Stn Biol Roscoff, Roscoff, France; [Douady, Christophe J.] Univ Lyon 1, CNRS, UMR Ecol Hydrosyst Fluviaux 5023, F-69622 Villeurbanne, France; [Douady, Christophe J.] Inst Univ France, Paris, France; [de Garidel-Thoron, Thibault] Aix Marseille Univ, CEREGE UMR6635, Aix En Provence, France; [de Garidel-Thoron, Thibault] CNRS, CEREGE UMR6635, Aix En Provence, France</t>
  </si>
  <si>
    <t>Centre National de la Recherche Scientifique (CNRS); CNRS - National Institute for Earth Sciences &amp; Astronomy (INSU); Ecole Normale Superieure de Lyon (ENS de LYON); Universite Claude Bernard Lyon 1; Centre National de la Recherche Scientifique (CNRS); Sorbonne Universite; Centre National de la Recherche Scientifique (CNRS); Universite Claude Bernard Lyon 1; Institut Universitaire de France; Universite PSL; College de France; Aix-Marseille Universite; Centre National de la Recherche Scientifique (CNRS); Institut de Recherche pour le Developpement (IRD); Universite PSL; College de France; Aix-Marseille Universite; Centre National de la Recherche Scientifique (CNRS); Institut de Recherche pour le Developpement (IRD)</t>
  </si>
  <si>
    <t>Morard, R (corresponding author), Univ Lyon 1, CNRS, UMR 5276, Lab Geol Lyon Terre Planetes Environm, F-69622 Villeurbanne, France.</t>
  </si>
  <si>
    <t>raphael.morard@sb-roscoff.fr</t>
  </si>
  <si>
    <t>Douady, Christophe/N-3069-2019; Escarguel, Gilles/C-3297-2011; Douady, Christophe J/N-1357-2014; Royo-Llonch, Marta/AAA-2351-2019; de Garidel-Thoron, Thibault/B-1204-2008; Quillévéré, Frédéric/C-8317-2012</t>
  </si>
  <si>
    <t>Douady, Christophe/0000-0002-4503-8040; Douady, Christophe J/0000-0002-4503-8040; Royo-Llonch, Marta/0000-0003-2966-9093; de Garidel-Thoron, Thibault/0000-0001-8983-9571; Quillevere, Frederic/0000-0002-6248-0447; de Vargas, Colomban/0000-0002-6476-6019; Escarguel, Gilles/0000-0003-0985-6369</t>
  </si>
  <si>
    <t>Universite Lyon 1 (Molecular analysis and morphometric analysis) [IFR41]; INSU INTERRVIE program (Molecular analysis and morphometric analysis); Fondation pour la Recherche sur la Biodiversite [ANR-06-JCJC-0142 PALEO-CTD]; ANR Blanc FORCLIM [ANR-09-BLAN-0348 POSEIDON]; BIOMARKS - Biodiversity of marine eukaryotes; Eranet Biodiversa</t>
  </si>
  <si>
    <t>Universite Lyon 1 (Molecular analysis and morphometric analysis); INSU INTERRVIE program (Molecular analysis and morphometric analysis); Fondation pour la Recherche sur la Biodiversite; ANR Blanc FORCLIM(Agence Nationale de la Recherche (ANR)); BIOMARKS - Biodiversity of marine eukaryotes; Eranet Biodiversa</t>
  </si>
  <si>
    <t>The authors declare funding from the following programs (see details for the role of each funders): Grants from the IFR41 of Universite Lyon 1 (Molecular analysis and morphometric analysis); INSU INTERRVIE program (Molecular analysis and morphometric analysis); Fondation pour la Recherche sur la Biodiversite: (morphometric analysis); ANR-06-JCJC-0142 PALEO-CTD (sample collection); ANR Blanc FORCLIM (sample collection); ANR-09-BLAN-0348 POSEIDON (molecular analysis); BIOMARKS - Biodiversity of marine eukaryotes, funded by the FP7 Eranet Biodiversa (Molecular analysis). The funders had no role in study design, data collection and analysis, decision to publish, or preparation of the manuscript.</t>
  </si>
  <si>
    <t>OCT 20</t>
  </si>
  <si>
    <t>e26665</t>
  </si>
  <si>
    <t>10.1371/journal.pone.0026665</t>
  </si>
  <si>
    <t>841KI</t>
  </si>
  <si>
    <t>WOS:000296510800064</t>
  </si>
  <si>
    <t>Dmitrenko, IA; Kirillov, SA; Tremblay, LB; Kassens, H; Anisimov, OA; Lavrov, SA; Razumov, SO; Grigoriev, MN</t>
  </si>
  <si>
    <t>Dmitrenko, Igor A.; Kirillov, Sergey A.; Tremblay, L. Bruno; Kassens, Heidemarie; Anisimov, Oleg A.; Lavrov, Sergey A.; Razumov, Sergey O.; Grigoriev, Mikhail N.</t>
  </si>
  <si>
    <t>Recent changes in shelf hydrography in the Siberian Arctic: Potential for subsea permafrost instability</t>
  </si>
  <si>
    <t>CLIMATE-CHANGE; SEA; METHANE; LOWLANDS; CYCLE; ZONE</t>
  </si>
  <si>
    <t>Summer hydrographic data (1920-2009) show a dramatic warming of the bottom water layer over the eastern Siberian shelf coastal zone (&lt;10 m depth), since the mid-1980s, by 2.1 degrees C. We attribute this warming to changes in the Arctic atmosphere. The enhanced summer cyclonicity results in warmer air temperatures and a reduction in ice extent, mainly through thermodynamic melting. This leads to a lengthening of the summer open-water season and to more solar heating of the water column. The permafrost modeling indicates, however, that a significant change in the permafrost depth lags behind the imposed changes in surface temperature, and after 25 years of summer seafloor warming (as observed from 1985 to 2009), the upper boundary of permafrost deepens only by similar to 1 m. Thus, the observed increase in temperature does not lead to a destabilization of methane-bearing subsea permafrost or to an increase in methane emission. The CH4 supersaturation, recently reported from the eastern Siberian shelf, is believed to be the result of the degradation of subsea permafrost that is due to the long-lasting warming initiated by permafrost submergence about 8000 years ago rather than from those triggered by recent Arctic climate changes. A significant degradation of subsea permafrost is expected to be detectable at the beginning of the next millennium. Until that time, the simulated permafrost table shows a deepening down to similar to 70 m below the seafloor that is considered to be important for the stability of the subsea permafrost and the permafrost-related gas hydrate stability zone.</t>
  </si>
  <si>
    <t>[Dmitrenko, Igor A.; Kassens, Heidemarie] Univ Kiel, Leibniz Inst Marine Sci, D-24148 Kiel, Germany; [Anisimov, Oleg A.; Lavrov, Sergey A.] State Hydrol Inst, Dept Climate Change Res, St Petersburg 199053, Russia; [Razumov, Sergey O.; Grigoriev, Mikhail N.] Russian Acad Sci, Melnikov Permafrost Inst, Siberian Branch, Yakutsk 677010, Russia; [Kirillov, Sergey A.] Arctic &amp; Antarctic Res Inst, St Petersburg 199397, Russia; [Tremblay, L. Bruno] McGill Univ, Dept Atmospher &amp; Ocean Sci, Montreal, PQ H3A 2K6, Canada</t>
  </si>
  <si>
    <t>University of Kiel; Helmholtz Association; GEOMAR Helmholtz Center for Ocean Research Kiel; Russian Academy of Sciences; Melnikov Permafrost Institute, Siberian Branch of the RAS; Arctic &amp; Antarctic Research Institute; McGill University</t>
  </si>
  <si>
    <t>Dmitrenko, IA (corresponding author), Univ Kiel, Leibniz Inst Marine Sci, Wischhofstr 1-3, D-24148 Kiel, Germany.</t>
  </si>
  <si>
    <t>idmitrenko@ifm-geomar.de</t>
  </si>
  <si>
    <t>Tremblay, Bruno/I-4497-2012; Anisimov, Oleg/D-8052-2017; Razumov, Sergey/W-1685-2018</t>
  </si>
  <si>
    <t>Razumov, Sergey/0000-0002-7062-3807; Anisimov, Oleg/0000-0002-9515-4576; Dmitrenko, Igor/0000-0001-8388-7839</t>
  </si>
  <si>
    <t>BMBF; Russian Foundation for Basic Research [11-05-12011]</t>
  </si>
  <si>
    <t>BMBF(Federal Ministry of Education &amp; Research (BMBF)); Russian Foundation for Basic Research(Russian Foundation for Basic Research (RFBR)Spanish Government)</t>
  </si>
  <si>
    <t>We acknowledge the financial support through the BMBF project System Laptev Sea. O.A.A. and S.A.L. acknowledge the support by the Russian Foundation for Basic Research through grant 11-05-12011. We greatly appreciate Paul Overduin (AWI-Potsdam, Germany) and Tina Treude (IFM-GEOMAR, Germany) for their helpful comments and discussions. Three anonymous reviewers provided helpful comments and criticism.</t>
  </si>
  <si>
    <t>OCT 19</t>
  </si>
  <si>
    <t>C10027</t>
  </si>
  <si>
    <t>10.1029/2011JC007218</t>
  </si>
  <si>
    <t>837AD</t>
  </si>
  <si>
    <t>WOS:000296161700002</t>
  </si>
  <si>
    <t>Newnham, DA; Espy, PJ; Clilverd, MA; Rodger, CJ; Seppälä, A; Maxfield, DJ; Hartogh, P; Holmén, K; Horne, RB</t>
  </si>
  <si>
    <t>Newnham, David A.; Espy, Patrick J.; Clilverd, Mark A.; Rodger, Craig J.; Seppala, Annika; Maxfield, David J.; Hartogh, Paul; Holmen, Kim; Horne, Richard B.</t>
  </si>
  <si>
    <t>Direct observations of nitric oxide produced by energetic electron precipitation into the Antarctic middle atmosphere</t>
  </si>
  <si>
    <t>LOWER THERMOSPHERE; ODD NITROGEN; MESOSPHERE; MODEL</t>
  </si>
  <si>
    <t>We report the first ground-based passive microwave observations made from Troll station, Antarctica, which show enhanced mesospheric nitric oxide (NO) volume mixing ratio reaching levels of 1.2 ppmv, or 2-3 orders of magnitude above background, at 70-80 km during small, relatively isolated geomagnetic storms in 2008. The mesospheric NO peaked 2 days after enhanced NO at higher altitudes (110-150 km) measured by the SABER satellite, and 2 days after peaks in the &gt;30 keV and &gt;300 keV electron flux measured by POES, although the 300 keV electron flux remained high. High time resolution data shows that mesospheric NO was enhanced at night and decayed during the day and built up to high levels over a period of 3-4 days. The altitude profile of mesospheric NO suggests direct production by similar to 300 keV electron precipitation. Simulations using the Sodankyla Ion and Neutral Chemistry model show that the delay between thermospheric and mesospheric NO enhancements was primarily a result of the weaker production rate at lower altitudes by similar to 300 keV electrons competing against strong day-time losses. Citation: Newnham, D. A., P. J. Espy, M. A. Clilverd, C. J. Rodger, A. Seppala, D. J. Maxfield, P. Hartogh, K. Holmen, and R. B. Horne (2011), Direct observations of nitric oxide produced by energetic electron precipitation into the Antarctic middle atmosphere, Geophys. Res. Lett., 38, L20104, doi:10.1029/2011GL048666.</t>
  </si>
  <si>
    <t>[Newnham, David A.; Clilverd, Mark A.; Seppala, Annika; Maxfield, David J.; Horne, Richard B.] British Antarctic Survey, Cambridge CB3 0ET, England; [Espy, Patrick J.] Norwegian Univ Sci &amp; Technol, Dept Phys, N-7491 Trondheim, Norway; [Rodger, Craig J.] Univ Otago, Dept Phys, Dunedin, New Zealand; [Hartogh, Paul] Max Planck Inst Solar Syst Res, D-37191 Katlenburg Lindau, Germany; [Holmen, Kim] Polar Environm Ctr, Norwegian Polar Inst, N-9296 Tromso, Norway; [Seppala, Annika] Finnish Meteorol Inst, Earth Observat Unit, FIN-00101 Helsinki, Finland</t>
  </si>
  <si>
    <t>UK Research &amp; Innovation (UKRI); Natural Environment Research Council (NERC); NERC British Antarctic Survey; Norwegian University of Science &amp; Technology (NTNU); University of Otago; Max Planck Society; Norwegian Polar Institute; Finnish Meteorological Institute</t>
  </si>
  <si>
    <t>Newnham, DA (corresponding author), British Antarctic Survey, Madingley Rd, Cambridge CB3 0ET, England.</t>
  </si>
  <si>
    <t>david.newnham@bas.ac.uk; crodger@physics.otago.ac.nz</t>
  </si>
  <si>
    <t>Seppälä, Annika/C-8031-2014; Rodger, Craig/A-1501-2011; Horne, Richard B/U-3764-2019</t>
  </si>
  <si>
    <t>Seppälä, Annika/0000-0002-5028-8220; Horne, Richard B/0000-0002-0412-6407; Rodger, Craig J./0000-0002-6770-2707</t>
  </si>
  <si>
    <t>European Commission [FP7-PEOPLE-IEF-2008/237461]; UK Natural Environment Research Council; Natural Environment Research Council [NE/I016767/1, bas0100023] Funding Source: researchfish; NERC [NE/I016767/1, bas0100023] Funding Source: UKRI</t>
  </si>
  <si>
    <t>European Commission(European Union (EU)European Commission Joint Research Centre);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</si>
  <si>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AS was supported by the European Commission project FP7-PEOPLE-IEF-2008/237461. We thank Atle Markussen, Paul Breen, and Joachim Urban for their help. The Norwegian Institute for Air Research (NILU) and The Research Council of Norway are acknowledged for providing meteorological data. This work was supported in part by the UK Natural Environment Research Council. The authors thank the anonymous referees for their valuable comments.</t>
  </si>
  <si>
    <t>L20104</t>
  </si>
  <si>
    <t>10.1029/2011GL048666</t>
  </si>
  <si>
    <t>836YV</t>
  </si>
  <si>
    <t>WOS:000296156900001</t>
  </si>
  <si>
    <t>Anschütz, H; Sinisalo, A; Isaksson, E; McConnell, JR; Hamran, SE; Bisiaux, MM; Pasteris, D; Neumann, TA; Winther, JG</t>
  </si>
  <si>
    <t>Anschutz, H.; Sinisalo, A.; Isaksson, E.; McConnell, J. R.; Hamran, S. -E.; Bisiaux, M. M.; Pasteris, D.; Neumann, T. A.; Winther, J. -G.</t>
  </si>
  <si>
    <t>Variation of accumulation rates over the last eight centuries on the East Antarctic Plateau derived from volcanic signals in ice cores</t>
  </si>
  <si>
    <t>DRONNING MAUD-LAND; SURFACE MASS-BALANCE; SNOW ACCUMULATION; RECORD; VARIABILITY; DOME; SHEET; AMUNDSENISEN; ERUPTION; EVENTS</t>
  </si>
  <si>
    <t>Volcanic signatures in ice-core records provide an excellent means to date the cores and obtain information about accumulation rates. From several ice cores it is thus possible to extract a spatio-temporal accumulation pattern. We show records of electrical conductivity and sulfur from 13 firn cores from the Norwegian-USA scientific traverse during the International Polar Year 2007-2009 (IPY) through East Antarctica. Major volcanic eruptions are identified and used to assess century-scale accumulation changes. The largest changes seem to occur in the most recent decades with accumulation over the period 1963-2007/08 being up to 25% different from the long-term record. There is no clear overall trend, some sites show an increase in accumulation over the period 1963 to present while others show a decrease. Almost all of the sites above 3200 m above sea level (asl) suggest a decrease. These sites also show a significantly lower accumulation value than large-scale assessments both for the period 1963 to present and for the long-term mean at the respective drill sites. The spatial accumulation distribution is influenced mainly by elevation and distance to the ocean (continentality), as expected. Ground-penetrating radar data around the drill sites show a spatial variability within 10-20% over several tens of kilometers, indicating that our drill sites are well representative for the area around them. Our results are important for large-scale assessments of Antarctic mass balance and model validation.</t>
  </si>
  <si>
    <t>[Anschutz, H.; Isaksson, E.; Winther, J. -G.] Norwegian Polar Res Inst, Fram Ctr, N-9296 Tromso, Norway; [Sinisalo, A.; Hamran, S. -E.] Univ Oslo, Dept Geosci, N-0316 Oslo, Norway; [McConnell, J. R.; Bisiaux, M. M.; Pasteris, D.] Desert Res Inst, Div Hydrol Sci, Reno, NV 89512 USA; [Hamran, S. -E.] Forsvarets Forskningsinst, Lillestrom, Norway; [Neumann, T. A.] NASA, Goddard Space Flight Ctr, Greenbelt, MD 20771 USA</t>
  </si>
  <si>
    <t>Norwegian Polar Institute; University of Oslo; Nevada System of Higher Education (NSHE); Desert Research Institute NSHE; National Aeronautics &amp; Space Administration (NASA); NASA Goddard Space Flight Center</t>
  </si>
  <si>
    <t>Anschütz, H (corresponding author), Norwegian Geotech Inst, Div Geomat Integrated Geosci, Oslo, Norway.</t>
  </si>
  <si>
    <t>helgard.anschuetz@npolar.no</t>
  </si>
  <si>
    <t>Neumann, Thomas/JLL-4672-2023; Neumann, Thomas/D-5264-2012</t>
  </si>
  <si>
    <t>Norwegian Polar Institute [152]; Research Council of Norway; National Science Foundation of the USA</t>
  </si>
  <si>
    <t>Norwegian Polar Institute; Research Council of Norway(Research Council of Norway); National Science Foundation of the USA(National Science Foundation (NSF))</t>
  </si>
  <si>
    <t>This work has been carried out under the umbrella of TASTE-IDEA within the framework of IPY project 152 funded by Norwegian Polar Institute, the Research Council of Norway and the National Science Foundation of the USA. This work is also a contribution to ITASE. The help of several people in the lab is gratefully acknowledged. Special thanks go to the traverse teams. K. Langley and S. Tronstad (Norwegian Polar Institute) helped with Figure 1. Thoughtful comments by three reviewers helped to improve the manuscript.</t>
  </si>
  <si>
    <t>OCT 18</t>
  </si>
  <si>
    <t>D20103</t>
  </si>
  <si>
    <t>10.1029/2011JD015753</t>
  </si>
  <si>
    <t>836ZN</t>
  </si>
  <si>
    <t>WOS:000296159800004</t>
  </si>
  <si>
    <t>Thresher, RE; Adkins, J; Fallon, SJ; Gowlett-Holmes, K; Althaus, F; Williams, A</t>
  </si>
  <si>
    <t>Thresher, R. E.; Adkins, J.; Fallon, S. J.; Gowlett-Holmes, K.; Althaus, F.; Williams, A.</t>
  </si>
  <si>
    <t>Extraordinarily high biomass benthic community on Southern Ocean seamounts</t>
  </si>
  <si>
    <t>SCIENTIFIC REPORTS</t>
  </si>
  <si>
    <t>MEGAFAUNAL BIOMASS; BAMBOO CORALS; DEEP</t>
  </si>
  <si>
    <t>We describe a previously unknown assemblage of seamount-associated megabenthos that has by far the highest peak biomass reported in the deep-sea outside of vent communities. The assemblage was found at depths of 2-2.5 km on rocky geomorphic features off the southeast coast of Australia, in an area near the Sub-Antarctic Zone characterised by high rates of surface productivity and carbon export to the deep-ocean. These conditions, and the taxa in the assemblage, are widely distributed around the Southern mid-latitudes, suggesting the high-biomass assemblage is also likely to be widespread. The role of this assemblage in regional ecosystem and carbon dynamics and its sensitivities to anthropogenic impacts are unknown. The discovery highlights the lack of information on deep-sea biota worldwide and the potential for unanticipated impacts of deep-sea exploitation.</t>
  </si>
  <si>
    <t>[Thresher, R. E.; Gowlett-Holmes, K.; Althaus, F.; Williams, A.] CSIRO Wealth Oceans Flagship Program, Hobart, Tas 7001, Australia; [Adkins, J.] CALTECH, Pasadena, CA 91125 USA; [Fallon, S. J.] Australian Natl Univ, Res Sch Earth Sci, Canberra, ACT, Australia</t>
  </si>
  <si>
    <t>Commonwealth Scientific &amp; Industrial Research Organisation (CSIRO); California Institute of Technology; Australian National University</t>
  </si>
  <si>
    <t>Thresher, RE (corresponding author), CSIRO Wealth Oceans Flagship Program, GPO Box 1538, Hobart, Tas 7001, Australia.</t>
  </si>
  <si>
    <t>Ron.Thresher@csiro.au</t>
  </si>
  <si>
    <t>Thresher, Ronald/C-7442-2009; Althaus, Franziska/B-6873-2015; Williams, Alan/C-6999-2012; Adkins, Jess/GYI-8778-2022; Fallon, Stewart/G-6645-2011; Althaus, Franziska/E-4660-2017</t>
  </si>
  <si>
    <t>Williams, Alan/0000-0002-2867-7713; Fallon, Stewart/0000-0002-8064-5903; Althaus, Franziska/0000-0002-5336-4612</t>
  </si>
  <si>
    <t>U.S. National Science Foundation; Australian Department of Environment, Water, Heritage, and the Arts; Australian Commonwealth Environmental Research Fund Marine Biodiversity Hub; Australian National Research Facility</t>
  </si>
  <si>
    <t>U.S. National Science Foundation(National Science Foundation (NSF)); Australian Department of Environment, Water, Heritage, and the Arts(Australian Government); Australian Commonwealth Environmental Research Fund Marine Biodiversity Hub; Australian National Research Facility</t>
  </si>
  <si>
    <t>We thank E. Anagnostou, B. Barker, A. Beck, W. Cho, J. Cordell, A. Gagnon, R. Gurney, S. John, A. Kennedy, H. Kippo, M. Lewis, F. McEnnulty, N. Meckler, D. Mills, M. Sherlock, D. Staples, A. Subhas and N. Thiagarajan, and the crews of the AUV ABE, the ROV Jason and RV Thomas T. Thompson and RV Southern Surveyor for their invaluable and professional assistance in the field, P. Alderslade, S. Cairns, D. Fautin, M. Mitchel and K. Moore for taxonomic assistance, P. Brodie and J. Dowdney for assisting in the photographic analyses, T. Trull for discussion regarding the radiocarbon analyses, J. Guinotte and R. Matear for discussions on regional patterns of productivity and export, and N. Bax, F. McEnnulty and the NSR sub-editor, M. Scardi, for valuable comments on the ms. This work was supported by the U.S. National Science Foundation, the Australian Department of Environment, Water, Heritage, and the Arts, the Australian Commonwealth Environmental Research Fund Marine Biodiversity Hub, and a grant of ship time by the Australian National Research Facility.</t>
  </si>
  <si>
    <t>NATURE PORTFOLIO</t>
  </si>
  <si>
    <t>HEIDELBERGER PLATZ 3, BERLIN, 14197, GERMANY</t>
  </si>
  <si>
    <t>2045-2322</t>
  </si>
  <si>
    <t>SCI REP-UK</t>
  </si>
  <si>
    <t>Sci Rep</t>
  </si>
  <si>
    <t>10.1038/srep00119</t>
  </si>
  <si>
    <t>835SO</t>
  </si>
  <si>
    <t>Green Published, Green Submitted, gold, Green Accepted</t>
  </si>
  <si>
    <t>WOS:000296056300001</t>
  </si>
  <si>
    <t>Boell, L; Tautz, D</t>
  </si>
  <si>
    <t>Boell, Louis; Tautz, Diethard</t>
  </si>
  <si>
    <t>Micro-evolutionary divergence patterns of mandible shapes in wild house mouse (Mus musculus) populations</t>
  </si>
  <si>
    <t>BMC EVOLUTIONARY BIOLOGY</t>
  </si>
  <si>
    <t>KERGUELEN ARCHIPELAGO; DIETARY CONSISTENCY; ISLAND POPULATION; GEOMETRIC SHAPE; SKULL; LOCI; INTEGRATION; MORPHOLOGY; ARCHITECTURE; DOMESTICUS</t>
  </si>
  <si>
    <t>Background: Insights into the micro-evolutionary patterns of morphological traits require an assessment of the natural variation of the trait within and between populations and closely related species. The mouse mandible is a particularly suitable morphological trait for such an analysis, since it has long been used as a model to study the quantitative genetics of shape. In addition, many distinct populations, sub-species and closely related species are known for the house mouse. However, morphological comparisons among wild caught animals require an assessment in how far environmental and technical factors could interfere with the shape change measurements. Results: Using geometric morphometrics, we have surveyed mandible shapes in 15 natural populations of the genus Mus, with a focus on the subspecies Mus musculus domesticus. In parallel we have carefully assessed possibly confounding technical and biological factors. We find that there are distinct differences on average between populations, subspecies and species, but these differences are smaller than differences between individuals within populations. Populations from summer-dry regions, although more ancestral, are less distinct from each other than are populations from the more recently colonized northern areas. Populations with especially distinct shapes occur in an area of sympatry of M. m. domesticus and M. spretus and on recently colonized sub-antarctic islands. We have also studied a number of inbred strains to assess in how far their mandible shapes resemble those from the wild. We find that they fall indeed into the shape space of natural variation between individuals in populations. Conclusions: Although mandible shapes in natural populations can be influenced by environmental variables, these influences are insufficient to explain the average extent of shape differences between populations, such that evolutionary processes must be invoked to explain this level of diversity. We discuss that adaptive evolution may contribute to shape changes between populations, in particular in newly colonized areas. A comparison between inbred strains and wild mice suggests that the laboratory environment has no major systematic effect on the mandible shape and that such strains can be used as representatives of the natural shape differences between individuals.</t>
  </si>
  <si>
    <t>[Boell, Louis; Tautz, Diethard] Max Planck Inst Evolut Biol, D-24306 Plon, Germany</t>
  </si>
  <si>
    <t>Max Planck Society</t>
  </si>
  <si>
    <t>Tautz, D (corresponding author), Max Planck Inst Evolut Biol, August Thienemannstr 2, D-24306 Plon, Germany.</t>
  </si>
  <si>
    <t>tautz@evolbio.mpg.de</t>
  </si>
  <si>
    <t>Tautz, Diethard/H-8436-2014</t>
  </si>
  <si>
    <t>Tautz, Diethard/0000-0002-0460-5344</t>
  </si>
  <si>
    <t>1471-2148</t>
  </si>
  <si>
    <t>BMC EVOL BIOL</t>
  </si>
  <si>
    <t>BMC Evol. Biol.</t>
  </si>
  <si>
    <t>10.1186/1471-2148-11-306</t>
  </si>
  <si>
    <t>844RK</t>
  </si>
  <si>
    <t>WOS:000296764800001</t>
  </si>
  <si>
    <t>Dmitrenko, IA; Ivanov, VV; Kirillov, SA; Vinogradova, EL; Torres-Valdes, S; Bauch, D</t>
  </si>
  <si>
    <t>Dmitrenko, Igor A.; Ivanov, Vladimir V.; Kirillov, Sergey A.; Vinogradova, Elena L.; Torres-Valdes, Sinhue; Bauch, Dorothea</t>
  </si>
  <si>
    <t>Properties of the Atlantic derived halocline waters over the Laptev Sea continental margin: Evidence from 2002 to 2009</t>
  </si>
  <si>
    <t>OCEAN BOUNDARY CURRENT; ARCTIC-OCEAN; EVOLUTION; SURFACE; FLUXES; NORTH; LAYER</t>
  </si>
  <si>
    <t>A series of transects carried out in 2002-2009 across the Laptev Sea continental margin show consistent cross-slope differences of the lower halocline water (LHW). Over the slope the LHW core is on average warmer and saltier by 0.39 degrees C and 0.26 practical salinity unit, respectively, relative to the off-slope LHW. Underlying Atlantic water (AW) thermohaline properties exhibit an opposite pattern; it is colder and fresher over the slope and warmer and saltier off the slope. Although on-slope and off-slope LHWs have different formation histories, our results suggest that an important part of the heat and salt lost from the AW is gained by the overlying LHW over the continental slope area. This implies the role of enhanced vertical mixing over the sloping topography, which contributes to the difference between the on-and off-slope LHW properties. The distribution of chemical tracers (dissolved oxygen and nutrients) provides further evidence supporting this interpretation and additionally suggests that the LHW may also be influenced by water from the outer shelf.</t>
  </si>
  <si>
    <t>[Dmitrenko, Igor A.; Bauch, Dorothea] Univ Kiel, Leibniz Inst Marine Sci, D-24148 Kiel, Germany; [Ivanov, Vladimir V.; Kirillov, Sergey A.] Arctic &amp; Antarctic Res Inst, St Petersburg 199397, Russia; [Ivanov, Vladimir V.] Univ Alaska, Interanatl Arctic Res Ctr, Fairbanks, AK 99701 USA; [Ivanov, Vladimir V.] Scottish Marine Inst SAMS, Oban, Argyll, Scotland; [Vinogradova, Elena L.] PP Shirshov Oceanol Inst, Moscow, Russia; [Torres-Valdes, Sinhue] Natl Oceanog Ctr, Southampton SO14 3ZH, Hants, England</t>
  </si>
  <si>
    <t>University of Kiel; Helmholtz Association; GEOMAR Helmholtz Center for Ocean Research Kiel; Arctic &amp; Antarctic Research Institute; University of Alaska System; University of Alaska Fairbanks; Russian Academy of Sciences; Shirshov Institute of Oceanology; NERC National Oceanography Centre</t>
  </si>
  <si>
    <t>Torres-Valdés, Sinhué/O-6436-2019; Ivanov, Vladimir/J-5979-2014; Ivanov, Vladimir/AAX-6830-2020; Torres Valdés, Sinhué/A-1435-2013</t>
  </si>
  <si>
    <t>Torres-Valdés, Sinhué/0000-0003-2749-4170; Ivanov, Vladimir/0000-0003-2569-6027; Torres Valdés, Sinhué/0000-0003-2749-4170; Dmitrenko, Igor/0000-0001-8388-7839; Bauch, Dorothea/0000-0002-1419-9714</t>
  </si>
  <si>
    <t>NSF; BMBF; Natural Environment Research Council; DFG [SP526/3-2]; EU; Natural Environment Research Council [dml010007, noc010009] Funding Source: researchfish; NERC [dml010007, noc010009] Funding Source: UKRI</t>
  </si>
  <si>
    <t>NSF(National Science Foundation (NSF)); BMBF(Federal Ministry of Education &amp; Research (BMBF)); Natural Environment Research Council(UK Research &amp; Innovation (UKRI)Natural Environment Research Council (NERC)); DFG(German Research Foundation (DFG)); EU(European Union (EU)); Natural Environment Research Council(UK Research &amp; Innovation (UKRI)Natural Environment Research Council (NERC)); NERC(UK Research &amp; Innovation (UKRI)Natural Environment Research Council (NERC))</t>
  </si>
  <si>
    <t>The hydrographic observations in 2002-2009 were carried out within the working framework of the NOAA and NSF-funded IARC Program Nansen and Amundsen Basins Observational System (NABOS). I. D., V. I., S. K., E. V. and D. B. gratefully acknowledge financial support through the BMBF project System Laptev Sea. S. T. V. was funded by the Natural Environment Research Council through the ASBO IPY consortium grant, and D. B. also received funding from DFG grant SP526/3-2. Data analysis was also supported by EU FP7 ACCESS project. We are grateful to Bert Rudels (University of Helsinki, Finland) and Igor Polyakov (University of Alaska Fairbanks) for their insightful comments and suggestions. Fruitful discussions with Rebecca Woodgate (University of Washington) substantially improved the manuscript. Ursula Schauer (AWI, Germany) kindly provided CTD data from the 1996 Polarstern cruise to the Arctic Ocean.</t>
  </si>
  <si>
    <t>C10024</t>
  </si>
  <si>
    <t>10.1029/2011JC007269</t>
  </si>
  <si>
    <t>837AC</t>
  </si>
  <si>
    <t>WOS:000296161600005</t>
  </si>
  <si>
    <t>Wittmann, A; Friedrich, JM; Troiano, J; Macke, RJ; Britt, DT; Swindle, TD; Weirich, JR; Rumble, D; Lasue, J; Kring, DA</t>
  </si>
  <si>
    <t>Wittmann, Axel; Friedrich, Jon M.; Troiano, Julianne; Macke, Robert J.; Britt, Daniel T.; Swindle, Timothy D.; Weirich, John R.; Rumble, Douglas, III; Lasue, Jeremie; Kring, David A.</t>
  </si>
  <si>
    <t>H/L chondrite LaPaz Icefield 031047-A feather of Icarus?</t>
  </si>
  <si>
    <t>OXYGEN-ISOTOPE RATIOS; RAY EXPOSURE AGES; THERMAL METAMORPHISM; SHOCK METAMORPHISM; PETROGRAPHIC TYPE; METAL PARTICLES; TRACE-ELEMENTS; IMPACT; METEORITES; CLASSIFICATION</t>
  </si>
  <si>
    <t>Antarctic meteorite LAP 031047 is an ordinary chondrite composed of loosely consolidated chondritic fragments. Its petrography, oxygen isotopic composition and geochemical inventory are ambiguous and indicate an intermediate character between H and L chondrites. Petrographic indicators suggest LAP 031047 suffered a shock metamorphic overprint below similar to 10 GPa, which did not destroy its unusually high porosity of similar to 27 vol%. Metallographic textures in LAP 031047 indicate heating above similar to 700 degrees C and subsequent cooling, which caused massive transformation of taenite to kamacite. The depletion of thermally labile trace elements, the crystallization of chondritic glass to microcrystalline plagioclase of unusual composition, and the occurrence of coarsely crystallized chondrule fragments is further evidence for post-metamorphic heating to similar to 700-750 degrees C. However, this heating event had a transient character because olivine and low-Ca pyroxene did not equilibrate. Nearly complete degassing up to very high temperatures is indicated by the thorough resetting of LAP 031047's Ar-Ar reservoir similar to 100 +/- 55 Ma ago. A noble gas cosmic-ray exposure age indicates it was reduced to a meter-size fragment at &lt;0.5 Ma. In light of the fact that shock heating cannot account for the thermal history of LAP 031047 in its entirety, we test the hypothesis that this meteorite belonged to the near-surface of an Aten or Apollo asteroid that underwent heating during orbital passages close to the Sun. (C) 2011 Elsevier Ltd. All rights reserved.</t>
  </si>
  <si>
    <t>[Wittmann, Axel; Lasue, Jeremie; Kring, David A.] Lunar &amp; Planetary Inst, Houston, TX 77058 USA; [Friedrich, Jon M.; Troiano, Julianne] Fordham Univ, Dept Chem, Bronx, NY 10458 USA; [Friedrich, Jon M.] Amer Museum Nat Hist, Dept Earth &amp; Planetary Sci, New York, NY 10024 USA; [Macke, Robert J.; Britt, Daniel T.] Univ Cent Florida, Orlando, FL 32816 USA; [Swindle, Timothy D.; Weirich, John R.] Univ Arizona, Lunar &amp; Planetary Lab, Tucson, AZ 85721 USA; [Rumble, Douglas, III] Carnegie Inst Sci, Geophys Lab, Washington, DC 20015 USA; [Lasue, Jeremie] Los Alamos Natl Lab, Los Alamos, NM 87545 USA</t>
  </si>
  <si>
    <t>Fordham University; American Museum of Natural History (AMNH); State University System of Florida; University of Central Florida; University of Arizona; Carnegie Institution for Science; United States Department of Energy (DOE); Los Alamos National Laboratory</t>
  </si>
  <si>
    <t>Wittmann, A (corresponding author), Lunar &amp; Planetary Inst, 3600 Bay Area Blvd, Houston, TX 77058 USA.</t>
  </si>
  <si>
    <t>wittmann@lpi.usra.edu; friedrich@fordham.edu; macke@alum.mit.edu; britt@physics.ucf.edu; tswindle@U.Arizona.edu; jweirich@lpl.arizona.edu; drumble@ciw.edu; lasue@lpi.usra.edu; kring@lpi.usra.edu</t>
  </si>
  <si>
    <t>Weirich, John R/H-3183-2011; Lasue, Jeremie/IZP-9673-2023; Rumble, Douglas/AAU-3930-2020; Kring, David A/D-5912-2011</t>
  </si>
  <si>
    <t>Lasue, Jeremie/0000-0001-9082-4457; Rumble, Douglas/0000-0002-7440-9189; Wittmann, Axel/0000-0001-7572-0801; Weirich, John/0000-0002-2830-1708</t>
  </si>
  <si>
    <t>National Science Foundation - Earth Sciences [EAR-0622171]; Department of Energy - Geosciences [DE-FG02-94ER14466]; U.S. Department of Energy, Office of Science, Office of Basic Energy Sciences [DE-AC02-06CH11357]; NASA [NNX09AD92G, NNX07AG55G, NNX08AG59G]; Clare Boothe Luce Program; NASA [NNX08AG59G, 120151, NNX09AD92G, 100883] Funding Source: Federal RePORTER</t>
  </si>
  <si>
    <t>National Science Foundation - Earth Sciences(National Science Foundation (NSF)); Department of Energy - Geosciences(United States Department of Energy (DOE)); U.S. Department of Energy, Office of Science, Office of Basic Energy Sciences(United States Department of Energy (DOE)); NASA(National Aeronautics &amp; Space Administration (NASA)); Clare Boothe Luce Program; NASA(National Aeronautics &amp; Space Administration (NASA))</t>
  </si>
  <si>
    <t>Parts of this work were performed at GeoSoilEnviroCARS (Sector 13), Advanced Photon Source (APS), Argonne National Laboratory. GeoSoilEnviroCARS is supported by the National Science Foundation - Earth Sciences (EAR-0622171) and Department of Energy - Geosciences (DE-FG02-94ER14466). Use of the Advanced Photon Source was supported by the U.S. Department of Energy, Office of Science, Office of Basic Energy Sciences, under Contract No. DE-AC02-06CH11357. Portions of this work were supported by NASA under the Planetary Geology and Geophysics Program through Grant NNX09AD92G to J.M.F. and NASA's Cosmochemistry Program Grants NNX07AG55G to D.A.K. and NNX08AG59G to T.D.S. J.T. gratefully thanks the Clare Boothe Luce Program for support. G. Consolmagno and D. Jewitt are thanked for inspiring conversations and literature suggestions. We thank ANSMET and their funding agencies for recovering LAP 031047, and the MWG for providing the sample material. A. Peslier, G. Robinson, C. Satterwhite, R. Harrington, K. Righter (NASA-JSC) are thanked for analytical support. The editorial handling by S. Russell and constructive reviews by L. Folco, A. Rubin, and an anonymous reviewer helped improve the manuscript. This is LPI contribution # 1627.</t>
  </si>
  <si>
    <t>OCT 15</t>
  </si>
  <si>
    <t>10.1016/j.gca.2011.07.037</t>
  </si>
  <si>
    <t>830EZ</t>
  </si>
  <si>
    <t>WOS:000295641600020</t>
  </si>
  <si>
    <t>Passchier, S</t>
  </si>
  <si>
    <t>Passchier, S.</t>
  </si>
  <si>
    <t>Linkages between East Antarctic Ice Sheet extent and Southern Ocean temperatures based on a Pliocene high-resolution record of ice-rafted debris off Prydz Bay, East Antarctica</t>
  </si>
  <si>
    <t>GLACIMARINE SEDIMENTARY PROCESSES; DEEP-WATER CIRCULATION; SEA-LEVEL FLUCTUATIONS; LATE MIOCENE; CONTINENTAL RISE; MIDDLE PLIOCENE; SURFACE TEMPERATURES; MARINE-SEDIMENTS; PAGODROMA GROUP; ODP SITE-1166</t>
  </si>
  <si>
    <t>Ice-rafted debris mass accumulation rates (IRD MAR) at a drill site on the Antarctic continental margin are investigated to evaluate the linkages between East Antarctic Ice Sheet extent and Southern Ocean temperatures in the early to mid-Pliocene. ODP Site 1165 is within 400 km of the Antarctic coastline and in the direct pathway of icebergs released by the Amery Ice Shelf. The Amery Ice Shelf is the largest ice shelf in East Antarctica and it buttresses the Lambert Glacier drainage system, which accounts for 14% of the outflow from the East Antarctic Ice Sheet. IRD MAR were low during peak Southern Ocean warming in the early Pliocene. After a brief precursor, a tenfold increase in IRD MAR at 3.3 Ma marks the termination of the early Pliocene ice sheet minimum, coincident with the M2 glacial. For the mid-Pliocene, a strong correlation exists between the high-amplitude signal in the LR04 benthic stack and IRD MAR, suggesting linkages between East Antarctic ice extent, global ice volume and deep-water temperatures. The IRD record at Site 1165 provides evidence of greater sensitivity of the Lambert Glacier-Amery Ice Shelf system to Southern Ocean warming than is currently predicted by ice sheet models, which may relate to uncertainties in the understanding of ocean heat uptake, poleward heat transport and ice sheet-ocean interactions.</t>
  </si>
  <si>
    <t>Montclair State Univ, Dept Earth &amp; Environm Studies, Montclair, NJ 07034 USA</t>
  </si>
  <si>
    <t>Montclair State University</t>
  </si>
  <si>
    <t>Passchier, S (corresponding author), Montclair State Univ, Dept Earth &amp; Environm Studies, Montclair, NJ 07034 USA.</t>
  </si>
  <si>
    <t>passchiers@mail.montclair.edu</t>
  </si>
  <si>
    <t>Passchier, Sandra/B-1993-2008; Passchier, Sandra/GYU-2381-2022; Passchier, Sandra/AAQ-2243-2021</t>
  </si>
  <si>
    <t>Passchier, Sandra/0000-0001-7204-7025; Passchier, Sandra/0000-0001-7204-7025</t>
  </si>
  <si>
    <t>U.S. National Science Foundation</t>
  </si>
  <si>
    <t>This research used samples and data provided by the Ocean Drilling Program, which was sponsored by the U.S. National Science Foundation and participating countries under the management of Joint Oceanographic Institutions, Incorporated. This paper is dedicated to Dietz Warnke who carried out many studies of ice rafted debris in the Southern Ocean and led the effort to obtain Pliocene and Pleistocene high resolution records from Site 1165. His comments on an earlier version of this paper are highly appreciated. I would also like to thank the crew and staff of the JOIDES Resolution and the other members of the Leg 188 Shipboard Scientific Party for valuable discussions and Claus-Dieter Hillenbrand and Tim Naish for excellent reviews that improved this paper. This is a contribution to the SCAR research program Antarctic Climate Evolution (ACE).</t>
  </si>
  <si>
    <t>PA4204</t>
  </si>
  <si>
    <t>10.1029/2010PA002061</t>
  </si>
  <si>
    <t>834TI</t>
  </si>
  <si>
    <t>WOS:000295986600001</t>
  </si>
  <si>
    <t>Roberts, AP; Florindo, F; Villa, G; Chang, L; Jovane, L; Bohaty, SM; Larrasoaña, JC; Heslop, D; Gerald, JDF</t>
  </si>
  <si>
    <t>Roberts, Andrew P.; Florindo, Fabio; Villa, Giuliana; Chang, Liao; Jovane, Luigi; Bohaty, Steven M.; Larrasoana, Juan C.; Heslop, David; Gerald, John D. Fitz</t>
  </si>
  <si>
    <t>Magnetotactic bacterial abundance in pelagic marine environments is limited by organic carbon flux and availability of dissolved iron</t>
  </si>
  <si>
    <t>Magnetotactic bacteria; Magnetofossils; Magnetite; Productivity; Iron; Organic carbon</t>
  </si>
  <si>
    <t>ROCK MAGNETIC COMPONENTS; EOCENE-OLIGOCENE; FERROMAGNETIC-RESONANCE; KERGUELEN PLATEAU; REMANENT MAGNETIZATION; BIOGEOCHEMICAL CYCLES; BIOGENIC MAGNETITE; MAUD RISE; SEDIMENTS; PACIFIC</t>
  </si>
  <si>
    <t>Magnetotactic bacteria intracellularly biomineralize magnetite of an ideal grain size for recording palaeomagnetic signals. However, bacterial magnetite has only been reported in a few pre-Quaternary records because progressive burial into anoxic diagenetic environments causes its dissolution. Deep-sea carbonate sequences provide optimal environments for preserving bacterial magnetite due to low rates of organic carbon burial and expanded pore-water redox zonations. Such sequences often do not become anoxic for tens to hundreds of metres below the seafloor. Nevertheless, the biogeochemical factors that control magnetotactic bacterial populations in such settings are not well known. We document the preservation of bacterial magnetite, which dominates the palaeomagnetic signal throughout Eocene pelagic carbonates from the southern Kerguelen Plateau, Southern Ocean. We provide evidence that iron fertilization, associated with increased aeolian dust flux, resulted in surface water eutrophication in the late Eocene that controlled bacterial magnetite abundance via export of organic carbon to the seafloor. Increased flux of aeolian iron-bearing phases also delivered iron to the seafloor, some of which became bioavailable through iron reduction. Our results suggest that magnetotactic bacterial populations in pelagic settings depend crucially on particulate iron and organic carbon delivery to the seafloor. (C) 2011 Elsevier B.V. All rights reserved.</t>
  </si>
  <si>
    <t>[Roberts, Andrew P.; Heslop, David; Gerald, John D. Fitz] Australian Natl Univ, Res Sch Earth Sci, Canberra, ACT 0200, Australia; [Roberts, Andrew P.; Chang, Liao; Jovane, Luigi; Bohaty, Steven M.] Univ Southampton, Natl Oceanog Ctr, Southampton SO14 3ZH, Hants, England; [Florindo, Fabio; Jovane, Luigi] Ist Nazl Geofis &amp; Vulcanol, I-00143 Rome, Italy; [Villa, Giuliana] Univ Parma, Dipartimento Sci Terra, I-43100 Parma, Italy; [Larrasoana, Juan C.] IGME, Area Cambio Global, Oficina Proyectos Zaragoza, Zaragoza 50006, Spain</t>
  </si>
  <si>
    <t>Australian National University; NERC National Oceanography Centre; University of Southampton; Istituto Nazionale Geofisica e Vulcanologia (INGV); University of Parma</t>
  </si>
  <si>
    <t>Jovane, Luigi/AAH-5438-2020; Florindo, Fabio/F-4119-2010; Larrasoana, Juan C./O-1350-2013; Heslop, David/G-6412-2011; Chang, Liao/AAU-3724-2020; Florindo, Fabio/M-1459-2019; Jovane, Luigi/E-7536-2012; Heslop, David/AGE-1592-2022; Florindo, Fabio/AAU-2548-2021; Roberts, Andrew P/E-6422-2010</t>
  </si>
  <si>
    <t>Jovane, Luigi/0000-0003-4348-4714; Florindo, Fabio/0000-0002-6058-9748; Heslop, David/0000-0001-8245-0555; Chang, Liao/0000-0002-0165-1310; Florindo, Fabio/0000-0002-6058-9748; Heslop, David/0000-0001-8245-0555; Roberts, Andrew P./0000-0003-0566-8117; Larrasoana, Juan Cruz/0000-0003-4568-631X</t>
  </si>
  <si>
    <t>U.S. National Science Foundation (NSF); UK Natural Environment Research Council [NE/G003319/1]; Istituto Nazionale di Geofisica e Vulcanologia; Italian National Antarctic Research Program (PNRA); Natural Environment Research Council [NE/G003319/1, NE/G004617/1] Funding Source: researchfish; NERC [NE/G003319/1, NE/G004617/1] Funding Source: UKRI</t>
  </si>
  <si>
    <t>U.S. National Science Foundation (NSF)(National Science Foundation (NSF)); UK Natural Environment Research Council(UK Research &amp; Innovation (UKRI)Natural Environment Research Council (NERC)); Istituto Nazionale di Geofisica e Vulcanologia(Istituto Nazionale Geofisica e Vulcanologia (INGV)); Italian National Antarctic Research Program (PNRA)(Ministry of Education, Universities and Research (MIUR)); Natural Environment Research Council(UK Research &amp; Innovation (UKRI)Natural Environment Research Council (NERC)); NERC(UK Research &amp; Innovation (UKRI)Natural Environment Research Council (NERC))</t>
  </si>
  <si>
    <t>We thank the Integrated Ocean Drilling Program (IODP) for providing access to the studied cores. The IODP was sponsored by the U.S. National Science Foundation (NSF) and participating countries under the management of Joint Oceanographic Institutions (JOI), Inc. Shane Paxton provided assistance with magnetic mineral extraction. TEM access was obtained through the Centre for Advanced Microscopy at the ANU, which is a node of the Australian Microscopy and Microanalysis Research Facility. We thank J. Wolowska for technical assistance with EPR measurements, which were made at the EPR National Service Centre at the University of Manchester, which is funded by the UK Engineering and Physical Sciences Research Council. We are grateful to Michael Winklhofer, John Tarduno and an anonymous reviewer for comments that helped to improve this paper, and to Peter deMenocal for editorial handling. Parts of this work benefitted from funding from the UK Natural Environment Research Council grant NE/G003319/1 to APR and from the Istituto Nazionale di Geofisica e Vulcanologia, and the Italian National Antarctic Research Program (PNRA) to F and GV.</t>
  </si>
  <si>
    <t>10.1016/j.epsl.2011.08.011</t>
  </si>
  <si>
    <t>864XJ</t>
  </si>
  <si>
    <t>WOS:000298273500029</t>
  </si>
  <si>
    <t>de Hoop, L; Schipper, AM; Leuven, RSEW; Huijbregts, MAJ; Olsen, GH; Smit, MGD; Hendriks, AJ</t>
  </si>
  <si>
    <t>de Hoop, Lisette; Schipper, Aafke M.; Leuven, Rob S. E. W.; Huijbregts, Mark A. J.; Olsen, Gro H.; Smit, Mathijs G. D.; Hendriks, A. Jan</t>
  </si>
  <si>
    <t>Sensitivity of Polar and Temperate Marine Organisms to Oil Components</t>
  </si>
  <si>
    <t>CRUDE-OIL; ENVIRONMENTAL-POLLUTANTS; PETROLEUM-HYDROCARBONS; ANTARCTIC ENVIRONMENT; CALANUS-FINMARCHICUS; AQUATIC ORGANISMS; PINK SALMON; TOXICITY; NAPHTHALENE; FISH</t>
  </si>
  <si>
    <t>Potential contamination of polar regions due to increasing oil exploitation and transportation poses risks to marine species. Risk assessments for polar marine species or ecosystems are mostly based on toxicity data obtained for temperate species. Yet, it is unclear whether toxicity data of temperate organisms are representative for polar species and ecosystems. The present study compared sensitivities of polar and temperate marine species to crude oil, 2-methylnaphthalene, and naphthalene. Species sensitivity distributions (SSDs) were constructed for polar and temperate species based on acute toxicity data from scientific literature, reports, and databases. Overall, there was a maximum factor of 3 difference in sensitivity to oil and oil components, based on the means of the toxicity data and the hazardous concentrations for 5 and 50% of the species (HC5 and HC50) as derived from the SSDs. Except for chordates and naphthalene, polar and temperate species sensitivities did not differ significantly. The results are interpreted in the light of physiological characteristics, such as metabolism, lipid fraction, lipid composition, antioxidant levels, and resistance to freezing, that have been suggested to influence the susceptibility of marine species to oil. As a consequence, acute toxicity data obtained for temperate organisms may serve to obtain a first indication of risks in polar regions.</t>
  </si>
  <si>
    <t>[de Hoop, Lisette; Schipper, Aafke M.; Leuven, Rob S. E. W.; Huijbregts, Mark A. J.; Hendriks, A. Jan] Radboud Univ Nijmegen, Inst Water &amp; Wetland Res, Dept Environm Sci, NL-6500 GL Nijmegen, Netherlands; [Olsen, Gro H.] Akvaplan Niva, High N Res Ctr Climate &amp; Environm, N-9296 Tromso, Norway; [Smit, Mathijs G. D.] Statoil ASA, N-7005 Trondheim, Norway</t>
  </si>
  <si>
    <t>Radboud University Nijmegen; Akvaplan-niva; Equinor</t>
  </si>
  <si>
    <t>de Hoop, L (corresponding author), Radboud Univ Nijmegen, Inst Water &amp; Wetland Res, Dept Environm Sci, POB 9010, NL-6500 GL Nijmegen, Netherlands.</t>
  </si>
  <si>
    <t>L.deHoop@science.ru.nl</t>
  </si>
  <si>
    <t>Huijbregts, Mark/ABF-3842-2021; Schipper, Aafke M/C-2758-2011; Hendriks, Aalbert Jan/C-6767-2013; Leuven, Rob/A-3303-2012</t>
  </si>
  <si>
    <t>Huijbregts, Mark/0000-0002-7037-680X; Leuven, Rob/0000-0001-5434-6005; Smit, Mathijs/0000-0002-3194-3277; Schipper, Aafke/0000-0002-5667-0893</t>
  </si>
  <si>
    <t>Statoil ASA</t>
  </si>
  <si>
    <t>We thank Dick de Zwart and Leo Posthuma for sharing their knowledge on SSDs. We also acknowledge the researchers who answered our questions and provided data. The research was financially supported by Statoil ASA.</t>
  </si>
  <si>
    <t>10.1021/es202296a</t>
  </si>
  <si>
    <t>831BU</t>
  </si>
  <si>
    <t>WOS:000295704500057</t>
  </si>
  <si>
    <t>Pearson, EJ; Juggins, S; Talbot, HM; Weckström, J; Rosén, P; Ryves, DB; Roberts, SJ; Schmidt, R</t>
  </si>
  <si>
    <t>Pearson, Emma J.; Juggins, Steve; Talbot, Helen M.; Weckstrom, Jan; Rosen, Peter; Ryves, David B.; Roberts, Stephen J.; Schmidt, Roland</t>
  </si>
  <si>
    <t>A lacustrine GDGT-temperature calibration from the Scandinavian Arctic to Antarctic: Renewed potential for the application of GDGT-paleothermometry in lakes</t>
  </si>
  <si>
    <t>CRENARCHAEOTAL MEMBRANE-LIPIDS; CHAIN ALKENONE DISTRIBUTIONS; ENVIRONMENTAL CONTROLS; WATER TEMPERATURES; TETRAETHER LIPIDS; SEDIMENTS; MARINE; PROXY; INDICATORS; METHANE</t>
  </si>
  <si>
    <t>Quantitative climate reconstructions are fundamental to understand long-term trends in natural climate variability and to test climate models used to predict future climate change. Recent advances in molecular geochemistry have led to calibrations using glycerol dialkyl glycerol tetraethers (GDGTs), a group of temperature-sensitive membrane lipids found in Archaea and bacteria. GDGTs have been used to construct temperature indices for oceans (TEX86 index) and soils (MBT/CBT index). The aim of this study is to examine GDGT-temperature relationships and assess the potential of constructing a GDGT-based palaeo-thermometer for lakes. We examine GDGT-temperature relationships using core top sediments from 90 lakes across a north-south transect from the Scandinavian Arctic to Antarctica including sites from Finland, Sweden, Siberia, the UK, Austria, Turkey, Ethiopia, Uganda, Chile, South Georgia and the Antarctic Peninsula. We examine a suite of 15 GDGTs, including compounds used in the TEX86 and MBT/CBT indices and reflecting the broad range of GDGT inputs to small lake systems. GDGTs are present in varying proportions in all lakes examined. The TEX86 index is not applicable to our sites because of the large relative proportions of soil derived and methanogenic components. Similarly, the MBT/CBT index is also not applicable and predicts temperatures considerably lower than those measured. We examine relationships between individual GDGT compounds and temperature, pH, conductivity and water depth. Temperature accounts for a large and statistically independent fraction of variation in branched GDGT composition. We propose a GDGT-temperature regression model with high accuracy and precision (R-2 = 0.88; RMSE = 2.0 degrees C; RMSEP = 2.1 degrees C) for use in lakes based on a subset of branched GDGT compounds and highlight the potential of this new method for reconstructing past temperatures using lake sediments. (C) 2011 Elsevier Ltd. All rights reserved.</t>
  </si>
  <si>
    <t>[Pearson, Emma J.; Juggins, Steve] Newcastle Univ, Sch Geog Polit &amp; Sociol, Newcastle Upon Tyne NE1 7RU, Tyne &amp; Wear, England; [Talbot, Helen M.] Newcastle Univ, Sch Civil Engn &amp; Geosci, Newcastle Upon Tyne NE1 7RU, Tyne &amp; Wear, England; [Weckstrom, Jan] Univ Helsinki, Dept Environm Sci, FIN-00014 Helsinki, Finland; [Rosen, Peter] Umea Univ, Dept Ecol &amp; Environm Sci, SE-90187 Umea, Sweden; [Ryves, David B.] Univ Loughborough, Dept Geog, Ctr Hydrol &amp; Ecosyst Sci, Loughborough LE11 3TU, Leics, England; [Roberts, Stephen J.] British Antarctic Survey, Cambridge CB3 0ET, England; [Schmidt, Roland] Austrian Acad Sci, Inst Limnol, A-5310 Mondsee, Austria</t>
  </si>
  <si>
    <t>Newcastle University - UK; Newcastle University - UK; University of Helsinki; Umea University; Loughborough University; UK Research &amp; Innovation (UKRI); Natural Environment Research Council (NERC); NERC British Antarctic Survey; Austrian Academy of Sciences</t>
  </si>
  <si>
    <t>Pearson, EJ (corresponding author), Newcastle Univ, Sch Geog Polit &amp; Sociol, Newcastle Upon Tyne NE1 7RU, Tyne &amp; Wear, England.</t>
  </si>
  <si>
    <t>emma.pearson@ncl.ac.uk</t>
  </si>
  <si>
    <t>Weckström, Jan/N-7665-2013; Juggins, Steve/D-1653-2010</t>
  </si>
  <si>
    <t>Weckström, Jan/0000-0001-5604-617X; Roberts, Stephen/0000-0003-3407-9127; Talbot, Helen Marie/0009-0001-7402-2830; Juggins, Steve/0000-0003-4466-424X</t>
  </si>
  <si>
    <t>Newcastle University Humanities and Social Sciences (HASS); British Antarctic Survey; HEFCE; Natural Environment Research Council [bas0100024, ceh010010] Funding Source: researchfish; NERC [bas0100024] Funding Source: UKRI</t>
  </si>
  <si>
    <t>Newcastle University Humanities and Social Sciences (HASS); British Antarctic Survey; HEFCE(UK Research &amp; Innovation (UKRI)Higher Education Funding Council for England (HEFCE)); Natural Environment Research Council(UK Research &amp; Innovation (UKRI)Natural Environment Research Council (NERC)); NERC(UK Research &amp; Innovation (UKRI)Natural Environment Research Council (NERC))</t>
  </si>
  <si>
    <t>This research was funded by a Newcastle University Humanities and Social Sciences (HASS) Faculty Research Fund (EJP), with LC-MS analyses of the Chile, South Georgia and Antarctic Peninsula samples funded by the British Antarctic Survey. Thanks go to Helen Bennion, Dominic Hodgson, Kerstin Huber, Viv Jones, Atte Korhola, Sanna Korkonen, Henry Lamb, Sally Little, Michael Marshall, Keely Mills, Neil Roberts, Angela Self and Kaarina Weckstrom for providing sediment samples used in this study. We also thank the Science Research Infrastructure Fund (SRIF) from HEFCE for funding purchase of the ThermoFinnigan LCQ ion-trap mass spectrometer and we thank Stefan Schouten and Ellen Hopmans for analytical advice during development of the LC-MS GDGT analytical methodology at Newcastle. We thank Joe Werne, Lorenz Schwark and two anonymous reviewers for suggesting improvements to the original manuscript.</t>
  </si>
  <si>
    <t>10.1016/j.gca.2011.07.042</t>
  </si>
  <si>
    <t>WOS:000295641600025</t>
  </si>
  <si>
    <t>Weiss, AI; King, J; Lachlan-Cope, T; Ladkin, R</t>
  </si>
  <si>
    <t>Weiss, Alexandra I.; King, John; Lachlan-Cope, Tom; Ladkin, Russ</t>
  </si>
  <si>
    <t>On the effective aerodynamic and scalar roughness length of Weddell Sea ice</t>
  </si>
  <si>
    <t>TURBULENT SURFACE FLUXES; INTERNAL BOUNDARY-LAYER; LIFT-INDUCED UPWASH; DRAG COEFFICIENTS; DISPLACEMENT HEIGHT; WATER-VAPOR; PARAMETERIZATION; AIRCRAFT; WIND; AIRBORNE</t>
  </si>
  <si>
    <t>We study the effective aerodynamic roughness length z(0_)eff and scalar roughness length for temperature z(T_)eff over different compact sea ice types in the Antarctic Weddell Sea by aircraft measurements during two austral summer seasons. z(0_)eff and z(T_)eff are highly variable in the Weddell Sea ice area. The averaged value of z ((T_eff)) over bar in all main sea ice areas was smaller than the averaged value of z ((0_eff)) over bar. The ratio between the two roughness lengths was relatively small for new/young sea ice with z ((0_eff)) over bar /z ((T_eff)) over bar approximate to 2, but the ratio became significantly large for the multiyear pack ice with z ((0_eff)) over bar /z ((T_eff)) over bar approximate to 227. For the pack ice area, with sea ice concentration ranging between 95% to 100%, we determined a medianz ((0_eff)) over bar = 4.1 x 10(-03) m and a median z ((T_eff)) over bar = 1.8 x 10(-05) m. In the new, young sea ice area, with sea ice concentration ranging between 98% and 100%, we observed a median z ((0_eff)) over bar = x 10(-04) m and a median z ((T_eff)) over bar = 2.2 x 10(-04) m. These values of z ((0_eff)) over bar and z ((T_eff)) over bar differ from published observations conducted in a pack ice and new, young sea ice area in the northern hemisphere, such as the Arctic. Most model parameterizations require the roughness lengths as constant values as boundary input parameters. Our study shows that by using the z ((0_eff)) over bar and z ((T_eff)) over bar values of this study, instead of commonly used sea ice roughness length values, the accuracy of parameterized heat and momentum fluxes in the Weddell Sea ice area can significantly be improved.</t>
  </si>
  <si>
    <t>[Weiss, Alexandra I.; King, John; Lachlan-Cope, Tom; Ladkin, Russ] British Antarctic Survey, Natl Environm Res Council, Cambridge CB3 0ET, England</t>
  </si>
  <si>
    <t>aiw@bas.ac.uk; jcki@bas.ac.uk; tlc@bas.ac.uk; rsla@bas.ac.uk</t>
  </si>
  <si>
    <t>OCT 14</t>
  </si>
  <si>
    <t>D19119</t>
  </si>
  <si>
    <t>10.1029/2011JD015949</t>
  </si>
  <si>
    <t>835DL</t>
  </si>
  <si>
    <t>WOS:000296014500003</t>
  </si>
  <si>
    <t>Yuan, XJ; Yonekura, E</t>
  </si>
  <si>
    <t>Yuan, Xiaojun; Yonekura, Emmi</t>
  </si>
  <si>
    <t>Decadal variability in the Southern Hemisphere</t>
  </si>
  <si>
    <t>SEA-SURFACE TEMPERATURE; IPCC AR4 MODELS; ANNULAR MODE; ATMOSPHERIC VARIABILITY; ANTARCTIC PRECIPITATION; CLIMATE VARIABILITY; OZONE DEPLETION; LEVEL PRESSURE; PART I; OCEAN</t>
  </si>
  <si>
    <t>This study reveals that a quasi-decadal variability exists in the climate system of southern high latitudes, particularly in the Southern Annular Mode (SAM) and subpolar to mid latitudes sea surface temperature (SST), based on in situ observations, reanalysis data, and the 20th Century runs of IPCC AR4 coupled climate models. Spectral analysis reveals that a statistically significant variability with periods of 8-16 years appears in the SAM indices based on about 50 years of reanalysis data and observed SST. Observations of air temperature and sea level pressure from weather stations confirm that the decadal variability is more evident in the midlatitudes than over Antarctica. Cross-spectral analysis indicates that the SAM index is related to the SST in the subpolar seas of Antarctica and SST gradient at mid-high latitudes at this decadal frequency band. The SAM indices from 20th century runs (longer than 100 years) of eighteen IPCC coupled climate models are also examined for the decadal variability. Sixteen out of the eighteen models exhibit decadal variability in SAM that is significant at least at the 90% of confidence level while eight are significant at the 95% confidence level. Seven models produce significant co-variability between SAM and subpolar SST at this quasi-decadal frequency.</t>
  </si>
  <si>
    <t>[Yuan, Xiaojun] Columbia Univ, Lamont Doherty Earth Observ, Palisades, NY 10964 USA; [Yonekura, Emmi] Columbia Univ, Dept Earth &amp; Environm Sci, Palisades, NY 10027 USA</t>
  </si>
  <si>
    <t>Yuan, XJ (corresponding author), Columbia Univ, Lamont Doherty Earth Observ, 61 Rt 9W, Palisades, NY 10964 USA.</t>
  </si>
  <si>
    <t>xyuan@ldeo.columbia.edu</t>
  </si>
  <si>
    <t>Yuan, Xiaojun/AAI-7770-2020</t>
  </si>
  <si>
    <t>Yuan, Xiaojun/0000-0002-6530-1619</t>
  </si>
  <si>
    <t>NSF [ANT 07-39509]; Climate Center and summer intern program at Lamont-Doherty Earth Observatory of Columbia University; Directorate For Geosciences; Office of Polar Programs (OPP) [0739509] Funding Source: National Science Foundation</t>
  </si>
  <si>
    <t>NSF(National Science Foundation (NSF)); Climate Center and summer intern program at Lamont-Doherty Earth Observatory of Columbia University; Directorate For Geosciences; Office of Polar Programs (OPP)(National Science Foundation (NSF)NSF - Directorate for Geosciences (GEO))</t>
  </si>
  <si>
    <t>This work is supported by NSF grant ANT 07-39509. E. Yonekura was supported by Climate Center and summer intern program at Lamont-Doherty Earth Observatory of Columbia University in 2006 when she started on this project. Authors appreciate Y. Kushnir's and D. G. Martinson's helpful discussions on spectral significance assessment and short time analysis. Authors appreciate the comments from anonymous reviewers, which help to improve the manuscript greatly. Lamont contribution 7480.</t>
  </si>
  <si>
    <t>OCT 13</t>
  </si>
  <si>
    <t>D19115</t>
  </si>
  <si>
    <t>10.1029/2011JD015673</t>
  </si>
  <si>
    <t>971AC</t>
  </si>
  <si>
    <t>WOS:000306172900001</t>
  </si>
  <si>
    <t>Ni, BB; Thorne, RM; Meredith, NP; Shprits, YY; Horne, RB</t>
  </si>
  <si>
    <t>Ni, Binbin; Thorne, Richard M.; Meredith, Nigel P.; Shprits, Yuri Y.; Horne, Richard B.</t>
  </si>
  <si>
    <t>Diffuse auroral scattering by whistler mode chorus waves: Dependence on wave normal angle distribution</t>
  </si>
  <si>
    <t>PITCH-ANGLE; ELECTRON DISTRIBUTIONS; MAGNETOSPHERIC CHORUS; OUTER MAGNETOSPHERE; GEOMAGNETIC STORMS; RADIATION BELTS; ION-CYCLOTRON; X-RAY; COEFFICIENTS; EMISSIONS</t>
  </si>
  <si>
    <t>Using the statistical CRRES measurements of the electric field intensities of lower band chorus (LBC) and upper band chorus (UBC) around L = 6 under geomagnetically moderate conditions, we evaluate the variations in modeled magnetic field spectral intensity and the resultant changes in resonant scattering rates of plasma sheet electrons caused by different choices of the wave normal distribution. UBC scattering rates inferred from electric field measurements show a common trend of decreasing scattering with increasing peak wave normal angle, theta(m), for the plasma sheet electrons at all resonant pitch angles. This trend is mainly due to the lower power of magnetic field as derived from the electric field measurements for oblique waves. The LBC resonant diffusion inferred from electric field measurements shows a considerable increase in scattering rates with increasing theta(m) for similar to 1 keV electrons at all resonant pitch angles and for 3-30 keV electrons over certain ranges of pitch angles, which is contrary to the decrease in wave magnetic field amplitude and results mainly from the decrease in resonant energy and redistribution of the majority of wave power at large wave normal angles for increased peak wave normal angle. LBC-induced scattering rates of 3-10 keV electrons decrease with increasing theta(m) at low pitch angles, consistent with the decrease in wave magnetic field amplitude when theta(m) increases. Our investigation demonstrates that the knowledge of the wave normal distribution of LBC and UBC is essential for an accurate quantification of the net resonant scattering rates and loss timescales of the plasma sheet electrons for an improved global simulation of diffuse auroral precipitation and the evolution of plasma sheet electron pitch angle distribution if only measurements of wave electric field intensity are available. In contrast, the diffuse auroral scattering rates calculated from magnetic field measurements are much less sensitive to the assumption on wave normal angle distribution. While UBC scattering with constant magnetic field power is roughly insensitive to the assumed wave normal distribution, LBC scattering with constant magnetic field power becomes more dependent on the assumed wave normal angle distribution, especially for similar to 1 keV electrons.</t>
  </si>
  <si>
    <t>[Ni, Binbin; Thorne, Richard M.; Shprits, Yuri Y.] Univ Calif Los Angeles, Dept Atmospher &amp; Ocean Sci, Los Angeles, CA 90095 USA; [Meredith, Nigel P.; Horne, Richard B.] British Antarctic Survey, Nat Environm Res Council, Cambridge CB3 0ET, England; [Shprits, Yuri Y.] Univ Calif Los Angeles, Inst Geophys &amp; Planetary Phys, Los Angeles, CA 90095 USA</t>
  </si>
  <si>
    <t>University of California System; University of California Los Angeles; UK Research &amp; Innovation (UKRI); Natural Environment Research Council (NERC); NERC British Antarctic Survey; University of California System; University of California Los Angeles</t>
  </si>
  <si>
    <t>Ni, BB (corresponding author), Univ Calif Los Angeles, Dept Atmospher &amp; Ocean Sci, Los Angeles, CA 90095 USA.</t>
  </si>
  <si>
    <t>bbni@atmos.ucla.edu</t>
  </si>
  <si>
    <t>Horne, Richard B/U-3764-2019; Shprits, Yuri Y/I-2174-2014; Ni, Binbin/I-5244-2013; Meredith, Nigel P/C-5806-2018</t>
  </si>
  <si>
    <t>Horne, Richard B/0000-0002-0412-6407; Meredith, Nigel/0000-0001-5032-3463; Shprits, Yuri/0000-0002-9625-0834</t>
  </si>
  <si>
    <t>NSF [ATM-0802843]; NASA [NNX09AF51G]; NERC [bas0100023] Funding Source: UKRI; NASA [118413, NNX09AF51G] Funding Source: Federal RePORTER; Natural Environment Research Council [bas0100023] Funding Source: researchfish</t>
  </si>
  <si>
    <t>NSF(National Science Foundation (NSF)); NASA(National Aeronautics &amp; Space Administration (NASA)); NERC(UK Research &amp; Innovation (UKRI)Natural Environment Research Council (NERC)); NASA(National Aeronautics &amp; Space Administration (NASA)); Natural Environment Research Council(UK Research &amp; Innovation (UKRI)Natural Environment Research Council (NERC))</t>
  </si>
  <si>
    <t>This research was supported by NSF grant ATM-0802843 and NASA grant NNX09AF51G.</t>
  </si>
  <si>
    <t>OCT 11</t>
  </si>
  <si>
    <t>A10207</t>
  </si>
  <si>
    <t>10.1029/2011JA016517</t>
  </si>
  <si>
    <t>834TD</t>
  </si>
  <si>
    <t>WOS:000295986100002</t>
  </si>
  <si>
    <t>Catry, P; Dias, MP; Phillips, RA; Granadeiro, JP</t>
  </si>
  <si>
    <t>Catry, Paulo; Dias, Maria P.; Phillips, Richard A.; Granadeiro, Jose P.</t>
  </si>
  <si>
    <t>Different Means to the Same End: Long-Distance Migrant Seabirds from Two Colonies Differ in Behaviour, Despite Common Wintering Grounds</t>
  </si>
  <si>
    <t>SHEARWATER CALONECTRIS-DIOMEDEA; CORYS SHEARWATER; PELAGIC SEABIRD; MIGRATION; ALBATROSSES; ISOTOPES; TRACKING; ECOLOGY; SUMMER; OCEAN</t>
  </si>
  <si>
    <t>Although seabirds that are trans-equatorial migrants show apparently broad overlap among populations in the non-breeding season, such large-scale pattern may conceal subtle but nevertheless key differences in migratory behaviour. These specializations could reflect adaptation to different environments during the breeding season, carry-over effects from the breeding to the nonbreeding period, or asymmetries in competitive ability of birds of different origin. We compared the migratory and wintering behaviour of Cory's shearwaters Calonectris diomedea nesting in Berlengas and in the Selvagens, two colonies in contrasting oceanographic environments, separated by ca. 1200 km. Although no differences were found in winter distribution, there was a marked divergence in timing, route and the use of staging areas during the postbreeding (autumn) migration. Birds from Berlengas typically travelled to oceanic waters in the North Atlantic for an extended stopover, whereas those from Selvagens rarely did so. In the South Atlantic, birds from Selvagens spent more time in flight, perhaps because they had higher energy and nutrient requirements for feather replacement compared to birds from Berlengas, which moult more flight feathers during breeding. Stable isotope analyses of feathers suggested that this variation in activity patterns was unrelated to trophic ecology. Differences in migration routes and stopovers may expose populations to distinct threats, and should be taken into consideration when defining units for conservation purposes and developing appropriate management strategies.</t>
  </si>
  <si>
    <t>[Catry, Paulo; Dias, Maria P.] ISPA, Ecoethol Res Unit, Lisbon, Portugal; [Phillips, Richard A.] British Antarctic Survey, Nat Environm Res Council, Cambridge CB3 0ET, England; [Granadeiro, Jose P.] Univ Lisbon, CESAM, Museu Nacl Hist Nat, P-1699 Lisbon, Portugal</t>
  </si>
  <si>
    <t>Instituto Superior Psicologia Aplicada (ISPA); UK Research &amp; Innovation (UKRI); Natural Environment Research Council (NERC); NERC British Antarctic Survey; Universidade de Lisboa</t>
  </si>
  <si>
    <t>Catry, P (corresponding author), ISPA, Ecoethol Res Unit, Lisbon, Portugal.</t>
  </si>
  <si>
    <t>paulo.catry@gmail.com</t>
  </si>
  <si>
    <t>Fundacao para a Ciencia e a Tecnologia [PTDC/MAR/71927/2006, UID 331/94]; FCT [BPD/46827/08]; Fundação para a Ciência e a Tecnologia [PTDC/MAR/71927/2006] Funding Source: FCT; NERC [bas0100025] Funding Source: UKRI; Natural Environment Research Council [bas0100025] Funding Source: researchfish</t>
  </si>
  <si>
    <t>Fundacao para a Ciencia e a Tecnologia(Fundacao para a Ciencia e a Tecnologia (FCT)); FCT(Fundacao para a Ciencia e a Tecnologia (FCT)); Fundação para a Ciência e a Tecnologia(Fundacao para a Ciencia e a Tecnologia (FCT)); NERC(UK Research &amp; Innovation (UKRI)Natural Environment Research Council (NERC)); Natural Environment Research Council(UK Research &amp; Innovation (UKRI)Natural Environment Research Council (NERC))</t>
  </si>
  <si>
    <t>This study was financed by Fundacao para a Ciencia e a Tecnologia (www.fct.mctes.pt, Portugal) through Project PTDC/MAR/71927/2006 and as part of the Programa Plurianual (UI&amp;D 331/94). MD benefited from a fellowship from FCT (BPD/46827/08). The funders had no role in study design, data collection and analysis, decision to publish, or preparation of the manuscript.</t>
  </si>
  <si>
    <t>e26079</t>
  </si>
  <si>
    <t>10.1371/journal.pone.0026079</t>
  </si>
  <si>
    <t>834OZ</t>
  </si>
  <si>
    <t>Green Published, Green Accepted, gold, Green Submitted</t>
  </si>
  <si>
    <t>WOS:000295973200031</t>
  </si>
  <si>
    <t>Teschke, M; Wendt, S; Kawaguchi, S; Kramer, A; Meyer, B</t>
  </si>
  <si>
    <t>Teschke, Mathias; Wendt, Sabrina; Kawaguchi, So; Kramer, Achim; Meyer, Bettina</t>
  </si>
  <si>
    <t>A Circadian Clock in Antarctic Krill: An Endogenous Timing System Governs Metabolic Output Rhythms in the Euphausid Species Euphausia superba</t>
  </si>
  <si>
    <t>CRUSTACEAN HYPERGLYCEMIC HORMONE; FUNCTIONAL-ANALYSIS; NOCTURNAL RODENTS; LIGHT; ENTRAINMENT; PACEMAKERS; ZEITGEBER; EYESTALK; RANGE; CRY</t>
  </si>
  <si>
    <t>Antarctic krill, Euphausia superba, shapes the structure of the Southern Ocean ecosystem. Its central position in the food web, the ongoing environmental changes due to climatic warming, and increasing commercial interest on this species emphasize the urgency of understanding the adaptability of krill to its environment. Krill has evolved rhythmic physiological and behavioral functions which are synchronized with the daily and seasonal cycles of the complex Southern Ocean ecosystem. The mechanisms, however, leading to these rhythms are essentially unknown. Here, we show that krill possesses an endogenous circadian clock that governs metabolic and physiological output rhythms. We found that expression of the canonical clock gene cry2 was highly rhythmic both in a light-dark cycle and in constant darkness. We detected a remarkable short circadian period, which we interpret as a special feature of the krill's circadian clock that helps to entrain the circadian system to the extreme range of photoperiods krill is exposed to throughout the year. Furthermore, we found that important key metabolic enzymes of krill showed bimodal circadian oscillations (similar to 9-12 h period) in transcript abundance and enzymatic activity. Oxygen consumption of krill showed similar to 9-12 h oscillations that correlated with the temporal activity profile of key enzymes of aerobic energy metabolism. Our results demonstrate the first report of an endogenous circadian timing system in Antarctic krill and its likely link to metabolic key processes. Krill's circadian clock may not only be critical for synchronization to the solar day but also for the control of seasonal events. This study provides a powerful basis for the investigation into the mechanisms of temporal synchronization in this marine key species and will also lead to the first comprehensive analyses of the circadian clock of a polar marine organism through the entire photoperiodic cycle.</t>
  </si>
  <si>
    <t>[Teschke, Mathias; Wendt, Sabrina; Kramer, Achim] Charite, Lab Chronobiol, D-13353 Berlin, Germany; [Kawaguchi, So] Australian Antarctic Div, Dept Environm &amp; Heritage, Kingston, Tas, Australia; [Kawaguchi, So] Antarctic Climate &amp; Ecosyst Cooperat Res Ctr, Hobart, Tas, Australia; [Meyer, Bettina] Alfred Wegener Inst Polar &amp; Marine Res, Sci Div Polar Biol Oceanog, D-2850 Bremerhaven, Germany</t>
  </si>
  <si>
    <t>Free University of Berlin; Humboldt University of Berlin; Charite Universitatsmedizin Berlin; Australian Antarctic Division; Antarctic Climate &amp; Ecosystems Cooperative Research Centre (ACE CRC); Helmholtz Association; Alfred Wegener Institute, Helmholtz Centre for Polar &amp; Marine Research</t>
  </si>
  <si>
    <t>Teschke, M (corresponding author), Charite, Lab Chronobiol, D-13353 Berlin, Germany.</t>
  </si>
  <si>
    <t>mathias.teschke@charite.de; achim.kramer@charite.de</t>
  </si>
  <si>
    <t>Meyer, Bettina/ABB-5311-2020; Kawaguchi, So/N-1795-2017</t>
  </si>
  <si>
    <t>Meyer, Bettina/0000-0001-6804-9896; Kramer, Achim/0000-0001-9671-6078; Kawaguchi, So/0000-0002-2042-5095</t>
  </si>
  <si>
    <t>German Ministry of Education and Research (BMBF) [03F0400A]; German Research Foundation (DFG) [TE 618/3-1]; EU</t>
  </si>
  <si>
    <t>German Ministry of Education and Research (BMBF)(Federal Ministry of Education &amp; Research (BMBF)); German Research Foundation (DFG)(German Research Foundation (DFG)); EU(European Union (EU))</t>
  </si>
  <si>
    <t>This work was supported by the German Ministry of Education and Research (BMBF) through project Lazarev Sea Krill Study (LAKRIS, 03F0400A). MT was supported by funding of the German Research Foundation (DFG) through project Photoperiodic Time Measurement in Antarctic krill (TE 618/3-1). Research in A.K.'s laboratory is supported by the 6 th EU framework programme EUCLOCK. The funders had no role in study design, data collection and analysis, decision to publish, or preparation of the manuscript.</t>
  </si>
  <si>
    <t>OCT 7</t>
  </si>
  <si>
    <t>e26090</t>
  </si>
  <si>
    <t>10.1371/journal.pone.0026090</t>
  </si>
  <si>
    <t>834OC</t>
  </si>
  <si>
    <t>Green Submitted, Green Published, Green Accepted, gold</t>
  </si>
  <si>
    <t>WOS:000295970300058</t>
  </si>
  <si>
    <t>Vieira, FA; Gregório, SF; Ferraresso, S; Thorne, MAS; Costa, R; Milan, M; Bargelloni, L; Clark, MS; Canario, AVM; Power, DM</t>
  </si>
  <si>
    <t>Vieira, Florbela A.; Gregorio, Silvia F.; Ferraresso, Serena; Thorne, Michael A. S.; Costa, Rita; Milan, Massimo; Bargelloni, Luca; Clark, Melody S.; Canario, Adelino V. M.; Power, Deborah M.</t>
  </si>
  <si>
    <t>Skin healing and scale regeneration in fed and unfed sea bream, Sparus auratus</t>
  </si>
  <si>
    <t>BMC GENOMICS</t>
  </si>
  <si>
    <t>ZEBRAFISH DANIO-RERIO; HORMONE-RELATED PROTEIN; INNATE IMMUNE-RESPONSE; FRESH-WATER TELEOST; SALMON SALMO-SALAR; RAINBOW-TROUT; CARASSIUS-AURATUS; ATLANTIC SALMON; GENE-EXPRESSION; HEMICHROMIS-BIMACULATUS</t>
  </si>
  <si>
    <t>Background: Fish scales are an important reservoir of calcium and phosphorus and together with the skin function as an integrated barrier against environmental changes and external aggressors. Histological studies have revealed that the skin and scales regenerate rapidly in fish when they are lost or damaged. In the present manuscript the histological and molecular changes underlying skin and scale regeneration in fed and fasted sea bream (Sparus auratus) were studied using a microarray 3 and 7 days after scale removal to provide a comprehensive molecular understanding of the early stages of these processes. Results: Histological analysis of skin/scales revealed 3 days after scale removal re-epithelisation and formation of the scale pocket had occurred and 53 and 109 genes showed significant up or down-regulation, respectively. Genes significantly up-regulated were involved in cell cycle regulation, cell proliferation and adhesion, immune response and antioxidant activities. 7 days after scale removal a thin regenerated scale was visible and only minor changes in gene expression occurred. In animals that were fasted to deplete mineral availability the expression profiles centred on maintaining energy homeostasis. The utilisation of fasting as a treatment emphasised the competing whole animal physiological requirements with regard to barrier repair, infection control and energy homeostasis. Conclusions: The identification of numerous genes involved in the mitotic checkpoint and cell proliferation indicate that the experimental procedure may be useful for understanding cell proliferation and control in vertebrates within the context of the whole animal physiology. In response to skin damage genes of immune surveillance were up-regulated along with others involved in tissue regeneration required to rapidly re-establish barrier function. Additionally, candidate fish genes were identified that may be involved in cytoskeletal remodelling, mineralization and stem cells, which are of potential use in aquaculture and fish husbandry, as they may impact on the ability of the fish to produce structural proteins, such as muscle, efficiently.</t>
  </si>
  <si>
    <t>[Vieira, Florbela A.; Gregorio, Silvia F.; Costa, Rita; Canario, Adelino V. M.; Power, Deborah M.] Univ Algarve, Comparat &amp; Mol Endocrinol Grp, Ctr Marine Sci CCMAR, P-8005139 Faro, Portugal; [Ferraresso, Serena; Milan, Massimo; Bargelloni, Luca] Univ Padua, Dipartimento Sanita Pubbl Patol Comparata &amp; Igien, I-35020 Legnaro, Italy; [Thorne, Michael A. S.; Clark, Melody S.] British Antarctic Survey, Nat Environm Res Council, Cambridge CB3 0ET, England</t>
  </si>
  <si>
    <t>Universidade do Algarve; University of Padua; UK Research &amp; Innovation (UKRI); Natural Environment Research Council (NERC); NERC British Antarctic Survey</t>
  </si>
  <si>
    <t>Vieira, FA (corresponding author), Univ Algarve, Comparat &amp; Mol Endocrinol Grp, Ctr Marine Sci CCMAR, Campus Gambelas, P-8005139 Faro, Portugal.</t>
  </si>
  <si>
    <t>fvieira@ualg.pt</t>
  </si>
  <si>
    <t>Canario, Adelino/C-7942-2009; Costa, Rita/HZL-6584-2023; Power, Deborah M/D-3333-2011; MILAN, MASSIMO/ABE-6936-2021; Milan, Massimo/H-7428-2019; Costa, Rita/O-9136-2018; Clark, Melody/D-7371-2014; Gregorio, Silvia/G-1618-2018</t>
  </si>
  <si>
    <t>Canario, Adelino/0000-0002-6244-6468; Power, Deborah M/0000-0003-1366-0246; Milan, Massimo/0000-0003-0246-9008; Ferraresso, Serena/0000-0001-5928-9361; Costa, Rita/0000-0002-6975-7576; Clark, Melody/0000-0002-3442-3824; Thorne, Michael/0000-0001-7759-612X; Gregorio, Silvia/0000-0002-6648-5122</t>
  </si>
  <si>
    <t>FINEFISH [COLL-012451]; Portuguese Science and Technology Foundation (FCT) [BD/17630/2004]; AQUAGENOME [SSP8-044481]; Natural Environment Research Council [bas0100025] Funding Source: researchfish; NERC [bas0100025] Funding Source: UKRI</t>
  </si>
  <si>
    <t>FINEFISH; Portuguese Science and Technology Foundation (FCT)(Fundacao para a Ciencia e a Tecnologia (FCT)); AQUAGENOME; Natural Environment Research Council(UK Research &amp; Innovation (UKRI)Natural Environment Research Council (NERC)); NERC(UK Research &amp; Innovation (UKRI)Natural Environment Research Council (NERC))</t>
  </si>
  <si>
    <t>The authors acknowledge B. Louro and P. Pinto, for the help with the IPA software and qPCR technique, respectively. The work was funded by FINEFISH (COLL-012451) a European funded FP6 Project and Pluriannual funding to CCMAR from the Portuguese Science and Technology Foundation (FCT). FV was in receipt of a PhD fellowship from FCT (BD/17630/2004) and SG benefited from a mobility grant from AQUAGENOME (SSP8-044481) a European specific support action. MSC and MAST performed this work within the remit of the Adaptations and Physiology Workpackage of the Ecosystems Programme at the British Antarctic Survey.</t>
  </si>
  <si>
    <t>BIOMED CENTRAL LTD</t>
  </si>
  <si>
    <t>236 GRAYS INN RD, FLOOR 6, LONDON WC1X 8HL, ENGLAND</t>
  </si>
  <si>
    <t>1471-2164</t>
  </si>
  <si>
    <t>BMC Genomics</t>
  </si>
  <si>
    <t>10.1186/1471-2164-12-490</t>
  </si>
  <si>
    <t>Biotechnology &amp; Applied Microbiology; Genetics &amp; Heredity</t>
  </si>
  <si>
    <t>838ZN</t>
  </si>
  <si>
    <t>Green Published, gold, Green Accepted</t>
  </si>
  <si>
    <t>WOS:000296333500002</t>
  </si>
  <si>
    <t>Vaughan, DG; Barnes, DKA; Fretwell, PT; Bingham, RG</t>
  </si>
  <si>
    <t>Vaughan, David G.; Barnes, David K. A.; Fretwell, Peter T.; Bingham, Robert G.</t>
  </si>
  <si>
    <t>Potential seaways across West Antarctica</t>
  </si>
  <si>
    <t>climate change; ice sheets; oceans</t>
  </si>
  <si>
    <t>ICE-SHEET; MASS-BALANCE; SEA-LEVEL; COLLAPSE; BIODIVERSITY; STREAMS; MARINE; RADAR; WATER; MODEL</t>
  </si>
  <si>
    <t>The West Antarctic ice sheet (WAIS) has long been considered vulnerable to rapid retreat and today parts are rapidly losing ice. Projection of future change in WAIS is, however, hampered by our poor understanding of past changes, especially during interglacial periods that could be analogs for the future, but which undoubtedly provide an opportunity for testing predictive models. We consider how ice-loss would open seaways across WAIS; these would likely alter Southern Ocean circulation and climate, and would broadly define the de-glacial state, but they may also have left evidence of their existence in the coastal seas they once connected. We show the most likely routes for such seaways, and that a direct seaway between Weddell and Ross seas, which did not pass through the Amundsen Sea sector, is unlikely. Continued ice-loss at present rates would open seaways between Amundsen and Weddell seas (A-W), and Amundsen and Bellingshausen seas (A-B), in around one thousand years. This timescale indicates potential future vulnerability, but also suggests seaways may have opened in recent interglacial periods. We attempt to test this hypothesis using contemporary bryozoan species assemblages around Antarctica, concluding that anomalously high similarity in assemblages in the Weddell and Amundsen seas supports recent migration through A-W. Other authors have suggested opening of seaways last occurred during Marine Isotope Stage 7a (209 ka BP), but we conclude that opening could have occurred in MIS 5e (100 ka BP) when Antarctica was warmer than present and likely contributed to global sea levels higher than today.</t>
  </si>
  <si>
    <t>[Vaughan, David G.; Barnes, David K. A.; Fretwell, Peter T.] British Antarctic Survey, Nat Environm Res Council, Cambridge CB3 0ET, England; [Bingham, Robert G.] Univ Aberdeen, Sch Geosci, Aberdeen AB24 3UF, Scotland</t>
  </si>
  <si>
    <t>Vaughan, DG (corresponding author), British Antarctic Survey, Nat Environm Res Council, Madingley Rd, Cambridge CB3 0ET, England.</t>
  </si>
  <si>
    <t>d.vaughan@bas.ac.uk</t>
  </si>
  <si>
    <t>Vaughan, David/C-8348-2011; Bingham, Robert G/G-3576-2017</t>
  </si>
  <si>
    <t>Bingham, Robert G/0000-0002-0630-2021; Vaughan, David/0000-0002-9065-0570</t>
  </si>
  <si>
    <t>Natural Environment Research Council; EU [226375]; NERC [bas0100027] Funding Source: UKRI; Natural Environment Research Council [bas0100027] Funding Source: researchfish</t>
  </si>
  <si>
    <t>Natural Environment Research Council(UK Research &amp; Innovation (UKRI)Natural Environment Research Council (NERC)); EU(European Union (EU)); NERC(UK Research &amp; Innovation (UKRI)Natural Environment Research Council (NERC)); Natural Environment Research Council(UK Research &amp; Innovation (UKRI)Natural Environment Research Council (NERC))</t>
  </si>
  <si>
    <t>We thank colleagues at British Antarctic Survey; in particular, C-D Hillenbrand, HJ Griffiths, RD Larter, EW Wolff and L Sime for constructive advice. This study was funded by the Natural Environment Research Council and the EU FP7 program ice2sea (grant 226375, publication 021), and is part of the British Antarctic Survey program, Polar Science for Planet Earth.</t>
  </si>
  <si>
    <t>Q10004</t>
  </si>
  <si>
    <t>10.1029/2011GC003688</t>
  </si>
  <si>
    <t>832RY</t>
  </si>
  <si>
    <t>WOS:000295825800004</t>
  </si>
  <si>
    <t>Stockwell, RG; Taylor, MJ; Nielsen, K; Jarvis, MJ</t>
  </si>
  <si>
    <t>Stockwell, R. G.; Taylor, M. J.; Nielsen, K.; Jarvis, M. J.</t>
  </si>
  <si>
    <t>The evolution of a breaking mesospheric bore wave packet</t>
  </si>
  <si>
    <t>AIRGLOW EMISSIONS; LIDAR OBSERVATION; SODIUM DENSITIES; UNDULAR BORE; OH NIGHTGLOW; EVENT; SIGNATURES; SIMULATION; REGION</t>
  </si>
  <si>
    <t>All-sky CCD observations of mesospheric gravity waves have been made from Halley Station Antarctica (75.5 degrees S, 26.7 degrees W) as part of a collaborative research program between British Antarctic Survey, U. K. and Utah State University, USA. A mesospheric bore event was observed in the nightglow emissions over a period of several hours on the 27th of May, 2001. Two dimensional S-Transform (ST) analysis is applied to the airglow images of this bore event. This local spectral technique allows one to calculate the wave parameters as a function of time and space. It is observed that the horizontal phase speed and wavelength decrease over time as the amplitude attenuates. Simultaneously with this wave event the background wind experiences a large acceleration in the direction of the wave propagation. Mesospheric bore theory calculations are used to estimate the bore duct depth and it is shown that as the wave packet evolves, the bore duct collapses (decreasing in its vertical extent). As the bore duct shrinks, the wave's group velocity decelerates, the amplitude attenuates, and the wave dissipates.</t>
  </si>
  <si>
    <t>[Stockwell, R. G.] Colorado Res Associates, Boulder, CO 80301 USA; [Taylor, M. J.; Nielsen, K.] Utah State Univ, Ctr Atmospher &amp; Space Sci, Logan, UT 84322 USA; [Taylor, M. J.; Nielsen, K.] Utah State Univ, Dept Phys, Logan, UT 84322 USA; [Jarvis, M. J.] British Antarctic Survey, Cambridge CB3 0ET, England</t>
  </si>
  <si>
    <t>Utah System of Higher Education; Utah State University; Utah System of Higher Education; Utah State University; UK Research &amp; Innovation (UKRI); Natural Environment Research Council (NERC); NERC British Antarctic Survey</t>
  </si>
  <si>
    <t>Stockwell, RG (corresponding author), Colorado Res Associates, 3381 Mitchell Ln, Boulder, CO 80301 USA.</t>
  </si>
  <si>
    <t>stockwell@co-ra.com</t>
  </si>
  <si>
    <t>National Science Foundation [ATM-0350680]; Natural Environment Research Council [bas0100023] Funding Source: researchfish; NERC [bas0100023]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</si>
  <si>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</si>
  <si>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This research was supported by National Science Foundation Grant ATM-0350680.</t>
  </si>
  <si>
    <t>OCT 4</t>
  </si>
  <si>
    <t>D19102</t>
  </si>
  <si>
    <t>10.1029/2010JD015321</t>
  </si>
  <si>
    <t>833FS</t>
  </si>
  <si>
    <t>WOS:000295868400001</t>
  </si>
  <si>
    <t>McIntyre, T; Postma, M; van der Merwe, DS; Wege, M; Bester, MN</t>
  </si>
  <si>
    <t>McIntyre, T.; Postma, M.; van der Merwe, D. S.; Wege, M.; Bester, M. N.</t>
  </si>
  <si>
    <t>Hitchhiking goose barnacles and their potential implications on the functioning of animal-borne instruments</t>
  </si>
  <si>
    <t>SOUTH AFRICAN JOURNAL OF WILDLIFE RESEARCH</t>
  </si>
  <si>
    <t>goose barnacle; animal-borne instruments; Lepas australis; Subantarctic fur seal</t>
  </si>
  <si>
    <t>ANTARCTIC FUR SEALS; ARCTOCEPHALUS-TROPICALIS; ELEPHANT SEALS; DATA LOGGERS; ISLAND; ECOLOGY</t>
  </si>
  <si>
    <t>Goose barnacles (Lepas australis) were found attached to satellite-tracking and time-depth recording (TDR) instruments carried by two lactating Subantarctic fur seals (Arctocephalus tropicalis) from Marion Island. We report on the movements of these seals, both of which crossed the Subantarctic Front. Barnacles surrounding the temperature probe of one TDR device did not appear to directly influence temperature recordings, although disturbances to recording accuracies by other high-precision devices carrying goose barnacles are considered likely.</t>
  </si>
  <si>
    <t>[McIntyre, T.; Postma, M.; van der Merwe, D. S.; Wege, M.; Bester, M. N.] Univ Pretoria, Dept Zool &amp; Entomol, Mammal Res Inst, ZA-0028 Hatfield, South Africa</t>
  </si>
  <si>
    <t>University of Pretoria</t>
  </si>
  <si>
    <t>McIntyre, T (corresponding author), Univ Pretoria, Dept Zool &amp; Entomol, Mammal Res Inst, Private Bag X20, ZA-0028 Hatfield, South Africa.</t>
  </si>
  <si>
    <t>tmcintyre@zoology.up.ac.za</t>
  </si>
  <si>
    <t>Wege, Mia/B-1103-2016; Bester, Marthán N/E-5387-2010; McIntyre, Trevor/E-6846-2010</t>
  </si>
  <si>
    <t>Wege, Mia/0000-0002-9022-3069; McIntyre, Trevor/0000-0001-8395-7550</t>
  </si>
  <si>
    <t>South African Department of Science and Technology</t>
  </si>
  <si>
    <t>We are thankful for assistance in the field with deployments of devices by Nico de Bruyn, Ryan Reisinger and Thomas Mufanadzo. We gratefully acknowledge Susana Clusella-Trullas and Katelyn Faulkner from the Centre for Invasion Biology at Stellenbosch University for use of their laboratory facilities on Marion Island. Ryan Reisinger, Nico de Bruyn and Mike Perrin provided useful input into an earlier version of this manuscript. We thank the South African Department of Environmental Affairs and Tourism for providing logistical support within the South African National Antarctic Programme and the Department of Science and Technology (administered through the National Research Foundation) for funding the marine mammal monitoring programme at Marion Island.</t>
  </si>
  <si>
    <t>SOUTHERN AFRICAN WILDLIFE MANAGEMENT ASSOC</t>
  </si>
  <si>
    <t>BLOUBERGSTRAND</t>
  </si>
  <si>
    <t>P O BOX 217, BLOUBERGSTRAND 7437, SOUTH AFRICA</t>
  </si>
  <si>
    <t>0379-4369</t>
  </si>
  <si>
    <t>S AFR J WILDL RES</t>
  </si>
  <si>
    <t>South Afr. J. Wildl. Res.</t>
  </si>
  <si>
    <t>OCT</t>
  </si>
  <si>
    <t>10.3957/056.041.0210</t>
  </si>
  <si>
    <t>Ecology; Zoology</t>
  </si>
  <si>
    <t>Environmental Sciences &amp; Ecology; Zoology</t>
  </si>
  <si>
    <t>905KD</t>
  </si>
  <si>
    <t>WOS:000301270200010</t>
  </si>
  <si>
    <t>Morelli, S</t>
  </si>
  <si>
    <t>Morelli, Sandra</t>
  </si>
  <si>
    <t>A modeling study of an Antarctica polynya event</t>
  </si>
  <si>
    <t>TERRA-NOVA BAY; MESOSCALE ETA-MODEL; KATABATIC WINDS; ROSS SEA; ATMOSPHERIC RESPONSE; NATIONAL CENTERS; PARAMETERIZATION; SIMULATION; COAST; SIZE</t>
  </si>
  <si>
    <t>An event of polynya at Terra Nova Bay (TNB), occurring from 15 July to 17 July 2006, is simulated by a recent version of the mesoscale Eta model. Simulation results and observational data describe the surface conditions during the period. The spatial and temporal structure of the atmospheric boundary layer in response to the warm area of the polynya is also investigated. Numerical experiments show that the latter influences significantly the wind intensity, the temperature and the specific humidity of the air over Terra Nova Bay. The significant heating of the low atmosphere results in a three-dimensional anomaly in the baric field, which extends far in the Ross Sea, embedded in the complex pressure field obtained by the Eta model also without taking into account the polynya. A turbulent kinetic energy plume, indicating turbulent mixing, and an increased vertical diffusion of horizontal momentum are also simulated over the polynya. The downward flux of high momentum air and the modified pressure gradient force change the wind speed at low level over TNB.</t>
  </si>
  <si>
    <t>Univ Modena &amp; Reggio Emilia, Dipartimento Fis, I-41125 Modena, Italy</t>
  </si>
  <si>
    <t>Morelli, S (corresponding author), Univ Modena &amp; Reggio Emilia, Dipartimento Fis, Via Campi 213-A, I-41125 Modena, Italy.</t>
  </si>
  <si>
    <t>sandra.morelli@unimore.it</t>
  </si>
  <si>
    <t>MORELLI, Sandra/M-2144-2016</t>
  </si>
  <si>
    <t>MORELLI, Sandra/0000-0002-3678-5992</t>
  </si>
  <si>
    <t>NSF [ANT-0944018]; P.N.R.A.; Italian National Programme for Antarctic Research</t>
  </si>
  <si>
    <t>NSF(National Science Foundation (NSF)); P.N.R.A.; Italian National Programme for Antarctic Research</t>
  </si>
  <si>
    <t>A special thanks to Prof. Fedor Mesinger for the greatly appreciated suggestions and to have made available the version sloping steps of the model Eta and several other routines. The author thanks the two anonymous reviewers whose useful comments have enabled improvements to the manuscript. The author is grateful to: the Automatic Weather Station Program at the Antarctic Meteorological Research Center, Space Science and Engineering Center, University of Wisconsin-Madison (Matthew Lazzara, NSF grant number ANT-0944018) (http://uwamrc.ssec.wisc.edu/) for providing AWS observations; the European Centre for Medium Range Weather Forecasts (ECMWF) for providing analyses data; the Programma Nazionale di Ricerche in Antartide (P.N.R.A.), Osservatorio Meteo-Climatologico (http://www.climantartide.it) for providing AWS observations. This study was supported by P.N.R.A., the Italian National Programme for Antarctic Research, under the Projects: Turbulent fluxes at the surface in katabatic wind events on the Nansen Ice Sheet in Terra Nova Bay area and The Terra Nova Bay polynya: its integrate and innovative study using in situ observations, remote sensing, numerical and laboratory experiments.</t>
  </si>
  <si>
    <t>10.1007/s00703-011-0157-5</t>
  </si>
  <si>
    <t>887TD</t>
  </si>
  <si>
    <t>WOS:000299951800005</t>
  </si>
  <si>
    <t>Rathod, V</t>
  </si>
  <si>
    <t>Rathod, Vijayakumar</t>
  </si>
  <si>
    <t>Phytoplankton species composition, abundance and distribution in Fishing area 58 of Indian Ocean sector of Southern Ocean</t>
  </si>
  <si>
    <t>Phytoplankton; Southern Ocean; Polar Front; Sub Antarctic</t>
  </si>
  <si>
    <t>PLANKTON DIATOMS; WEDDELL SEA; SUMMER; ZONES; BAY</t>
  </si>
  <si>
    <t>Phytoplankton species composition, abundance and standing stocks investigations were carried out during the First Indian Antarctic Krill Expedition (FIKEX). Nitrate, phosphate and silicate were available in sufficiently higher concentrations at Polar Front zone. Nitrate and silicate, exhibited a marked boundaries between high values in the Sub Antarctic region. Diatom dominated the phytoplankton in the study region and their numbers generally increases southward with peaks of abundance in Sub Antarctic waters. Dinoflagellates, flagellates and monads occur in highest concentration north of the Polar Front zone. Various diatom assemblages are characteristics of different latitudinal zones. Vicinity of the Polar Front was found to be rich in Nitzschia, Pseudonitzschia group of species. South of Polar Front Nitzschia.nana (Cells of both N. cylindrus and N. pseudonana) and Dactyliosolen tenuijunctus dominate. Diatoms viz. Fragilariopsis kerguelensis and Thalassionema nitzschioides; were reported earlier and present studies. Present study laso reveals that the diatom Pseudonitzschia spp. were numerous in numbers.</t>
  </si>
  <si>
    <t>Natl Inst Oceanog, CSIR, Panaji 403004, Goa, India</t>
  </si>
  <si>
    <t>Rathod, V (corresponding author), Natl Inst Oceanog, CSIR, Panaji 403004, Goa, India.</t>
  </si>
  <si>
    <t>rathod@nio.org</t>
  </si>
  <si>
    <t>868LW</t>
  </si>
  <si>
    <t>WOS:000298525800011</t>
  </si>
  <si>
    <t>Koshlyakov, MN; Tarakanov, RY</t>
  </si>
  <si>
    <t>Koshlyakov, M. N.; Tarakanov, R. Yu.</t>
  </si>
  <si>
    <t>Water Transport across the Subantarctic Front and the Global Ocean Conveyer Belt</t>
  </si>
  <si>
    <t>OCEANOLOGY</t>
  </si>
  <si>
    <t>SOUTHERN-OCEAN; INTERIOR CIRCULATION; PACIFIC OCEANS; ATLANTIC; MODEL; INTERMEDIATE; THERMOCLINE; PATHWAYS; DEEP</t>
  </si>
  <si>
    <t>The water transport across the Subantarctic Front involving the Ekman transport, eddy transfer, and transport by the abyssal geostrophic currents is estimated on the basis of different experimental data. This transport accounts for 14 Sv northwards in the upper ocean layer (thermocline) and the same quantity southwards in the lower layer (abyss). This quantity is equal to the magnitude of the water downwelling from the thermocline to the abyssal in the North Atlantic and North-European Basin, which is realized in the field of the Global Ocean Conveyor Belt. This result agrees with the conception according to which the oppositely directed motion of the water from the abyssal into the thermocline takes place in the Antarctic.</t>
  </si>
  <si>
    <t>[Koshlyakov, M. N.; Tarakanov, R. Yu.] Russian Acad Sci, PP Shirshov Oceanol Inst, Moscow, Russia</t>
  </si>
  <si>
    <t>Russian Academy of Sciences; Shirshov Institute of Oceanology</t>
  </si>
  <si>
    <t>Koshlyakov, MN (corresponding author), Russian Acad Sci, PP Shirshov Oceanol Inst, Moscow, Russia.</t>
  </si>
  <si>
    <t>mkoshl@ocean.ru</t>
  </si>
  <si>
    <t>Tarakanov, Roman/R-3325-2016</t>
  </si>
  <si>
    <t>Tarakanov, Roman/0000-0002-8711-1859</t>
  </si>
  <si>
    <t>Russian Foundation for Basic Research [09-05-00242a]</t>
  </si>
  <si>
    <t>This work was supported by the Russian Foundation for Basic Research, project no. 09-05-00242a.</t>
  </si>
  <si>
    <t>0001-4370</t>
  </si>
  <si>
    <t>1531-8508</t>
  </si>
  <si>
    <t>OCEANOLOGY+</t>
  </si>
  <si>
    <t>Oceanology</t>
  </si>
  <si>
    <t>10.1134/S0001437011050110</t>
  </si>
  <si>
    <t>868YZ</t>
  </si>
  <si>
    <t>WOS:000298563800001</t>
  </si>
  <si>
    <t>Antipov, NN; Batrak, KV; Maslennikov, VV</t>
  </si>
  <si>
    <t>Antipov, N. N.; Batrak, K. V.; Maslennikov, V. V.</t>
  </si>
  <si>
    <t>Hydrological and Hydrochemical Studies during the 55th Russian Antarctic Expedition Onboard the Research Vessel Akademik Fedorov (December 9, 2009 to February 16, 2010)</t>
  </si>
  <si>
    <t>[Antipov, N. N.] Arctic &amp; Antarctic Res Inst, St Petersburg 199226, Russia; [Batrak, K. V.; Maslennikov, V. V.] Russian Fed Res Inst Fisheries &amp; Oceanog VNIRO, Moscow, Russia</t>
  </si>
  <si>
    <t>Arctic &amp; Antarctic Research Institute; Research lnstitute of Fisheries &amp; Oceanography</t>
  </si>
  <si>
    <t>Antipov, NN (corresponding author), Arctic &amp; Antarctic Res Inst, St Petersburg 199226, Russia.</t>
  </si>
  <si>
    <t>marecol@vniro.ru</t>
  </si>
  <si>
    <t>10.1134/S000143701105002X</t>
  </si>
  <si>
    <t>WOS:000298563800020</t>
  </si>
  <si>
    <t>Nesterov, ES; Abuzyarov, ZK; Grigor'eva, GA; Davidan, IN; Dymov, VI; Pasechnik, TA</t>
  </si>
  <si>
    <t>Nesterov, E. S.; Abuzyarov, Z. K.; Grigor'eva, G. A.; Davidan, I. N.; Dymov, V. I.; Pasechnik, T. A.</t>
  </si>
  <si>
    <t>Estimating the Computation Accuracy of Mixed Waves in the Ocean on the Basis of Present-Day Numerical Models</t>
  </si>
  <si>
    <t>RUSSIAN METEOROLOGY AND HYDROLOGY</t>
  </si>
  <si>
    <t>An estimate of the computation accuracy of wind waves is obtained on the basis of three mathematical models used for the diagnosis and forecast of wind waves at the Hydrometcenter of Russia, US National Weather Service, and European Centre for Medium-Range Weather Forecasts. The accuracy estimation was carried out for the whole year 2006 by means of the comparison of model computations based on different wind fields with hourly instrumental observations of waves at 16 buoys in the North Atlantic. The computation accuracy was estimated on the basis of six statistical characteristics. Besides, the estimates for various wave height ranges for months and seasons of the year are made for all buoys and grouped into three geographical areas: the coasts of the United States, Canada, and Great Britain. The essential differences are revealed in the accuracy of model-based computation of waves in the areas of the ocean with different wind wave regimes, in different seasons of the year, and within various wave height ranges. The obtained results indicate the necessity to improve the present-day methods of diagnosis and forecast of wind waves.</t>
  </si>
  <si>
    <t>[Nesterov, E. S.; Abuzyarov, Z. K.] Hydrometeorol Res Ctr Russian Federat, Moscow 123242, Russia; [Grigor'eva, G. A.; Davidan, I. N.] Zubov State Oceanog Inst, St Petersburg Div, St Petersburg 199026, Russia; [Dymov, V. I.; Pasechnik, T. A.] Arctic &amp; Antarctic Res Inst, St Petersburg 199397, Russia</t>
  </si>
  <si>
    <t>Russian Academy of Sciences; St. Petersburg Scientific Centre of the Russian Academy of Sciences; Zubov State Oceanographic Institute; Arctic &amp; Antarctic Research Institute</t>
  </si>
  <si>
    <t>Nesterov, ES (corresponding author), Hydrometeorol Res Ctr Russian Federat, Bolshoi Predtechenskii 11-13, Moscow 123242, Russia.</t>
  </si>
  <si>
    <t>Russian Foundation for Basic Research [08-05-13524-ofi_ts]</t>
  </si>
  <si>
    <t>The study was supported by the Russian Foundation for Basic Research (grant 08-05-13524-ofi_ts).</t>
  </si>
  <si>
    <t>ALLERTON PRESS INC</t>
  </si>
  <si>
    <t>18 WEST 27TH ST, NEW YORK, NY 10001 USA</t>
  </si>
  <si>
    <t>1068-3739</t>
  </si>
  <si>
    <t>RUSS METEOROL HYDRO+</t>
  </si>
  <si>
    <t>Russ. Meteorol. Hydrol.</t>
  </si>
  <si>
    <t>10.3103/S1068373911100049</t>
  </si>
  <si>
    <t>866OC</t>
  </si>
  <si>
    <t>WOS:000298389500004</t>
  </si>
  <si>
    <t>Tyshko, KP; Kharitonov, VV</t>
  </si>
  <si>
    <t>Tyshko, K. P.; Kharitonov, V. V.</t>
  </si>
  <si>
    <t>Some Features of One-Year Ice Hummock Formation at Multiple Ice Field Motions</t>
  </si>
  <si>
    <t>Some features of external and internal structures of one-year hummocks formed as a result of multiple interaction of ice fields in various time intervals are considered. Using the concrete results of field researches of ice hummocks as examples, both the main differences in their structure as compared with the single hummocks and common features arisen under certain hydrometeorological and ice conditions are demonstrated.</t>
  </si>
  <si>
    <t>[Tyshko, K. P.; Kharitonov, V. V.] Arctic &amp; Antarctic Res Inst, St Petersburg 199397, Russia</t>
  </si>
  <si>
    <t>Tyshko, KP (corresponding author), Arctic &amp; Antarctic Res Inst, Ul Beringa 38, St Petersburg 199397, Russia.</t>
  </si>
  <si>
    <t>Kharitonov, Victor/0000-0003-1847-9980</t>
  </si>
  <si>
    <t>10.3103/S1068373911100050</t>
  </si>
  <si>
    <t>WOS:000298389500005</t>
  </si>
  <si>
    <t>Ryder, TB; Fox, JW; Marra, PP</t>
  </si>
  <si>
    <t>Ryder, Thomas B.; Fox, James W.; Marra, Peter P.</t>
  </si>
  <si>
    <t>ESTIMATING MIGRATORY CONNECTIVITY OF GRAY CATBIRDS (DUMETELLA CAROLINENSIS) USING GEOLOCATOR AND MARK-RECAPTURE DATA (vol 128, pg 448, 2011)</t>
  </si>
  <si>
    <t>AUK</t>
  </si>
  <si>
    <t>[Ryder, Thomas B.; Marra, Peter P.] Smithsonian Conservat Biol Inst, Migratory Bird Ctr, Natl Zool Pk, Washington, DC 20008 USA; [Fox, James W.] British Antarctic Survey, Nat Environm Res Council, Cambridge CB3 0ET, England</t>
  </si>
  <si>
    <t>Smithsonian Institution; Smithsonian National Zoological Park &amp; Conservation Biology Institute; UK Research &amp; Innovation (UKRI); Natural Environment Research Council (NERC); NERC British Antarctic Survey</t>
  </si>
  <si>
    <t>Ryder, TB (corresponding author), Smithsonian Conservat Biol Inst, Migratory Bird Ctr, Natl Zool Pk, POB 37012-MRC5503, Washington, DC 20008 USA.</t>
  </si>
  <si>
    <t>rydert@si.edu</t>
  </si>
  <si>
    <t>Ryder, Thomas/G-1868-2010</t>
  </si>
  <si>
    <t>Ryder, Thomas/0000-0002-5517-6607; Fox, James W./0000-0002-3107-696X</t>
  </si>
  <si>
    <t>AMER ORNITHOLOGISTS UNION</t>
  </si>
  <si>
    <t>ORNITHOLOGICAL SOC NORTH AMER PO BOX 1897, LAWRENCE, KS 66044-8897 USA</t>
  </si>
  <si>
    <t>0004-8038</t>
  </si>
  <si>
    <t>10.1525/auk.2011.128.4.810</t>
  </si>
  <si>
    <t>859JM</t>
  </si>
  <si>
    <t>WOS:000297872700026</t>
  </si>
  <si>
    <t>Cipro, CVZ; Yogui, GT; Bustamante, P; Taniguchi, S; Sericano, JL; Montone, RC</t>
  </si>
  <si>
    <t>Cipro, Caio V. Z.; Yogui, Gilvan Takeshi; Bustamante, Paco; Taniguchi, Satie; Sericano, Jose L.; Montone, Rosalinda Carmela</t>
  </si>
  <si>
    <t>Organic pollutants and their correlation with stable isotopes in vegetation from King George Island, Antarctica</t>
  </si>
  <si>
    <t>CHEMOSPHERE</t>
  </si>
  <si>
    <t>Antarctica; Lichens; Mosses; PBDEs; POPs; Stable isotopes</t>
  </si>
  <si>
    <t>ETHER FLAME RETARDANTS; POLYBROMINATED DIPHENYL ETHERS; CARBON-ISOTOPE; POLYCHLORINATED-BIPHENYLS; SHETLAND ISLANDS; SOUTH SHETLAND; NITROGEN; MOSSES; LICHENS; TERRESTRIAL</t>
  </si>
  <si>
    <t>Vegetation samples from King George Island, Antarctica (62 degrees 05'S, 058 degrees 23'W) were collected in the austral summer of 2004-2005. Lichens (Usnea aurantiaco-atra and Usnea antarctica), mosses (Sanionia uncinata, Syntrichia princeps and Brachytecium sp.), and one angiosperm (Colobanthus quitensis) species were analyzed for persistent organic pollutants as well as delta C-13 and delta N-15 stable isotopes. The following contaminants were found above the method detection limit (MDL): HCB (0.141-1.06 ng g(-1) dry weight), HCHs (</t>
  </si>
  <si>
    <t>[Cipro, Caio V. Z.; Taniguchi, Satie; Montone, Rosalinda Carmela] Univ Sao Paulo, Inst Oceanog, BR-05508900 Sao Paulo, Brazil; [Yogui, Gilvan Takeshi] Univ Fed Pernambuco, Ctr Tecnol &amp; Geociencias, Dept Oceanog, BR-50740550 Recife, PE, Brazil; [Bustamante, Paco] Univ La Rochelle, CNRS, UMR 6250, Littoral Environm &amp; Soc LIENSs, F-17042 La Rochelle 01, France; [Sericano, Jose L.] Texas A&amp;M Univ, Coll Geosci, Geochem &amp; Environm Res Grp, College Stn, TX 77845 USA</t>
  </si>
  <si>
    <t>Universidade de Sao Paulo; Universidade Federal de Pernambuco; Centre National de la Recherche Scientifique (CNRS); La Rochelle Universite; Texas A&amp;M University System; Texas A&amp;M University College Station</t>
  </si>
  <si>
    <t>Cipro, CVZ (corresponding author), Univ Sao Paulo, Inst Oceanog, Praca Oceanog 191, BR-05508900 Sao Paulo, Brazil.</t>
  </si>
  <si>
    <t>caiovzc@usp.br</t>
  </si>
  <si>
    <t>Montone, Rosalinda C/J-9110-2012; Bustamante, Paco/G-5833-2011; Taniguchi, Satie/D-2552-2013; Yogui, Gilvan/C-5021-2009; Zecchin Cipro, Caio Vinicius/C-6338-2014</t>
  </si>
  <si>
    <t>Bustamante, Paco/0000-0003-3877-9390; Taniguchi, Satie/0000-0002-6825-6390; Yogui, Gilvan/0000-0002-4720-3337; Zecchin Cipro, Caio Vinicius/0000-0002-7028-6353</t>
  </si>
  <si>
    <t>Ministry of the Environment (MMA) [55.0348/2002-6]; Conselho Nacional de Desenvolvimento Cientifico e Tecnologico (CNPq); FAPESP; CAPES</t>
  </si>
  <si>
    <t>Ministry of the Environment (MMA); Conselho Nacional de Desenvolvimento Cientifico e Tecnologico (CNPq)(Conselho Nacional de Desenvolvimento Cientifico e Tecnologico (CNPQ)); FAPESP(Fundacao de Amparo a Pesquisa do Estado de Sao Paulo (FAPESP)); CAPES(Coordenacao de Aperfeicoamento de Pessoal de Nivel Superior (CAPES))</t>
  </si>
  <si>
    <t>Collection of samples was part of the project Environmental Management of Admiralty Bay, King George Island, Antarctica: Persistent organic pollutants and sewage (Contract No. 55.0348/2002-6), funded by the Brazilian Antarctic Program (PROANTAR), Ministry of the Environment (MMA) and Conselho Nacional de Desenvolvimento Cientifico e Tecnologico (CNPq). Antarctic logistics was provided by Secretaria da Comissao Interministerial para os Recursos do Mar (SECIRM). C.V.Z. Cipro was funded by FAPESP and CAPES. G.T. Yogui was funded by CAPES. Mr. Filipe Victoria and Mr. Adriano Spielmann deserve credit for the identification of plant species. Authors wish to thank P. Richard and G. Guillou (UMR LIENSs) for technical support during stable isotope measurements.</t>
  </si>
  <si>
    <t>0045-6535</t>
  </si>
  <si>
    <t>1879-1298</t>
  </si>
  <si>
    <t>Chemosphere</t>
  </si>
  <si>
    <t>10.1016/j.chemosphere.2011.07.047</t>
  </si>
  <si>
    <t>856RU</t>
  </si>
  <si>
    <t>WOS:000297661900015</t>
  </si>
  <si>
    <t>Swanger, KM; Marchant, DR; Schaefer, JM; Winckler, G; Head, JW</t>
  </si>
  <si>
    <t>Swanger, Kate M.; Marchant, David R.; Schaefer, Joerg M.; Winckler, Gisela; Head, James W., III</t>
  </si>
  <si>
    <t>Elevated East Antarctic outlet glaciers during warmer-than-present climates in southern Victoria Land</t>
  </si>
  <si>
    <t>McMurdo Dry Valleys; Taylor Dome; Taylor Glacier; cosmogenic; Pliocene; Pleistocene</t>
  </si>
  <si>
    <t>SURFACE EXPOSURE AGES; DRY-VALLEYS; ICE-SHEET; COSMOGENIC HE-3; BEACON VALLEY; SIRIUS GROUP; ROSS EMBAYMENT; TAYLOR GLACIER; RATES; HISTORY</t>
  </si>
  <si>
    <t>We document Plio-Pleistocene changes in the level of Taylor Glacier, an outlet glacier in southern Victoria Land that drains Taylor Dome on the periphery of the East Antarctic Ice Sheet (EAIS). Chronologic control comes from He-3 cosmogenic-nuclide analyses of 27 boulders sampled from drifts and moraines in Kennar Valley, a small hanging valley that opens onto a peripheral lobe of Taylor Glacier in the Quartermain Mountains. Assuming a constant boulder-erosion rate of 10 cm Myr(-1), our preferred age model spans the last 3.1 Myr and calls for stepped ice recession from a local highstand similar to 200 m above the present base of Taylor Glacier at the mouth of Kennar Valley. The texture and sedimentology of all mapped moraines and drifts indicate deposition from cold-based ice, analogous with the modem Taylor Glacier at the mouth of Kennar Valley. The Kennar Valley glacial record shows an uncharacteristic relationship with average global temperatures, exhibiting higher-than-present ice levels during globally warm periods, including the Pliocene climatic optimum (similar to 3.1 Ma) and Marine Oxygen Isotope Stage (MIS) 31 (similar to 1.07 Ma). The Kennar Valley record also suggests that the rate of ice-surface lowering accelerated after the mid-Pleistocene transition at similar to 0.9 Ma. Correlation of our moraine record with published reports for fluctuations of Taylor Glacier elsewhere in the Quartermain Mountains, and with a dated moraine record from Ferrar Glacier (a second outlet for Taylor Dome), reveals similar ice-surface changes, highlighting minor, but widespread ice recession in southern Victoria Land since the mid- to late-Pliocene. Our record for minimal variability in the East Antarctic Ice Sheet contrasts with recent data from nearby marine cores that call for dynamic fluctuations in the volume of grounded ice in the Ross Embayment, and significant reduction of the West Antarctic Ice Sheet (WAIS) during warmer-than-present intervals. Taken together, these records from the Ross Embayment call for considerable variation in the response of marine-based West Antarctic ice and terrestrial East Antarctic outlet glaciers during Plio-Pleistocene time. (C) 2011 Elsevier B.V. All rights reserved.</t>
  </si>
  <si>
    <t>[Swanger, Kate M.; Marchant, David R.] Boston Univ, Dept Earth Sci, Boston, MA 02215 USA; [Schaefer, Joerg M.; Winckler, Gisela] Lamont Doherty Earth Observ, Palisades, NY 10964 USA; [Head, James W., III] Brown Univ, Dept Geol Sci, Providence, RI 02912 USA</t>
  </si>
  <si>
    <t>Boston University; Columbia University; Brown University</t>
  </si>
  <si>
    <t>Swanger, KM (corresponding author), Univ Massachusetts, Dept Environm Earth &amp; Atmospher Sci, Lowell, MA 01854 USA.</t>
  </si>
  <si>
    <t>Kate_Swanger@uml.edu</t>
  </si>
  <si>
    <t>NSF [ANT-1043706, ANT-0944702, ANT-1043724]; Division Of Polar Programs; Directorate For Geosciences [1043724] Funding Source: National Science Foundation; Division Of Polar Programs; Directorate For Geosciences [1043706] Funding Source: National Science Foundation; Office of Polar Programs (OPP); Directorate For Geosciences [1043589] Funding Source: National Science Foundation</t>
  </si>
  <si>
    <t>NSF(National Science Foundation (NSF)); Division Of Polar Programs; Directorate For Geosciences(National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</si>
  <si>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We thank Douglas Kowalewski and David Shean for excellent assistance in the field and for insight regarding GPS data. We also thank two anonymous reviewers whose comments helped improve this manuscript greatly. Funding for this research was provided by NSF Polar Programs Grants ANT-1043706 and ANT-0944702 to DRM and ANT-1043724 to KMS.</t>
  </si>
  <si>
    <t>OCT-NOV</t>
  </si>
  <si>
    <t>10.1016/j.gloplacha.2011.07.012</t>
  </si>
  <si>
    <t>853LU</t>
  </si>
  <si>
    <t>WOS:000297428600006</t>
  </si>
  <si>
    <t>Savijärvi, H</t>
  </si>
  <si>
    <t>Savijarvi, Hannu</t>
  </si>
  <si>
    <t>Antarctic local wind dynamics and polynya effects on the Adelie Land coast</t>
  </si>
  <si>
    <t>QUARTERLY JOURNAL OF THE ROYAL METEOROLOGICAL SOCIETY</t>
  </si>
  <si>
    <t>Antarctic; katabatic wind; anabatic wind; land breeze; sea breeze</t>
  </si>
  <si>
    <t>WAVE OPTICAL-PROPERTIES; KATABATIC FLOW; BOUNDARY-LAYER; COATS LAND; SEA-ICE; SOUTHERN-OCEAN; WATER CLOUDS; REGIME; SIMULATIONS; MODEL</t>
  </si>
  <si>
    <t>Mesoscale winds on the sloping coast of Adelie Land in East Antarctica were studied via idealized clear-sky integrations with a two-dimensional model. The calm-case (V(g) = 0) wintertime surface winds were steady katabatic southeasterlies. They were enhanced to a strong downslope low-level jet (LLJ) during a southerly geostrophic flow but damped during a moderate westerly 'counter-katabatic' flow. A strong westerly flow could overwhelm the katabatic component while a northerly V(g) induced strong coastal easterlies with an easterly LLJ. On-slope flow without the katabatic forcing generated a barrier effect. An ice-free wintertime zone (a coastal polynya) increased the coastal 2 m winds by about 50% (and drag on the ice floes, by 125%) through the induced extra land breeze circulation and unstable stratification. The midsummer morning coastal winds were also katabatic in the morning as the slopes cooled rapidly after midnight. In a prevailing flow these behaved much as in wintertime but were strong only at 0400-0700 hours local time. By 0800-0900 hours local time the snowy slopes were melting in sunshine. With V(g) = 0 this induced weak anabatic winds up the slope. At the coast a midday 'sea breeze'-like circulation was present, insensitive however to the sea state (frozen vs. open) or the coast state (snowy vs. black rock) of the model. These anabatic winds were quite weak and hence easily overwhelmed by any larger-scale flow, surviving only during a weak westerly flow. The typically easterly V(g) along the East Antarctica coast induced katabatic-like surface winds throughout the day, as is commonly observed, despite the midday solar heating. Copyright (C) 2011 Royal Meteorological Society</t>
  </si>
  <si>
    <t>Univ Helsinki, Div Atmospher Sci, Dept Phys, FIN-00014 Helsinki, Finland</t>
  </si>
  <si>
    <t>University of Helsinki</t>
  </si>
  <si>
    <t>Savijärvi, H (corresponding author), Univ Helsinki, Div Atmospher Sci, Dept Phys, POB 64, FIN-00014 Helsinki, Finland.</t>
  </si>
  <si>
    <t>hannu.savijarvi@helsinki.fi</t>
  </si>
  <si>
    <t>Finnish Academy [128799]</t>
  </si>
  <si>
    <t>Finnish Academy(Research Council of Finland)</t>
  </si>
  <si>
    <t>Support by the Finnish Academy (contract 128799) is acknowledged. The computations were made in the CSC IT Center for Science, Espoo. The insightful and constructive comments of the anonymous reviewers contributed to many improvements.</t>
  </si>
  <si>
    <t>0035-9009</t>
  </si>
  <si>
    <t>Q J ROY METEOR SOC</t>
  </si>
  <si>
    <t>Q. J. R. Meteorol. Soc.</t>
  </si>
  <si>
    <t>A</t>
  </si>
  <si>
    <t>10.1002/qj.874</t>
  </si>
  <si>
    <t>854SC</t>
  </si>
  <si>
    <t>WOS:000297513500013</t>
  </si>
  <si>
    <t>Southwell, DM; Einoder, LD; Emmerson, LM; Southwell, CJ</t>
  </si>
  <si>
    <t>Southwell, D. M.; Einoder, L. D.; Emmerson, L. M.; Southwell, C. J.</t>
  </si>
  <si>
    <t>Using the double-observer method to estimate detection probability of two cavity-nesting seabirds in Antarctica: the snow petrel (Pagodroma nivea) and the Wilson's storm petrel (Oceanites oceanicus)</t>
  </si>
  <si>
    <t>Seabirds; Snow petrel; Wilson's storm petrel; Detection probability; Cavity-nesting; Antarctica</t>
  </si>
  <si>
    <t>WHITE-CHINNED PETRELS; HABITAT SELECTION; WINDMILL ISLANDS; EAST ANTARCTICA; POPULATION-SIZE; ABUNDANCE; BIRD; CLIMATE; TRENDS; SEAL</t>
  </si>
  <si>
    <t>When estimating the size of seabird populations, count data may be biased due to various factors such as detection probability. Failing to account for detection probability in surveys may lead to an underestimate of population size and may compromise the ability to monitor trends if detection probability varies among surveys. Here, we use the double-observer method to estimate detection probability of cavity-nesting snow petrels (Pagodroma nivea) and Wilson's storm petrels (Oceanites oceanicus) in East Antarctica. Estimates of single-visit detection probability of nesting/roosting adult snow petrels during the incubation stage of the breeding cycle ranged from 0.86 (SE = 0.04) to 0.87 (SE = 0.04) depending upon observers. Both observers found snow petrel chicks were easier to detect than adults, with estimated detection probability for chicks ranging from 0.92 (SE = 0.03) to 1.00 (SE = 0.34 x 10(-5)). Detection probability of adult and chick snow petrels increased as cavity volume increased. Compared to snow petrels, estimated detection probability was considerably lower for nesting/roosting Wilson's storm petrels, ranging from 0.27 (SE = 0.09) to 0.50 (SE = 0.13) for each observer. These estimates of detection probability apply only to those individuals in the population that were potentially viewable or audible. Nevertheless, our results indicate that double-observer counts for ground surveys of cavity-nesting seabirds should improve estimates of population abundance in comparison with single-visit counts. Accounting for observer eVects, habitat characteristics and stage of the breeding season on detection probability should also improve estimation of population trends.</t>
  </si>
  <si>
    <t>[Southwell, D. M.; Einoder, L. D.; Emmerson, L. M.; Southwell, C. J.] Australian Antarctic Div, Dept Sustainabil Environm Water Populat &amp; Commun, Kingston, Tas 7050, Australia</t>
  </si>
  <si>
    <t>Southwell, DM (corresponding author), Australian Antarctic Div, Dept Sustainabil Environm Water Populat &amp; Commun, Channel Highway, Kingston, Tas 7050, Australia.</t>
  </si>
  <si>
    <t>darren_southwell@hotmail.com</t>
  </si>
  <si>
    <t>Einoder, Luke/0000-0002-9122-7053</t>
  </si>
  <si>
    <t>Australian Antarctic Division ASAC [2722]</t>
  </si>
  <si>
    <t>Australian Antarctic Division ASAC</t>
  </si>
  <si>
    <t>We are grateful to N. Morgan, I. Petty, T. Clarke, and many unnamed Mawson personnel for their participation and logistical support during surveys. This project was supported by the Australian Antarctic Division ASAC project #2722 and was carried out with approval from the Australian Antarctic Division's Antarctic Animal Ethics Committee.</t>
  </si>
  <si>
    <t>10.1007/s00300-011-1004-3</t>
  </si>
  <si>
    <t>850NR</t>
  </si>
  <si>
    <t>WOS:000297202300005</t>
  </si>
  <si>
    <t>Hinke, JT; Trivelpiece, WZ</t>
  </si>
  <si>
    <t>Hinke, Jefferson T.; Trivelpiece, Wayne Z.</t>
  </si>
  <si>
    <t>Daily activity and minimum food requirements during winter for gentoo penguins (Pygoscelis papua) in the South Shetland Islands, Antarctica</t>
  </si>
  <si>
    <t>Pygoscelis; Winter consumption; Archival tag; Seasonality; Antarctica; Euphausia superba</t>
  </si>
  <si>
    <t>KING-GEORGE-ISLAND; FUR SEALS; EUDYPTES-CHRYSOLOPHUS; CHINSTRAP PENGUINS; TEMPORAL VARIATION; POPULATION-CHANGES; FORAGING ECOLOGY; MARINE PREDATORS; ADELIE PENGUINS; DIVING PATTERN</t>
  </si>
  <si>
    <t>Estimates of daily activity and consequent demand for food during winter are scarce for many polar seabirds, yet essential for assessing constraints on foraging effort, demand for food, and potential competition with local fisheries. We affixed archival temperature tags to gentoo penguins (Pygoscelis papua) from two colonies in the South Shetland Islands to measure the frequency, timing, and duration of foraging trips and to estimate minimum food requirements during winter. Foraging trip frequencies ranged from 0.85 to 1.0 trips day(-1) and were positively correlated with day length. Early winter foraging trips more closely matched day length than late winter foraging trips. The data suggest that individuals maximize foraging time during the early winter period, likely to recover body mass following the breeding season and molt. The more attenuated response of foraging trip durations to increasing day length in late winter may be related to differences in local resource availability or individual behaviors prior to the upcoming breeding season. Minimum food requirements also exhibited a seasonal cycle with a mid-winter minimum. On average, minimum food requirements were estimated at 0.70 +/- 0.12 kg day(-1). Extrapolated to the regional population of gentoo penguins, winter food requirements by gentoo penguins were equivalent to roughly 33% of annual krill catches by commercial fisheries in the South Shetland Island region over the past decade. Current expansion of the gentoo population and the krill fishery in the southern Scotia Sea warrants continued monitoring of gentoo penguins during winter.</t>
  </si>
  <si>
    <t>[Hinke, Jefferson T.; Trivelpiece, Wayne Z.] Natl Ocean &amp; Atmospher Adm, Antarctic Ecosyst Res Div, SW Fisheries Sci Ctr, Natl Marine Fisheries Serv, La Jolla, CA 92037 USA; [Hinke, Jefferson T.] Univ Calif San Diego, Scripps Inst Oceanog, La Jolla, CA 92903 USA</t>
  </si>
  <si>
    <t>National Oceanic Atmospheric Admin (NOAA) - USA; University of California System; University of California San Diego; Scripps Institution of Oceanography</t>
  </si>
  <si>
    <t>Hinke, JT (corresponding author), Natl Ocean &amp; Atmospher Adm, Antarctic Ecosyst Res Div, SW Fisheries Sci Ctr, Natl Marine Fisheries Serv, 3333 N Torrey Pines Court, La Jolla, CA 92037 USA.</t>
  </si>
  <si>
    <t>Jefferson.Hinke@noaa.gov</t>
  </si>
  <si>
    <t>, Jefferson/AAG-1702-2021</t>
  </si>
  <si>
    <t>, Jefferson/0000-0002-3600-1414</t>
  </si>
  <si>
    <t>US Antarctic Marine Living Resources program; Pew Charitable Trusts; National Science Foundation [1016936]</t>
  </si>
  <si>
    <t>US Antarctic Marine Living Resources program; Pew Charitable Trusts; National Science Foundation(National Science Foundation (NSF))</t>
  </si>
  <si>
    <t>Many thanks to S. Trivelpiece, D. Loomis, M. Polito, S. Agius, S. Rogers, R. Orben, A. Miller, and E. Leung for help with tag deployment and recovery. Solar data were provided by the US Naval Observatory. Comments by G. Kooyman, J. Graham, G. Watters, J. Barlow, J. Greene, and 3 anonymous reviewers improved earlier versions of this manuscript. We gratefully acknowledge financial support from the US Antarctic Marine Living Resources program, the Lenfest Oceans Program at the Pew Charitable Trusts, and the National Science Foundation (grant #1016936 to WZT). This research was conducted in accordance with national and international guidelines concerning the use of animals in research under permits from the National Science Foundation to WZT. Use of brand name does not imply endorsement by the National Marine Fisheries Service.</t>
  </si>
  <si>
    <t>10.1007/s00300-011-1018-x</t>
  </si>
  <si>
    <t>WOS:000297202300015</t>
  </si>
  <si>
    <t>Renault, D</t>
  </si>
  <si>
    <t>Renault, D.</t>
  </si>
  <si>
    <t>Sea water transport and submersion tolerance as dispersal strategies for the invasive ground beetle Merizodus soledadinus (Carabidae)</t>
  </si>
  <si>
    <t>Biological invasion; Insect; Flotation; Survival; Kerguelen Islands</t>
  </si>
  <si>
    <t>SURVIVAL; POPULATIONS; COLEOPTERA; INSECTS; IMPACTS</t>
  </si>
  <si>
    <t>The alien ground beetle Merizodus soledadinus was introduced to the sub-Antarctic Kerguelen Islands in 1913. It colonized several small islands and islets of this archipelago, without any apparent human assistance in some locations, and crossed several large rivers and alluvial plains. As aggregations of this species on the tidal drift line are common at the Kerguelen Islands, the present work examined whether adult individuals of M. soledadinus could disperse by flotation on the sea. Different sample sizes of ground beetles (from 1 to 10) were placed on sea water at 8 degrees C in plastic vials. Survival (50% lethal times) significantly increased from 2.1 +/- 0.2 days for single beetles to 6.5 +/- 0.3 days for groups of 10 beetles per vial, with there being no difference in the survival duration for groups of 2, 5, and 10 beetles per vial. Similar survival durations were found for beetles in vials with artificially agitated water and controls. In addition, the duration of survival was twice as high under freshwater versus sea water conditions, when groups of 10 adults were used. Finally, the survival to total submersion in freshwater was evaluated, and ranged from 3 to 4 days. This ability to survive extended periods both floating on and/or submerged beneath salt and freshwater conditions, indicates the presence of a successful dispersal mechanism, which may facilitate the dispersal range of M. soledadinus across the Kerguelen Islands, comprising over 300 islands and islets in total.</t>
  </si>
  <si>
    <t>[Renault, D.] Univ Rennes 1, UMR CNRS Ecobio 6553, F-35042 Rennes, France; [Renault, D.] Univ Rennes 1, Stn Biol Paimpont, UMR CNRS Ecobio 6553, F-35380 Paimpont, France</t>
  </si>
  <si>
    <t>Centre National de la Recherche Scientifique (CNRS); Universite de Rennes; Universite de Rennes</t>
  </si>
  <si>
    <t>Renault, D (corresponding author), Univ Rennes 1, UMR CNRS Ecobio 6553, 263 Ave Gal Leclerc, F-35042 Rennes, France.</t>
  </si>
  <si>
    <t>david.renault@univ-rennes1.fr</t>
  </si>
  <si>
    <t>RENAULT, David/0000-0003-3644-1759</t>
  </si>
  <si>
    <t>Institut Polaire Francais [IPEV 136]; Agence Nationale de la Recherche [ANR-07-VULN-004]</t>
  </si>
  <si>
    <t>Institut Polaire Francais; Agence Nationale de la Recherche(Agence Nationale de la Recherche (ANR))</t>
  </si>
  <si>
    <t>This research was supported by the Institut Polaire Francais'' (IPEV 136) and the Agence Nationale de la Recherche'' (ANR-07-VULN-004, EVINCE). I would like to thank Darwin that initiated the study of flotation tolerance with plant seeds 150 years ago. I thank P. Vernon for helpful discussions on earlier versions of this manuscript. I'm grateful to four anonymous referees for their constructive comments that improved the manuscript.</t>
  </si>
  <si>
    <t>10.1007/s00300-011-1020-3</t>
  </si>
  <si>
    <t>WOS:000297202300016</t>
  </si>
  <si>
    <t>Sabbatini, L; Pizzo, L; Dall'Oglio, G</t>
  </si>
  <si>
    <t>Sabbatini, L.; Pizzo, L.; Dall'Oglio, G.</t>
  </si>
  <si>
    <t>The brightness temperature of Mercury at 150 and 240 GHz</t>
  </si>
  <si>
    <t>EUROPEAN PHYSICAL JOURNAL PLUS</t>
  </si>
  <si>
    <t>WAVELENGTHS; PLANETS</t>
  </si>
  <si>
    <t>During the Italian Antarctic Expedition 2004/2005 we observed Mercury at 150 and 240 GHz. The observations have been carried out by means of the 2.6 m OASI telescope. By using the responsivity of our detectors, obtained from Venus, the brightness temperature of the planet was derived.</t>
  </si>
  <si>
    <t>[Sabbatini, L.; Pizzo, L.; Dall'Oglio, G.] Univ Roma Tre, Dept Phys Rome, Rome, Italy</t>
  </si>
  <si>
    <t>Roma Tre University</t>
  </si>
  <si>
    <t>Sabbatini, L (corresponding author), Univ Roma Tre, Dept Phys Rome, Rome, Italy.</t>
  </si>
  <si>
    <t>sabbatini@fis.uniroma3.it</t>
  </si>
  <si>
    <t>Sabbatini, Lucia/0000-0003-4747-9306</t>
  </si>
  <si>
    <t>PNRA - Programma Nazionale di Ricerche in Antartide</t>
  </si>
  <si>
    <t>This work was supported by PNRA - Programma Nazionale di Ricerche in Antartide.</t>
  </si>
  <si>
    <t>2190-5444</t>
  </si>
  <si>
    <t>EUR PHYS J PLUS</t>
  </si>
  <si>
    <t>Eur. Phys. J. Plus</t>
  </si>
  <si>
    <t>10.1140/epjp/i2011-11099-3</t>
  </si>
  <si>
    <t>Physics, Multidisciplinary</t>
  </si>
  <si>
    <t>Physics</t>
  </si>
  <si>
    <t>842VR</t>
  </si>
  <si>
    <t>WOS:000296630100004</t>
  </si>
  <si>
    <t>Tomasi, C; Petkov, B; Dinelli, BM; Castelli, E; Arnone, E; Papandrea, E</t>
  </si>
  <si>
    <t>Tomasi, Claudio; Petkov, Boyan; Dinelli, Bianca Maria; Castelli, Elisa; Arnone, Enrico; Papandrea, Enzo</t>
  </si>
  <si>
    <t>Monthly mean vertical profiles of pressure, temperature and water vapour volume mixing ratio in the polar stratosphere and low mesosphere from a multi-year set of MIPAS-ENVISAT limb-scanning measurements</t>
  </si>
  <si>
    <t>JOURNAL OF ATMOSPHERIC AND SOLAR-TERRESTRIAL PHYSICS</t>
  </si>
  <si>
    <t>Pressure and temperature in the polar stratosphere; Polar stratospheric moisture parameters; Polar stratospheric water vapour content; Multi-year MIPAS limb-scanning measurements</t>
  </si>
  <si>
    <t>SOUTH-POLE; DOME-C; VALIDATION; HUMIDITY; CLOUDS; DISTRIBUTIONS; RADIOSONDES; RETRIEVAL; EVOLUTION; WINTER</t>
  </si>
  <si>
    <t>Measurements performed at polar latitudes by the MIPAS limb-scanning Fourier Transform spectrometer aboard ENVISAT, from July 2002 to March 2004 (FR mission) and January 2005 to April 2010 (OR mission) were analysed with the 2-D tomographic Geofit Multi-Target Retrieval (GMTR) procedure (Dinelli et al., 2010. The MIPAS2D database of MIPAS/ENVISAT measurements retrieved with a multi-target 2-dimensional tomographic approachAtmos. Meas. Techn. Discuss. (AMTD) 2, 2639-2688.) to obtain the MIPAS2D database, and extract more than 386,000 vertical profiles of pressure p, temperature T and water vapour volume mixing ratio Q. They were subdivided into 12 latitudinal classes selected in steps of 5 degrees from 65 degrees N to 90 degrees N and 65 degrees S to 90 degrees S, each vertical profile consisting of values measured at 14 altitude levels from 12 to 60 km. Each latitudinal set was subdivided into 12 monthly sets to determine the multi-year monthly mean vertical profiles of the three parameters: those of p (monthly average standard deviations (SD) 5-15%) provide evidence of marked seasonal variations above 30 km; those of T (SD values of a few percent) show large seasonal variations, with summer maxima at all stratospheric levels; and those of Q (SD lower than 20% from 20 to 50 km) present values ranging in general between 2 and 6 ppmv at the 12-25 km levels and 4 and 7 ppmv at higher altitudes. To verify the reliability of the MIPAS results, the pressure profiles are compared with those obtained from radiosounding data-sets taken at Arctic and Antarctic sites from 2000 to 2003; those of T with both radiosounding measurements and MLS/Aura satellite data from 2005 to 2010; and those of Q with the MLS/Aura satellite data, finding a substantial agreement in all cases. Comparison of MIPAS pressure and temperature profiles with pre ozone-hole CIRA models at 70 degrees and 80 degrees latitudes highlights the variations occurring in the polar atmosphere over the last 3 decades, with relative pressure decreases of 5-10% on average, and overall average decreases in temperature of 0.4 and 2.0 K in the Arctic and Antarctica, respectively. Using the MIPAS profiles of p, T and Q the monthly mean vertical profiles of absolute humidity were also calculated, from which the monthly values of stratospheric water vapour content from 12 to 50 km were determined, varying between 0.0047 and 0.0070 mm at Arctic latitudes and between 0.0026 and 0.0055 mm at Antarctic latitudes. (C) 2011 Elsevier Ltd. All rights reserved.</t>
  </si>
  <si>
    <t>[Tomasi, Claudio; Petkov, Boyan; Dinelli, Bianca Maria; Castelli, Elisa; Arnone, Enrico] CNR, Inst Atmospher Sci &amp; Climate ISAC, I-40129 Bologna, Italy; [Petkov, Boyan] Abdus Salaam Int Ctr Theoret Phys, I-34014 Trieste, Italy; [Papandrea, Enzo] Univ Bologna, Dept Phys &amp; Inorgan Chem, I-40136 Bologna, Italy</t>
  </si>
  <si>
    <t>Consiglio Nazionale delle Ricerche (CNR); Istituto di Scienze dell'Atmosfera e del Clima (ISAC-CNR); Abdus Salam International Centre for Theoretical Physics (ICTP); University of Bologna</t>
  </si>
  <si>
    <t>Tomasi, C (corresponding author), CNR, Inst Atmospher Sci &amp; Climate ISAC, Via Gobetti 101, I-40129 Bologna, Italy.</t>
  </si>
  <si>
    <t>c.tomasi@isac.cnr.it</t>
  </si>
  <si>
    <t>Dinelli, Bianca Maria/L-4235-2019; Arnone, Enrico/AAK-2316-2021; Arnone, Enrico/AHE-6020-2022; Papandrea, Enzo/GSO-2158-2022; Papandrea, Enzo/M-2739-2019; Dinelli, Bianca Maria/C-1212-2015</t>
  </si>
  <si>
    <t>Dinelli, Bianca Maria/0000-0002-1218-0008; Arnone, Enrico/0000-0001-6740-5051; Papandrea, Enzo/0000-0001-6698-0011; Papandrea, Enzo/0000-0001-6698-0011; Petkov, Boyan/0000-0002-8328-340X; Castelli, Elisa/0000-0003-2218-5790</t>
  </si>
  <si>
    <t>Programma Nazionale di Ricerche in Antartide (PNRA) [2006/6.01]; International Centre for Theoretical Physics, Trieste, Italy; ESA within Changing Earth Science Network Initiative</t>
  </si>
  <si>
    <t>Programma Nazionale di Ricerche in Antartide (PNRA); International Centre for Theoretical Physics, Trieste, Italy; ESA within Changing Earth Science Network Initiative</t>
  </si>
  <si>
    <t>The research activity was supported by the Programma Nazionale di Ricerche in Antartide (PNRA) and developed as a part of Subproject 2006/6.01: POLAR-ROD: a network to characterize the means, variability and trends of the climate-forcing properties of aerosols in polar regions. The authors gratefully acknowledge the International Centre for Theoretical Physics, Trieste, Italy, for its support of the participation of B. Petkov in the framework of the Programme for Training and Research in Italian Laboratories. E. Arnone and E. Papandrea acknowledge the support by ESA within the framework of the Changing Earth Science Network Initiative. The MLS data-set used in this work was acquired as part of the activities of NASA's Science Mission Directorate, and is archived and distributed by the Goddard Earth Sciences (GES) Data and Information Services Center (DISC).</t>
  </si>
  <si>
    <t>1364-6826</t>
  </si>
  <si>
    <t>1879-1824</t>
  </si>
  <si>
    <t>J ATMOS SOL-TERR PHY</t>
  </si>
  <si>
    <t>J. Atmos. Sol.-Terr. Phys.</t>
  </si>
  <si>
    <t>10.1016/j.jastp.2011.06.018</t>
  </si>
  <si>
    <t>849QY</t>
  </si>
  <si>
    <t>WOS:000297141400001</t>
  </si>
  <si>
    <t>Correia, E; Kaufmann, P; Raulin, JP; Bertoni, F; Gavilan, HR</t>
  </si>
  <si>
    <t>Correia, E.; Kaufmann, P.; Raulin, J-P.; Bertoni, F.; Gavilan, H. R.</t>
  </si>
  <si>
    <t>Analysis of daytime ionosphere behavior between 2004 and 2008 in Antarctica</t>
  </si>
  <si>
    <t>Ionosphere; VLF propagation; Planetary waves; Atmosphere coupling</t>
  </si>
  <si>
    <t>QUASI 16-DAY OSCILLATION; D-REGION; PLANETARY-WAVES; LOWER THERMOSPHERE; VLF PHASE; MESOSPHERE; FREQUENCY; VARIABILITY; ABSORPTION; AMPLITUDE</t>
  </si>
  <si>
    <t>In this paper we present 5-year study of the lower ionosphere behavior obtained from VLF sounding done at Comandante Ferraz Brazilian Antarctic Station. The results suggested a strong influence of 'meteorological processes' especially during wintertime, when VLF measurements showed that the D-region was strongly affected by planetary waves in all years. This effect was superposed to the well known control by solar radiation. The 16-day wave was the most important PW modulating the lower ionosphere behavior. Since planetary waves are very predominantly of tropospheric origin, this result is an evidence of the vertical couplings in the atmosphere-ionosphere system. (C) 2011 Elsevier Ltd. All rights reserved.</t>
  </si>
  <si>
    <t>[Correia, E.] Univ Presbiteriana Mackenzie, Inst Nacl Pesquisas Espaciais, CRAAM, BR-01302907 Sao Paulo, Brazil; [Correia, E.; Gavilan, H. R.] INPE, BR-12227010 Sao Jose Dos Campos, SP, Brazil</t>
  </si>
  <si>
    <t>Instituto Nacional de Pesquisas Espaciais (INPE); Universidade Presbiteriana Mackenzie; Instituto Nacional de Pesquisas Espaciais (INPE)</t>
  </si>
  <si>
    <t>Correia, E (corresponding author), Univ Presbiteriana Mackenzie, Inst Nacl Pesquisas Espaciais, CRAAM, Rua Consolacao 930, BR-01302907 Sao Paulo, Brazil.</t>
  </si>
  <si>
    <t>ecorreia@craam.mackenzie.br</t>
  </si>
  <si>
    <t>Correia, Emilia/F-6802-2012; Raulin, Jean-Pierre/A-4109-2015</t>
  </si>
  <si>
    <t>Correia, Emilia/0000-0003-4778-3834; Raulin, Jean-Pierre/0000-0002-7501-3231</t>
  </si>
  <si>
    <t>CNPq/PROANTAR [0520186/06-0]; INCT; APA (CNPq) [574018/2008-5]; CNPq [300710/2006-2]; SECIRM; Comandante Ferraz Brazilian Antarctic Station</t>
  </si>
  <si>
    <t>CNPq/PROANTAR(Conselho Nacional de Desenvolvimento Cientifico e Tecnologico (CNPQ)); INCT; APA (CNPq)(Conselho Nacional de Desenvolvimento Cientifico e Tecnologico (CNPQ)); CNPq(Conselho Nacional de Desenvolvimento Cientifico e Tecnologico (CNPQ)); SECIRM; Comandante Ferraz Brazilian Antarctic Station</t>
  </si>
  <si>
    <t>This research was supported by CNPq/PROANTAR under Project no. 0520186/06-0, and partially supported by INCT&amp;APA (CNPq no.: 574018/2008-5). E.C. thanks the partial support of CNPq (300710/2006-2) and to SECIRM and Brazilian Antarctic Program (PROANTAR) for the logistic support at Comandante Ferraz Brazilian Antarctic Station. We thank the technician A.T. Hadano for his dedicated support in Antarctica. The SABER science and data processing teams for their extensive efforts to produce a high quality data set. We also thank the two anonymous referees for a careful reading of the text and suggestions that improved the paper.</t>
  </si>
  <si>
    <t>10.1016/j.jastp.2011.06.008</t>
  </si>
  <si>
    <t>WOS:000297141400002</t>
  </si>
  <si>
    <t>Troshichev, OA; Podorozhkina, NA; Janzhura, AS</t>
  </si>
  <si>
    <t>Troshichev, O. A.; Podorozhkina, N. A.; Janzhura, A. S.</t>
  </si>
  <si>
    <t>Relationship between PC index and magnetospheric substorms observed under conditions of northward IMF</t>
  </si>
  <si>
    <t>Magnetospheric substorms; PC index; Northward IMF component; Azimuthal IMF component</t>
  </si>
  <si>
    <t>INTERPLANETARY MAGNETIC-FIELD; SOLAR-WIND; OVAL</t>
  </si>
  <si>
    <t>The substorms listed by Lee et al. (2010) as extraordinary events occurring under influence of the persistent northward IMF were tested in their relation to coupling function E(KL) and the polar cap magnetic activity PC index. It turned out that the E(KL) and PC values in all events were in excess of the threshold level similar to 1.5-2 mV/m typical of ordinary substorms (Janzhura et al., 2007). This excess is attained at the expense of extremely large IMF azimuthal component which is taken into account by coupling function E(KL), the latter being unexamined by Lee et al. (2010). The PC index characterizing the polar cap magnetic activity affected by E(KL) demonstrates even better relationship with substorm behavior than E(KL) function itself. The conclusion is made that substorms considered by Lee et al. (2010), as unusual events, turn out to be the ordinary phenomena, if the proper coupling function and the corresponding PC index are taken into examination. (C) 2011 Elsevier Ltd. All rights reserved.</t>
  </si>
  <si>
    <t>[Troshichev, O. A.; Podorozhkina, N. A.; Janzhura, A. S.] Arctic &amp; Antarctic Res Inst, St Petersburg 199397, Russia</t>
  </si>
  <si>
    <t>Troshichev, OA (corresponding author), Arctic &amp; Antarctic Res Inst, St Petersburg 199397, Russia.</t>
  </si>
  <si>
    <t>olegtro@aari.nw.ru</t>
  </si>
  <si>
    <t>10.1016/j.jastp.2011.08.003</t>
  </si>
  <si>
    <t>WOS:000297141400013</t>
  </si>
  <si>
    <t>Greenwood, RI; Parkinson, ML; Dyson, PL; Schulz, EW</t>
  </si>
  <si>
    <t>Greenwood, Robert I.; Parkinson, Murray L.; Dyson, Peter L.; Schulz, Eric W.</t>
  </si>
  <si>
    <t>Dominant ocean wave direction measurements using the TIGER SuperDARN systems</t>
  </si>
  <si>
    <t>TIGER; SuperDARN; Radar oceanography</t>
  </si>
  <si>
    <t>HF; RADAR; SEA; BACKSCATTER; SPECTRA</t>
  </si>
  <si>
    <t>The TIGER SuperDARN OTHR systems are located in Tasmania and New Zealand. The fields of view encompass approximately 4,000,000 km(2) of the Southern Ocean. High time resolution in-phase and quadrature samples out to ranges &gt; 3000 km were collected using a specialised radar control programme. Radio waves refracted by the ionosphere are backscattered in-phase from ocean waves of length equal to half the transmitted wavelength. Wind driven ocean waves propagate omnidirectionally with peak energy in the prevailing wind direction. The components of wave energy propagating directly towards and away from the radar are observed in Doppler spectra as Bragg peaks. The dominant wind-wave direction can be inferred by constraining a model of the directional sea spectrum to the ratio of the two Bragg peaks. The ability to determine the dominant wind-wave direction free of ambiguities over a &gt; 500,000 km(2) region of the Southern Ocean was demonstrated. (C) Crown Copyright 2011 Published by Elsevier Ltd. All rights reserved.</t>
  </si>
  <si>
    <t>[Greenwood, Robert I.; Schulz, Eric W.] Bur Meteorol, Ctr Australian Weather &amp; Climate Res, Melbourne, Vic 3001, Australia; [Greenwood, Robert I.; Parkinson, Murray L.; Dyson, Peter L.] La Trobe Univ, Dept Phys, Bundoora, Vic 3086, Australia; [Greenwood, Robert I.; Parkinson, Murray L.] Bur Meteorol, IPS Radio &amp; Space Serv, Sydney, NSW 2000, Australia</t>
  </si>
  <si>
    <t>Bureau of Meteorology - Australia; Commonwealth Scientific &amp; Industrial Research Organisation (CSIRO); La Trobe University; Bureau of Meteorology - Australia</t>
  </si>
  <si>
    <t>Greenwood, RI (corresponding author), Bur Meteorol, Ctr Australian Weather &amp; Climate Res, Melbourne, Vic 3001, Australia.</t>
  </si>
  <si>
    <t>dr.r.greenwood@gmail.com</t>
  </si>
  <si>
    <t>La Trobe University; Monash University; University of Newcastle; Australian Antarctic Division; Bureau of Meteorology-IPS Radio and Space Services; Australian Research Council; Australian Antarctic Science; Victorian Partnership for Advanced Computing; British Antarctic Survey; USAF Office of Scientific Research; RLM Systems Pty Ltd.; ISR Division DSTO</t>
  </si>
  <si>
    <t>La Trobe University; Monash University(Monash University); University of Newcastle; Australian Antarctic Division; Bureau of Meteorology-IPS Radio and Space Services; Australian Research Council(Australian Research Council); Australian Antarctic Science; Victorian Partnership for Advanced Computing; British Antarctic Survey; USAF Office of Scientific Research; RLM Systems Pty Ltd.; ISR Division DSTO</t>
  </si>
  <si>
    <t>TIGER is supported by a consortium of institutions: La Trobe University, Monash University, University of Newcastle, Australian Antarctic Division, ISR Division DSTO and Bureau of Meteorology-IPS Radio and Space Services. Funding has been received from Australian Research Council, Australian Antarctic Science, Victorian Partnership for Advanced Computing, British Antarctic Survey, USAF Office of Scientific Research, and RLM Systems Pty Ltd.</t>
  </si>
  <si>
    <t>10.1016/j.jastp.2011.08.006</t>
  </si>
  <si>
    <t>WOS:000297141400014</t>
  </si>
  <si>
    <t>Ooms, M; van de Vijver, B; Temmerman, S; Beyens, L</t>
  </si>
  <si>
    <t>Ooms, Marijke; van de Vijver, Bart; Temmerman, Stijn; Beyens, Louis</t>
  </si>
  <si>
    <t>A Holocene palaeoenviromental study of a sediment core from Ile de la Possession, Iles Crozet, sub-Antarctica</t>
  </si>
  <si>
    <t>diatom; palaeoecology; volcanic eruption</t>
  </si>
  <si>
    <t>SOUTHERN-HEMISPHERE; DIATOM COMMUNITIES; CLIMATE; KERGUELEN; HISTORY; RECORD; ISLAND; OCEAN</t>
  </si>
  <si>
    <t>Ile de la Possession is one of the few islands in the southern Indian Ocean, making the island a valuable place to reconstruct past environmental and climatic changes. In this study a peat sediment core was analysed to reconstruct the changes that occurred before, during and after the eruption of the Morne Rouge (10 000-5500 C-14 yr BP) volcano. In addition to sedimentological analyses, diatom communities were used to reconstruct humidity and altitude, based on existing transfer functions. Radiocarbon dating of a tephra layer showed that the Morne Rouge volcano erupted between 6700-6600 cal. yr BP, giving a much more precise time scale for this event. The eruption was preceded by a tsunami flooding, indicated by the high numbers of marine diatoms found immediately before the tephra layer. After the eruption pioneer diatom species recolonized the coring site. Evidence is presented of the late climatic optimum around 3050 cal. yr BP, preceded by a cooling event until 6600 cal. yr BP. Nutrient input from elephant seals and wandering albatrosses obscured the climate signal for the last 600 cal yr BP.</t>
  </si>
  <si>
    <t>[Ooms, Marijke; Temmerman, Stijn; Beyens, Louis] Univ Antwerp CDE, Dept Biol, Res Grp Polar Ecol Limnol &amp; Geomorphol, B-2610 Antwerp, Belgium; [van de Vijver, Bart] Natl Bot Garden Belgium, Dept Bryophyta &amp; Thallophyta, B-1860 Domein Van Bouchout, Meise, Belgium</t>
  </si>
  <si>
    <t>University of Antwerp</t>
  </si>
  <si>
    <t>Ooms, M (corresponding author), Univ Antwerp CDE, Dept Biol, Res Grp Polar Ecol Limnol &amp; Geomorphol, Univ Pl 1, B-2610 Antwerp, Belgium.</t>
  </si>
  <si>
    <t>marijke.ooms@ua.ac.be</t>
  </si>
  <si>
    <t>Temmerman, Stijn/C-5521-2009</t>
  </si>
  <si>
    <t>Temmerman, Stijn/0000-0003-3346-9115</t>
  </si>
  <si>
    <t>French Polar Institute IPEV</t>
  </si>
  <si>
    <t>This study was made possible by the DIVCRO 405 project (2004-05) funded by the French Polar Institute IPEV. Drs S. Vincke, S. Geiger and G. Conan are thanked for their help during the sediment core drilling on the island. Furthermore, we sincerely thank Dr N. Gremmen for the use of his transfer function for temperature. Also thanks to Mark van Strydonck, KIKIRPA, for the radiometric dating, and Professor Dr G. Ernst who has identified the origin of the tephra. We also thank the two reviewers whose comments helped to improve this manuscript.</t>
  </si>
  <si>
    <t>10.1017/S0954102011000277</t>
  </si>
  <si>
    <t>846NR</t>
  </si>
  <si>
    <t>WOS:000296911000003</t>
  </si>
  <si>
    <t>Pugh, PJA; Smith, RIL</t>
  </si>
  <si>
    <t>Pugh, P. J. A.; Smith, R. I. Lewis</t>
  </si>
  <si>
    <t>Notodiscus (Charopidae) on South Georgia: some implications of shell size, shell shape, and site isolation in a singular sub-Antarctic land snail</t>
  </si>
  <si>
    <t>colonization; Gastropoda; Notodiscus; Southern Ocean islands; zoochory</t>
  </si>
  <si>
    <t>TRISTAN-DA-CUNHA; DISPERSAL; ISLANDS; HISTORY; LIFE</t>
  </si>
  <si>
    <t>Multivariate analysis shows that shells of Notodiscus sp. (Charopidae: Pulmonata) reported from South Georgia are smaller and proportionately taller than, but otherwise similar to, populations of Notodiscus hookeri (Reeve) from Iles Crozet and Iles Kerguelen. The origin of this solitary, and spatially limited, South Georgia population is enigmatic. It is confined to a remarkably small coastal lowland site which was glaciated at Last Glacial Maximum, precluding a Tertiary relict origin, and on the leeward north-east coast, ruling out post-glacial ocean rafting. The site is close to the King Edward Point settlement, yet the absence of any logistics connections with the Iles Crozet or Iles Kerguelen mitigates against anthropogenic introduction. The close proximity of the population to nests of blue-eyed shag (Phalacrocorax atriceps), Dominican gull (Larus dominicanus) and light-mantled sooty albatross (Phoebetria palpebrata) could imply the snail was originally introduced to South Georgia via these ocean transiting seabirds.</t>
  </si>
  <si>
    <t>[Pugh, P. J. A.] Anglia Ruskin Univ, Dept Life Sci, Cambridge CB1 1PT, England; [Smith, R. I. Lewis] Ctr Antarctic Plant Ecol &amp; Divers, Moffat DG10 9LB, Scotland</t>
  </si>
  <si>
    <t>Anglia Ruskin University</t>
  </si>
  <si>
    <t>Pugh, PJA (corresponding author), Anglia Ruskin Univ, Dept Life Sci, East Rd, Cambridge CB1 1PT, England.</t>
  </si>
  <si>
    <t>philip.pugh@anglia.ac.uk</t>
  </si>
  <si>
    <t>10.1017/S0954102011000289</t>
  </si>
  <si>
    <t>WOS:000296911000004</t>
  </si>
  <si>
    <t>Rehm, P; Hooke, RA; Thatje, S</t>
  </si>
  <si>
    <t>Rehm, Peter; Hooke, Rachel A.; Thatje, Sven</t>
  </si>
  <si>
    <t>Macrofaunal communities on the continental shelf off Victoria Land, Ross Sea, Antarctica</t>
  </si>
  <si>
    <t>Agassiz trawl; cluster analysis; macrozoobenthos; SIMPROF; latitudinal gradient</t>
  </si>
  <si>
    <t>SOUTHEASTERN WEDDELL SEA; BENTHIC COMMUNITIES; MACROBENTHIC COMMUNITIES; SOUTHERN-OCEAN; FAUNA; ASSEMBLAGES; COAST; BIODIVERSITY; DISTURBANCE; DIVERSITY</t>
  </si>
  <si>
    <t>In austral summer 2004 benthic macrofauna was sampled along a latitudinal gradient along the northern Victoria Land coast (Ross Sea). An Agassiz trawl was used for semi-quantitative data collection of macrozoobenthos at depths from 84 to 537 m. Multivariate analysis of abundance of higher taxonomic units discriminated between the four sample sites along the latitudinal gradient. A SIMPROF analysis emphasized these geographical clusters, as the samples showed no significant differences within each cluster. A change in community structure with depth was not observed. The dominant taxonomic groups along the Victoria Land coast were Echinodermata (39%), Arthropoda (24%), Polychaeta (14%), and Mollusca (12%), not accounting for colonial organisms. Thus, the overall structure of the benthic community off the Victoria Land coast is comparable to other Antarctic regions and shows a closer relationship to the eastern Weddell Sea shelf, which may be attributable to the extensive impact of grounded ice affecting both areas.</t>
  </si>
  <si>
    <t>[Rehm, Peter] Univ Hamburg, Biozentrum Grindel, D-20146 Hamburg, Germany; [Hooke, Rachel A.; Thatje, Sven] Univ Southampton, Natl Oceanog Ctr, Sch Ocean &amp; Earth Sci, Southampton SO14 3ZH, Hants, England</t>
  </si>
  <si>
    <t>University of Hamburg; University of Southampton; NERC National Oceanography Centre</t>
  </si>
  <si>
    <t>Rehm, P (corresponding author), Univ Hamburg, Biozentrum Grindel, Martin Luther King Pl 3, D-20146 Hamburg, Germany.</t>
  </si>
  <si>
    <t>peter.rehm@uni-hamburg.de</t>
  </si>
  <si>
    <t>German Science Foundation (DFG) [Br 1121/23-1]</t>
  </si>
  <si>
    <t>German Science Foundation (DFG)(German Research Foundation (DFG))</t>
  </si>
  <si>
    <t>We are indebted to Ricardo Cattaneo-Vietti for providing the opportunity to participate at the 19th expedition of the Programma Nazionale di Ricerche in Antartide (S.C.r.l.). We would also like to thank Susanne Gatti, Olaf Heilmayer, and, especially, Mariachiara Chiantore for organising and their help during the cruise. Furthermore, we are grateful to the crew of RV Italica for assistance and comfortable time at sea. Travelling funds were provided by the German Science Foundation (DFG) to the principal author (Br 1121/23-1). We thank the reviewers for their helpful comments.</t>
  </si>
  <si>
    <t>10.1017/S0954102011000290</t>
  </si>
  <si>
    <t>WOS:000296911000005</t>
  </si>
  <si>
    <t>Hawes, TC</t>
  </si>
  <si>
    <t>Hawes, T. C.</t>
  </si>
  <si>
    <t>Rafting in the Antarctic springtail, Gomphiocephalus hodgsoni</t>
  </si>
  <si>
    <t>aggregation; Collembola; meltwater pools; moulting; passive dispersal</t>
  </si>
  <si>
    <t>SOUTHERN VICTORIA LAND; COLLEMBOLA; DISPERSAL; REFUGIA</t>
  </si>
  <si>
    <t>Capture by water surfaces is a frequent but stochastic phenomenon for Antarctic collembolans (springtails), with implications for both the survival and dispersal of populations. This paper provides the first field description of the characteristics of rafting aggregations of the springtail Gomphiocephalus hodgsoni and provides the first observation of the inclusion of the mite, Stereotydeus mollis, within these aggregations. Field observations of aggregations in meltwater pools are used to develop a picture of the ecological implications of rafting for Antarctic springtails. The potential for marine capture was also demonstrated by additional observations of two springtails aerially deposited on to sea ice as well as springtails floating in the tidewater cracks between the sea ice and land.</t>
  </si>
  <si>
    <t>Univ Otago, Dept Zool, Dunedin, New Zealand</t>
  </si>
  <si>
    <t>University of Otago</t>
  </si>
  <si>
    <t>Hawes, TC (corresponding author), Univ Otago, Dept Zool, POB 56, Dunedin, New Zealand.</t>
  </si>
  <si>
    <t>Tinstone12@hotmail.com</t>
  </si>
  <si>
    <t>10.1017/S0954102011000307</t>
  </si>
  <si>
    <t>WOS:000296911000006</t>
  </si>
  <si>
    <t>Barbraud, C; Gavrilo, M; Mizin, Y; Weimerskirch, H</t>
  </si>
  <si>
    <t>Barbraud, Christophe; Gavrilo, Maria; Mizin, Yuri; Weimerskirch, Henri</t>
  </si>
  <si>
    <t>Comparison of emperor penguin declines between Pointe Geologie and Haswell Island over the past 50 years</t>
  </si>
  <si>
    <t>Antarctica; Aptenodytes forsteri; climate change; population trends; sea ice extent</t>
  </si>
  <si>
    <t>ANTARCTIC MARINE ECOSYSTEM; SEA-ICE; SOUTHERN-OCEAN; CLIMATE-CHANGE; ADELIE LAND; APTENODYTES-FORSTERI; EAST ANTARCTICA; VARIABILITY; POPULATIONS; INDICATORS</t>
  </si>
  <si>
    <t>The emperor penguin (Aptenodytes forsteri) is highly dependent on sea ice conditions, and future climate change may affect its distribution and numbers. Most studies on the demography and population dynamics of emperor penguins in relation to sea ice characteristics were conducted at a single colony (Pointe Geologie). Several non-exclusive hypotheses have been proposed to explain the dramatic decline of this colony, including changes in sea ice conditions, predation, flipper banding and human disturbance. Here, we report and analyse updated long-term trends in numbers of breeding pairs made at two colonies (Pointe Geologie and Haswell Island) where counts are comparable. Similar changes were observed for both colonies and paralleled changes in sea ice extent. At Pointe Geologie and Haswell Island, populations declined similarly and later growth rates were also similar since the early 1990s for Haswell and early 1980s for Pointe Geologie. The magnitude of the decline was similar between both colonies when numbers of breeding pairs were assessed. This study suggests that a common large-scale environmental factor has probably negatively affected both colonies.</t>
  </si>
  <si>
    <t>[Barbraud, Christophe; Weimerskirch, Henri] CNRS, UPR1934, Ctr Etud Biol Chize, F-79360 Villiers En Bois, France; [Gavrilo, Maria] Arctic &amp; Antarctic Res Inst, St Petersburg 199397, Russia; [Mizin, Yuri] Russian Antarctic Expedit, St Petersburg 199397, Russia</t>
  </si>
  <si>
    <t>Centre National de la Recherche Scientifique (CNRS); Arctic &amp; Antarctic Research Institute; Arctic &amp; Antarctic Research Institute</t>
  </si>
  <si>
    <t>Barbraud, C (corresponding author), CNRS, UPR1934, Ctr Etud Biol Chize, F-79360 Villiers En Bois, France.</t>
  </si>
  <si>
    <t>Gavrilo, Maria V/R-7091-2016; Weimerskirch, Henri/K-7306-2019; Barbraud, Christophe/A-5870-2012; Weimerskirch, Henri/F-5562-2013</t>
  </si>
  <si>
    <t>Gavrilo, Maria V/0000-0002-3500-9617; Weimerskirch, Henri/0000-0002-0457-586X; Barbraud, Christophe/0000-0003-0146-212X;</t>
  </si>
  <si>
    <t>Expeditions polaires Francaises; Institut Paul Emile Victor [109]; Terre Australes et Antarctiques Francaises in France; Haswell by Russian Antarctic Expedition; national scientific programme The World Ocean in Russia</t>
  </si>
  <si>
    <t>Expeditions polaires Francaises; Institut Paul Emile Victor; Terre Australes et Antarctiques Francaises in France; Haswell by Russian Antarctic Expedition; national scientific programme The World Ocean in Russia</t>
  </si>
  <si>
    <t>We thank all the wintering fieldworkers involved in the long-term monitoring programs of the emperor penguin population at Dumont d'Urville and at Mirny observatory (Alexander Belozor, Ivan Mizin and Dmitry Dorofeev). Sincere thanks to Dominique Besson and Karine Delord for their help in the database management. Sea ice break-up data at Dumont d'Urville were provided by Meteo France. Thanks to Yves Cherel, Charly Bost and David Ainley for providing helpful comments on the manuscript. The study carried out at Pointe Geologie, Terre Adelie was supported since 1952 by Expeditions polaires Francaises, Institut Paul Emile Victor (programme IPEV no. 109) and Terre Australes et Antarctiques Francaises in France, and at Haswell by Russian Antarctic Expedition since 1999 and national scientific programme The World Ocean in Russia.</t>
  </si>
  <si>
    <t>10.1017/S0954102011000356</t>
  </si>
  <si>
    <t>WOS:000296911000007</t>
  </si>
  <si>
    <t>Kim, SZ; Ainley, DG; Pennycook, J; Eastman, JT</t>
  </si>
  <si>
    <t>Kim, Stacy Z.; Ainley, David G.; Pennycook, Jean; Eastman, Joseph T.</t>
  </si>
  <si>
    <t>Antarctic toothfish heads found along tide cracks of the McMurdo Ice Shelf</t>
  </si>
  <si>
    <t>DISSOSTICHUS-MAWSONI; BUOYANCY; SOUND</t>
  </si>
  <si>
    <t>[Ainley, David G.; Pennycook, Jean] HT Harvey &amp; Associates, Los Gatos, CA 95032 USA; [Kim, Stacy Z.] Moss Landing Marine Labs, Moss Landing, CA 95062 USA; [Eastman, Joseph T.] Ohio Univ, Dept Biomed Sci, Athens, OH 45701 USA</t>
  </si>
  <si>
    <t>Moss Landing Marine Laboratories; University System of Ohio; Ohio University</t>
  </si>
  <si>
    <t>Eastman, Joseph T./O-6150-2019; Eastman, Joseph T/A-9786-2008</t>
  </si>
  <si>
    <t>Eastman, Joseph T./0000-0003-3868-261X;</t>
  </si>
  <si>
    <t>US National Science Foundation [ANT-0440643, ANT-0944411, ANT-0619622, ANT-0436190]</t>
  </si>
  <si>
    <t>The effort was supported by grants from the US National Science Foundation, ANT-0440643 and -0944411 (DA, JP); ANT-0619622 (SK); and ANT-0436190 (JTE). The views expressed do not necessarily represent those of NSF. We thank A. DeVries, D. Siniff, I. Stirling, particularly P.K. Dayton, D. Walton and an anonymous reviewer, for review of the paper.</t>
  </si>
  <si>
    <t>10.1017/S095410201100040X</t>
  </si>
  <si>
    <t>WOS:000296911000008</t>
  </si>
  <si>
    <t>Singh, OP; Singh, UP; Lal, RP</t>
  </si>
  <si>
    <t>Singh, O. P.; Singh, U. P.; Lal, R. P.</t>
  </si>
  <si>
    <t>Recent trends and variations in surface meteorological parameters over Indian Antarctic station Maitri</t>
  </si>
  <si>
    <t>MAUSAM</t>
  </si>
  <si>
    <t>Maitri; Trend; Interannual variation; Anomaly; Surface meteorological parameter; Southern oscillation</t>
  </si>
  <si>
    <t>CLIMATE; TEMPERATURE; VARIABILITY; OSCILLATION</t>
  </si>
  <si>
    <t>Utilizing surface meteorological data of temperature, pressure and wind of recent two decades, 1991-2010 over Indian Antarctic research station Maitri the trends and variabilities in surface meteorological parameters have been discussed. The trend in mean air temperature at Maitri has been -0.4/decade during past two decades showing no impact of global warming on Maitri surface temperature. There is no trend in surface pressure at Maitri during last two decades. Mean surface wind speed has shown slight increasing trend during the decade 1991-2000 whereas it has shown slight decreasing trend during the decade 2001-2010. However, there are large interannual variations in surface parameters and the linear trends seem to be the result of such variations. During Jan-March of two contrasting monsoon years 2009 and 2010 interesting anomalies in surface pressure at Maitri have been observed. Surface pressure was anomalously lower at Matri in Jan-March of drought year 2009 whereas positive pressure anomalies prevailed during the same period of excess monsoon year 2010. Negative temperature anomalies during January-March over Maitri preceded drought monsoon 2009 and positive anomalies prevailed during the same period before good monsoon 2010.</t>
  </si>
  <si>
    <t>[Singh, O. P.; Singh, U. P.; Lal, R. P.] Indian Meteorol Dept, New Delhi 110003, India</t>
  </si>
  <si>
    <t>Ministry of Earth Sciences (MoES) - India; India Meteorological Department (IMD)</t>
  </si>
  <si>
    <t>Singh, OP (corresponding author), Indian Meteorol Dept, New Delhi 110003, India.</t>
  </si>
  <si>
    <t>singh.op@imd.gov.in</t>
  </si>
  <si>
    <t>Singh, Udai Pratap/ABI-3111-2020; Singh, Om Prakash/AAT-3975-2020</t>
  </si>
  <si>
    <t>Singh, Udai Pratap/0000-0003-4328-8625; Singh, Om Prakash/0000-0002-8219-9863</t>
  </si>
  <si>
    <t>INDIA METEOROLOGICAL DEPT</t>
  </si>
  <si>
    <t>MAUSAM BHAWAN, LODI RD, NEW DELHI, 110 003, INDIA</t>
  </si>
  <si>
    <t>0252-9416</t>
  </si>
  <si>
    <t>Mausam</t>
  </si>
  <si>
    <t>846XG</t>
  </si>
  <si>
    <t>WOS:000296935900005</t>
  </si>
  <si>
    <t>Gusain, HS; Mishra, VD; Negi, A</t>
  </si>
  <si>
    <t>Gusain, H. S.; Mishra, V. D.; Negi, Avinash</t>
  </si>
  <si>
    <t>Comparative study of the radiative and turbulent energy fluxes during summer and winter at the edge of the Antarctic ice sheet in Dronning Maud Land - East Antarctica</t>
  </si>
  <si>
    <t>Turbulent energy flux; Radiative flux; Albedo; Latent heat; Solar radiation; Polar cryosphere</t>
  </si>
  <si>
    <t>SURFACE-ENERGY; BALANCE</t>
  </si>
  <si>
    <t>Present study compares the estimated radiative and turbulent energy fluxes at the edge of the Antarctic ice sheet during summer and winter in Dronning Maud land, East Antarctica. Hourly snow meteorological parameters were recorded and analysed during winter months (May, June, July and August) of the year 2007 and summer months (November, December, January and February) of the year 2007-08 using Automatic Weather Station (AWS) on the glacier surface. Snow-meteorological parameters air temperature, relative humidity, wind speed, wind direction, incoming solar radiation, outgoing solar radiation, atmospheric pressure and glacier surface temperature were recorded by the AWS. An energy balance model was used to evaluate the surface energy fluxes from measured meteorological quantities for the summer and winter. Net radiative flux was observed the main heat source during summer with seasonal average of 98Wm(-2) while sensible heat flux was observed main heat source during winter with seasonal average of 30 Wm(-2). Latent heat flux was observed the main heat sink during both the season with seasonal average values of -86.7 Wm(-2) for summer and -65.4 Wm(-2) during winter. Sublimation was observed high during summer compare to winter.</t>
  </si>
  <si>
    <t>[Gusain, H. S.; Mishra, V. D.; Negi, Avinash] DRDO, Ctr Res &amp; Dev, Snow &amp; Avalanche Study Estab, Chandigarh 160036, UT, India</t>
  </si>
  <si>
    <t>Defence Research &amp; Development Organisation (DRDO); Snow &amp; Avalanche Study Establishment (SASE)</t>
  </si>
  <si>
    <t>Gusain, HS (corresponding author), DRDO, Ctr Res &amp; Dev, Snow &amp; Avalanche Study Estab, Chandigarh 160036, UT, India.</t>
  </si>
  <si>
    <t>gusain_hs@yahoo.co.in</t>
  </si>
  <si>
    <t>GUSAIN, HEMENDRA SINGH/0000-0001-8562-731X</t>
  </si>
  <si>
    <t>WOS:000296935900006</t>
  </si>
  <si>
    <t>Sonbawne, SM; Devara, PCS; Reddy, RC; Safai, PD; Salvekar, PS</t>
  </si>
  <si>
    <t>Sonbawne, S. M.; Devara, P. C. S.; Reddy, R. C.; Safai, P. D.; Salvekar, P. S.</t>
  </si>
  <si>
    <t>Polar aerosol characterization, sources and impacts</t>
  </si>
  <si>
    <t>Polar region; AOD; Angstrom coefficient; Aerosol radiative forcing</t>
  </si>
  <si>
    <t>TOTAL COLUMN OZONE; SUN PHOTOMETER; CLIMATE</t>
  </si>
  <si>
    <t>Aerosols are known to cause important effects on weather and climate of Polar Regions and their radiation balance of the polar surface-atmosphere system, especially in the regions characterized by high surface-reflectance conditions, which also prevails the heterogeneous chemistry of aerosols. Therefore, the knowledge of the aerosol physical and optical properties needs to be improved on both spatial and temporal scales. To characterize these physico-chemical and optical properties, studies have been carried out over both the polar regions [Antarctica ('Maitri' (70.76 degrees S, 11.74 degrees E) and Arctic Himadri (79 degrees N, 11 degrees E) during the summer period of 24(th) (2004-05), 26(th) (2006-07) Indian Antarctica Expedition, and during 14(th) Indian Arctic Expedition in 2010. Total column aerosol optical depth (AOD), ozone (TCO), precipitable water content (PWC), and direct radiative forcing using a multi-channel solar-radiometer (Microtops II); and short-wave global radiative flux using a wide-band pyranometer for their characteristics. In the Arctic, an Andersen Sampler, Black Carbon Aethalometer was also operated to determine the chemical properties of aerosols. The aerosol optical, physical and radiative properties, and their interface with simultaneously measured gases and their chemical composition have been investigated. The results showed that the daily mean AOD at a characteristic wavelength of 500 tun was found to be 0.042 with an average Angstrom coefficient of 0.24, revealing abundance of coarse-mode particles in Antarctica, and Arctic average AOD was observed 0.11 with an average Angstrom coefficient of 2.84, suggesting fine-mode particles. The TCO measured by the surface-based ozone monitor matched reasonably within 5% with that of the Total Ozone Mapping Spectrometer (TOMS) satellite sensor. Variability in ozone on daily scale, during the study period, was less than 4% over the Antarctica region and more or less same for Arctic. The January. 2005 fluxes were found to be less by about 20% as compared to those in February 2005. The average short-wave direct radiative forcing due to aerosols showed cooling at the surface with an average value of -0.47 W/m(2) during the study period. In this paper, we briefly describe the equipment deployed, data archival, their analysis techniques and salient results obtained over the Indian polar stations, 'Maitri' and 'Himadri'.</t>
  </si>
  <si>
    <t>[Sonbawne, S. M.; Devara, P. C. S.; Reddy, R. C.; Safai, P. D.; Salvekar, P. S.] Indian Inst Trop Meteorol, Pune 411008, Maharashtra, India</t>
  </si>
  <si>
    <t>Ministry of Earth Sciences (MoES) - India; Indian Institute of Tropical Meteorology (IITM)</t>
  </si>
  <si>
    <t>Sonbawne, SM (corresponding author), Indian Inst Trop Meteorol, Dr Homi Bhabha Rd, Pune 411008, Maharashtra, India.</t>
  </si>
  <si>
    <t>devara7@gmail.com</t>
  </si>
  <si>
    <t>Safai, P.D./AAL-9301-2021</t>
  </si>
  <si>
    <t>IITM, Pune; National Center for Antarctic and Ocean Research (NCAOR), Goa; Indian Institute of Tropical Meteorology, Pune; Ministry of Earth Sciences (MoES), Government of India</t>
  </si>
  <si>
    <t>IITM, Pune; National Center for Antarctic and Ocean Research (NCAOR), Goa; Indian Institute of Tropical Meteorology, Pune; Ministry of Earth Sciences (MoES), Government of India(Ministry of Earth Science (MoES), Government of India)</t>
  </si>
  <si>
    <t>This work was supported jointly by the IITM, Pune and NCAOR, Goa. The authors are grateful to the Director of the Indian Institute of Tropical Meteorology, Pune for support and encouragement. Support received from the scientists of National Center for Antarctic and Ocean Research (NCAOR), Goa and from the Ministry of Earth Sciences (MoES), Government of India. Exceptional logistic expertise provided by the NPI, (Ny-Alesund) staff is appreciated and acknowledged. Thanks are also due to all Members of the Aerosol and Cloud Physics Laboratory for Weather and Climate Studies particularly to P. Ernest Raj, K. K. Dani and P. S. P. Rao.</t>
  </si>
  <si>
    <t>WOS:000296935900009</t>
  </si>
  <si>
    <t>Srivastava, A; Das, IML; Oza, SR; Mitra, A; Dash, MK; Vyas, NK</t>
  </si>
  <si>
    <t>Srivastava, Abhinav; Das, I. M. L.; Oza, Sandip R.; Mitra, Amitabh; Dash, Mihir Kumar; Vyas, N. K.</t>
  </si>
  <si>
    <t>Assessment of sea ice melting rates in the Antarctic from SSM/I observations</t>
  </si>
  <si>
    <t>Antarctica; SSM/I; Sea-ice extent; Melting rate; Ice-albedo feedback</t>
  </si>
  <si>
    <t>RADIOMETER DATA; FEEDBACK</t>
  </si>
  <si>
    <t>Sea ice governs the fluxes of heat, moisture and momentum across the ocean-atmosphere interface. Because it is thin, sea ice is vulnerable to small perturbations within the ocean and the atmosphere, which considerably change the extent and thickness of the polar ice cover. Thus, sea ice is a climate change indicator. The DMSP SSM/I monthly ice concentration data over the Antarctic region have used to calculate the monthly sea ice extents (August to February) for each year during 1988-2006. Melting rates based on seasonal cycle of solar irradiance as well as the SSM/I data have been calculated. Compared to the melting rates based on seasonal cycle of solar irradiance, the SSM/I estimated melting rate, is less in the beginning of September and increases to its peak value by the end of December. The observed melting rate behaviour indicates that apart from the seasonal cycle of solar irradiance, it is controlled by other mechanisms also. The present study estimates the feedback impact factor, response time, accelerating and decelerating melting rate duration for the period 1988-2006.</t>
  </si>
  <si>
    <t>[Srivastava, Abhinav; Das, I. M. L.] Univ Allahabad, K Banerjee Ctr Atmospher &amp; Ocean Studies, Allahabad 211002, Uttar Pradesh, India; [Das, I. M. L.; Mitra, Amitabh] Univ Allahabad, MN Saha Ctr Space Studies, Allahabad 211002, Uttar Pradesh, India; [Das, I. M. L.] Univ Allahabad, Dept Phys, Allahabad 211002, Uttar Pradesh, India; [Dash, Mihir Kumar] Indian Inst Technol, Ctr Oceans Rivers Atmosphere &amp; Land Sci, Kharagpur 721302, W Bengal, India; [Oza, Sandip R.; Vyas, N. K.] Indian Space Res Org, Space Applicat Ctr, Ahmadabad 380015, Gujarat, India</t>
  </si>
  <si>
    <t>University of Allahabad; University of Allahabad; University of Allahabad; Indian Institute of Technology System (IIT System); Indian Institute of Technology (IIT) - Kharagpur; Department of Space (DoS), Government of India; Indian Space Research Organisation (ISRO); Space Applications Centre (SAC)</t>
  </si>
  <si>
    <t>Srivastava, A (corresponding author), Univ Allahabad, K Banerjee Ctr Atmospher &amp; Ocean Studies, Allahabad 211002, Uttar Pradesh, India.</t>
  </si>
  <si>
    <t>profimldas@yahoo.com</t>
  </si>
  <si>
    <t>NCAOR, Goa/DOD</t>
  </si>
  <si>
    <t>NCAOR, Goa/DOD(United States Department of Defense)</t>
  </si>
  <si>
    <t>Dr. Amitabh Mitra and Dr. I. M. L. Das thank NCAOR, Goa/DOD for supporting the work in the form of a research grant. Authors also wish to acknowledge the deep interest taken and encouragement provided by Dr. Abhijit Sarkar and Dr. Raj Kumar (SAC) during the course of this work.</t>
  </si>
  <si>
    <t>WOS:000296935900011</t>
  </si>
  <si>
    <t>Prabhu, A; Mahajan, PN; Khaladkar, RM</t>
  </si>
  <si>
    <t>Prabhu, Amita; Mahajan, P. N.; Khaladkar, R. M.</t>
  </si>
  <si>
    <t>Trends in the polar sea ice coverage under climate change scenario</t>
  </si>
  <si>
    <t>Sea Ice Extent; Climate change; Global change; Global warming; Cryosphere</t>
  </si>
  <si>
    <t>TIME-SERIES</t>
  </si>
  <si>
    <t>The development in the satellite microwave technology during the past three decades has offered an opportunity to the scientific community to access the sea ice data over the polar regions, which was otherwise inaccessible for continuous monitoring by any other means. The present study focuses on the trends in the Sea Ice Extent (SIE) over different sectors of the Arctic and the Antarctic regions and the interannual variability in their extremes. In general, the data over the period (1979-2007) reveal marked interannual variability in the sea ice cover with an increasing and the decreasing trend over the Antarctic and the Arctic region respectively. Over the southern hemisphere, only the Bellingshausen and Amundsen Seas sector shows an exceptional decreasing trend. However, in the northern hemisphere, all the sectors show a decreasing trend, with the Kara and Barents Seas sector being the most prominent one. Although, the decreasing trend of the SIE over the Arctic could be attributed to the global warming, an intriguing question still remains as to why the other polar region shows a different behaviour.</t>
  </si>
  <si>
    <t>[Prabhu, Amita; Mahajan, P. N.; Khaladkar, R. M.] Indian Inst Trop Meteorol, Pune, Maharashtra, India</t>
  </si>
  <si>
    <t>Prabhu, A (corresponding author), Indian Inst Trop Meteorol, Pune, Maharashtra, India.</t>
  </si>
  <si>
    <t>amitaprabhu@tropmet.res.in</t>
  </si>
  <si>
    <t>WOS:000296935900012</t>
  </si>
  <si>
    <t>Sharma, AK</t>
  </si>
  <si>
    <t>Sharma, A. K.</t>
  </si>
  <si>
    <t>Applications of satellite imageries for prediction of severe weather events along Maitri, Antarctica</t>
  </si>
  <si>
    <t>Satellite imageries; Polar orbiting satellite; Geostationary satellite; Atmospheric motion vectors</t>
  </si>
  <si>
    <t>The present paper is an attempt to educate the weather forecaster at Indian Scientific research Station, Maitri, Antarctica in forecasting severe weather (blizzards) using satellite images of various satellites operating in the world. The Polar stationary satellite 'Trianna' has been discussed The availability of the various types of images has also been spelt. The characteristics of satellite images has been described along with overlaying of Automatic Weather station (AWS) data explaining the occurrence of Katabatic winds which also causes blizzards. Blizzard conditions often develop on the northwest side of an intense storm system the difference between the lower pressure in the storm and the higher pressure to the west creates a tight pressure gradient, which in turn results in very strong winds or blizzards. The paper also discusses about the development that took place in Antarctic satellite meteorology since beginning.</t>
  </si>
  <si>
    <t>Indian Meteorol Dept, New Delhi 110003, India</t>
  </si>
  <si>
    <t>Sharma, AK (corresponding author), Indian Meteorol Dept, New Delhi 110003, India.</t>
  </si>
  <si>
    <t>aksimd@gmail.com</t>
  </si>
  <si>
    <t>WOS:000296935900013</t>
  </si>
  <si>
    <t>Sharma, N; Dash, MK; Vyas, NK; Bhandari, SM; Pandey, PC; Khare, N</t>
  </si>
  <si>
    <t>Sharma, N.; Dash, M. K.; Vyas, N. K.; Bhandari, S. M.; Pandey, P. C.; Khare, N.</t>
  </si>
  <si>
    <t>Signature of ice melt over the Greenland derived from MSMR (OCEANSAT-1) data</t>
  </si>
  <si>
    <t>Global warming; Polarization difference; Climate change; Polar regions; MSMR</t>
  </si>
  <si>
    <t>SHEET</t>
  </si>
  <si>
    <t>In order to monitor the impact of global warming phenomena over the Polar Regions, it is necessary to monitor snow/ice melt on the Greenland and the Antarctic ice sheets. Using MSMR data, it is possible to differentiate sea ice at different concentration levels. On the basis of microwave emissivities of continental ice and sea ice, useful information on the formation and melting of the ice can be derived. The paper discusses different strategies to derive a melt signal from the MSMR observations for the continental ice sheets in Greenland. The Polarization Difference (PD) for 21 GHz, available from MSMR data, is studied and an appropriate threshold is selected to detect the presence of melt signal. The results of the present study have bearing on climate changes.</t>
  </si>
  <si>
    <t>[Sharma, N.] Natl Mineral Dev Corp, Hyderabad 500028, Andhra Pradesh, India; [Dash, M. K.; Pandey, P. C.] Indian Inst Technol, Kharagpur 721302, W Bengal, India; [Vyas, N. K.; Bhandari, S. M.] ISRO, Ctr Space Applicat, Ahmadabad 380053, Gujarat, India; [Khare, N.] Minist Earth Sci, New Delhi 110003, India</t>
  </si>
  <si>
    <t>Indian Institute of Technology System (IIT System); Indian Institute of Technology (IIT) - Kharagpur; Department of Space (DoS), Government of India; Indian Space Research Organisation (ISRO); Space Applications Centre (SAC); Ministry of Earth Sciences (MoES) - India</t>
  </si>
  <si>
    <t>Sharma, N (corresponding author), Natl Mineral Dev Corp, Hyderabad 500028, Andhra Pradesh, India.</t>
  </si>
  <si>
    <t>nilaysharma76@yahoo.co.in</t>
  </si>
  <si>
    <t>WOS:000296935900014</t>
  </si>
  <si>
    <t>Oza, SR; Singh, RKK; Srivastava, A; Dash, MK; Das, IML; Vyas, NK</t>
  </si>
  <si>
    <t>Oza, Sandip R.; Singh, R. K. K.; Srivastava, Abhinav; Dash, Mihir K.; Das, I. M. L.; Vyas, N. K.</t>
  </si>
  <si>
    <t>Inter-annual variations observed in spring and summer Antarctic sea ice extent in recent decade</t>
  </si>
  <si>
    <t>Antarctic; Sea ice trends; SST trends; Scatterometer</t>
  </si>
  <si>
    <t>The growth and decay of sea ice are complex processes and have important feedback onto the oceanic and atmospheric circulation. In the Antarctic, sea ice variability significantly affects the primary productivity in the Southern Ocean and thereby negatively influences the performance and survival of species in polar ecosystem. In present days, the awareness on the sea ice variability in the Antarctic is not as matured as it is for the Arctic region. The present paper focuses on the inter-annual trends (1999-2009) observed in the monthly fractional sea ice cover in the Antarctic at 1 x 1 degree level, for the November and February months, derived from QuikSCAT scatterometer data. OSCAT scatterometer data from India's Oceansat-2 satellite were used to asses the sea ice extent (SIE) observed in the month of November 2009 and February 2010 and its deviation from climatic maximum (1979-2002) sea ice extent (CMSIE). Large differences were observed between SIE and CMSIE, however, trend results show that it is due to the high inter-annual variability in sea ice cover. Spatial distribution of trends show the existence of positive and negative trends in the parts of Western Pacific Ocean, Ross Sea, Amundsen and Bellingshausen Seas (ABS), Weddell Sea and Indian ocean sector of southern ocean. Sea ice trends are compared with long-term SST trends (1982-2009) observed in the austral summer month of February. Large-scale cooling trend observed around Ross Sea and warming trend in ABS sector are the distinct outcome of the study.</t>
  </si>
  <si>
    <t>[Oza, Sandip R.; Singh, R. K. K.; Vyas, N. K.] Indian Space Res Org, Ctr Space Applicat, Ahmadabad 380015, Gujarat, India; [Srivastava, Abhinav; Das, I. M. L.] Univ Allahabad, Dept Phys, Allahabad 211002, Uttar Pradesh, India; [Dash, Mihir K.] Indian Inst Technol, Ctr Oceans Rivers Atmosphere &amp; Land Sci, Kharagpur 721302, W Bengal, India</t>
  </si>
  <si>
    <t>Department of Space (DoS), Government of India; Indian Space Research Organisation (ISRO); Space Applications Centre (SAC); University of Allahabad; Indian Institute of Technology System (IIT System); Indian Institute of Technology (IIT) - Kharagpur</t>
  </si>
  <si>
    <t>Oza, SR (corresponding author), Indian Space Res Org, Ctr Space Applicat, Ahmadabad 380015, Gujarat, India.</t>
  </si>
  <si>
    <t>sandipoza@sac.isro.gov.in</t>
  </si>
  <si>
    <t>Rajkumar, Kamaljit/I-8045-2013</t>
  </si>
  <si>
    <t>Rajkumar, Kamaljit/0000-0001-8864-3526</t>
  </si>
  <si>
    <t>WOS:000296935900015</t>
  </si>
  <si>
    <t>Sen Singh, D; Ravindra, R</t>
  </si>
  <si>
    <t>Sen Singh, Dhruv; Ravindra, Rasik</t>
  </si>
  <si>
    <t>Control of glacial and fluvial environments in the Ny-Alesund region, Arctic</t>
  </si>
  <si>
    <t>Arctic; Glacial; Fluvial; Landforms; Climate; Tectonics</t>
  </si>
  <si>
    <t>Ny-Alesund, located in Svalbard, Arctic exhibits complex topography and geomorphic features evolved by various sedimentary environments under direct control of climate and tectonics. The controls of glacial and fluvial environments were analyzed on the basis of field documentation of geomorphic features evolved by small valley glaciers (Vestre brogger and Midre loven) and streams originating from it. These terrestrial valley glaciers are characterized by convex wrinkled surface, crevasses, bergchrunds, supraglacial streams, longitudinal debris strips, lateral moraines, recessional moraines, hummock), moraines, thrust moraines, convex longitudinal profile with breaks in slope, fractures and joints. The glacial deposits are made up of very poorly sorted clast to matrix supported boulders with varying sizes of clast, matrix and gravels. The matrix supported fades underlain by Oast supported facies indicate the increasing energy of the glacier and so the cold climate. The hi-modal palaeocurrent pattern of moraines suggests two prominent directions for the movement of glaciers in the past under direct control of tectonic activity. The granulometric analysis of the streams indicate moderately sorted medium to coarse sand. The mean grain size decreases from origin to the middle reaches of the river and increases towards its mouth. The percentage of the finer sediments decreases and coarser fragments increases in the downstream direction. The results of the granulometric parameters which are contrary to the normal fluvial system are due to the control of tectonic activity. The present study provides the basic characteristics and activity of the glacial and fluvial environments the interpretation of, which explains the control of tectonic activity in this region.</t>
  </si>
  <si>
    <t>[Sen Singh, Dhruv] Univ Lucknow, Ctr Adv Study Geol, Lucknow 22600, Uttar Pradesh, India; [Ravindra, Rasik] Natl Ctr Antarctic &amp; Ocean Res, Vasco Da Gama, Goa, India</t>
  </si>
  <si>
    <t>Lucknow University; Ministry of Earth Sciences (MoES) - India; National Centre for Polar and Ocean Research (NCPOR)</t>
  </si>
  <si>
    <t>Sen Singh, D (corresponding author), Univ Lucknow, Ctr Adv Study Geol, Lucknow 22600, Uttar Pradesh, India.</t>
  </si>
  <si>
    <t>dhruvsensingh@rediffmail.com</t>
  </si>
  <si>
    <t>WOS:000296935900016</t>
  </si>
  <si>
    <t>Shukla, SK; Sudhakar, M</t>
  </si>
  <si>
    <t>Shukla, Sunil Kumar; Sudhakar, M.</t>
  </si>
  <si>
    <t>Comparison of modern and fossil diatom assemblages and their implication on sea-ice conditions in coastal Antarctic region</t>
  </si>
  <si>
    <t>Costal Antarctica; Indian Ocean Sector; Modem diatoms; Fossil diatoms</t>
  </si>
  <si>
    <t>FRACTIONATED PHYTOPLANKTON BIOMASS; SOUTHERN-OCEAN SEDIMENTS; LARGE-SCALE CIRCULATION; EASTERN INDIAN SECTOR; SURFACE SEDIMENTS; ROSS SEA; OCEANOGRAPHIC CONTROL; CIRCUMPOLAR CURRENT; ATLANTIC SECTOR; BIOGENIC OPAL</t>
  </si>
  <si>
    <t>Antarctic Coastal regions are thought to be characterized by high productivity usually dominated by diatoms. Considering their prime importance in global carbon biological pump, diatom distribution and abundance studies are sparse especially in coastal regions of Antarctica. Biogenic silica is considered to be severely affected by dissolution in the undersaturated ocean water, therefore, combined study of diatom assemblages from water column and those found in the sediments is important. Therefore, we conducted a combined study of sediment diatoms along with surface water diatoms collected from Coastal Antarctica. When the modern assemblages are compared to the fossil record, it is clear the most of the important diatoms from the summer assemblages are not preserved in the underlying sediments. The studies reveal that only F. kerguelensis is common abundant species in both water and sediment which suggests that coastal Antarctic region could be having more open ocean influence. In contrast, the presence of sea ice related diatom species from surface sediment indicate for expansion of sea ice or ice edge adjacent to the water column, however such species were not found in the overlying water samples which could be due to less sea-ice extent.</t>
  </si>
  <si>
    <t>[Shukla, Sunil Kumar] Goa Univ, Dept Marine Sci, Taleigao Plateau 403206, Goa, India; [Sudhakar, M.] Govt India, Minist Earth Sci, New Delhi 110003, India</t>
  </si>
  <si>
    <t>Goa University; Ministry of Earth Sciences (MoES) - India</t>
  </si>
  <si>
    <t>Shukla, SK (corresponding author), Goa Univ, Dept Marine Sci, Taleigao Plateau 403206, Goa, India.</t>
  </si>
  <si>
    <t>m.sudhakar@nic.in</t>
  </si>
  <si>
    <t>Shukla, Sunil/GLR-0323-2022</t>
  </si>
  <si>
    <t>Shukla, Sunil/0000-0002-7517-5564</t>
  </si>
  <si>
    <t>Ministry of Earth Sciences; NCAOR; Scientific team, Master</t>
  </si>
  <si>
    <t>We are thankful to Secretary, Ministry of Earth Sciences and Director, NCAOR for funding support. Dr. S. M. Pednekar, the Scientific team, Master and crew onboard R.V. Boris Petrov is acknowledged for their support in data collection during the Expedition.</t>
  </si>
  <si>
    <t>WOS:000296935900019</t>
  </si>
  <si>
    <t>Thamban, M; Naik, SS; Laluraj, CM; Ravindra, R</t>
  </si>
  <si>
    <t>Thamban, Meloth; Naik, Sushant S.; Laluraj, C. M.; Ravindra, R.</t>
  </si>
  <si>
    <t>High resolution climate reconstructions of recent warming using instrumental and ice core records from coastal Antarctica</t>
  </si>
  <si>
    <t>Warming; Ice core; Stable isotope; Dronning Maud Land; Antarctica</t>
  </si>
  <si>
    <t>DRONNING-MAUD-LAND; SOUTHERN ANNULAR MODE; EAST ANTARCTICA; VARIABILITY; ACCUMULATION; CIRCULATION; SURFACE</t>
  </si>
  <si>
    <t>In-situ observational record of Antarctic surface temperatures is rather sparse. Proxy based ice core studies arc thus critical for reconstructing the past climate change on centennial and decadal time scales. The present study review the available instrumental and proxy records from the Dronning Maud Land region of East Antarctica as well as report recent evidences of Antarctic climate change and its global linkages. The monthly mean air temperature records of the Novolazarevskaya (Novo) station, which is the longest (since 1961) and continuous meteorological record in this region, revealed a significant warming trend at a rate of 0.25 degrees C / decade. To understand the spatial and temporal consistency of this warming, well-dated ice cores from the coastal Dronning Maud Land region were assessed. All proxy records consistently suggest an enhanced warming up to +0.12 degrees C / decade. This is further supported by a recent assessment of stable oxygen and hydrogen isotope proxy records from two high resolution ice cores (IND-25/B5 and IND-22/B4) from this region. Among these records, the IND-25/B5 provided ultra-high-resolution data for the past 100 years (1905-2005) and the IND-22/B4 core represented the past similar to 470 years (1530-2002) of Antarctic change. These ice records provided insights on the influence of solar forcing on Antarctic climate system as well as its linkages with the tropical and mid-latitude climatic modes like the Southern Annular Mode (SAM) and El Nino Southern Oscillation (ENSO). The calculated surface air temperatures using these records showed a warming by 0.06-0.1 degrees C / decade, with greatly enhanced warming during the past several decades (similar to 0.4 degrees C / decade). It is confirmed that the coastal areas of Dronning Maud Land are indeed warming and the trend is apparently enhancing in the recent decades.</t>
  </si>
  <si>
    <t>[Thamban, Meloth; Laluraj, C. M.; Ravindra, R.] Natl Ctr Antarctic &amp; Ocean Res, Headland Sada 403004, Goa, India; [Naik, Sushant S.] Natl Inst Oceanog, Panaji 403004, Goa, India</t>
  </si>
  <si>
    <t>Thamban, M (corresponding author), Natl Ctr Antarctic &amp; Ocean Res, Headland Sada 403004, Goa, India.</t>
  </si>
  <si>
    <t>meloth@ncaor.org</t>
  </si>
  <si>
    <t>Thamban, Meloth/0000-0003-3379-8189</t>
  </si>
  <si>
    <t>Ministry of Earth Sciences (New Delhi)</t>
  </si>
  <si>
    <t>We thank the Ministry of Earth Sciences (New Delhi) for the financial support. We also acknowledge the field efforts of Arun Chaturvedi, A. Rajakumar, A. Singh, P. C. George as well as the laboratory efforts of B.L. Redkar. This is NCAOR Contribution No. xxxx/2011.</t>
  </si>
  <si>
    <t>WOS:000296935900020</t>
  </si>
  <si>
    <t>Kida, S</t>
  </si>
  <si>
    <t>Kida, Shinichiro</t>
  </si>
  <si>
    <t>The Impact of Open Oceanic Processes on the Antarctic Bottom Water Outflows</t>
  </si>
  <si>
    <t>DENSE WATER; WEDDELL SEA; AMBIENT STRATIFICATION; OFFSHORE TRANSPORT; SLOPE FRONT; CIRCULATION; OVERFLOWS; DEEP; ENTRAINMENT; CURRENTS</t>
  </si>
  <si>
    <t>The impact of open oceanic processes on the Antarctic Bottom Water (AABW) outflows is investigated using a numerical model with a focus on outflows that occur through deep channels. A major branch of the AABW outflow is known to occur as an overflow from the Filchner Depression to the Weddell Sea through a deep channel a few hundred kilometers wide and a sill roughly 500 m deep. When this overflow enters the Weddell Sea, it encounters the Antarctic Slope Front (ASF) at the shelf break, a density front commonly found along the Antarctic continental shelf break. The presence of an AABW outflow and the ASF create a v-shaped isopycnal structure across the shelf break, indicating an interaction between the overflow and oceanic processes. Model experiments show the overflow transport to increase significantly when an oceanic wind stress increases the depth of the ASF. This enhancement of overflow transport occurs because the channel walls allow a pressure gradient in the along-slope direction to exist and the overflow transport is geostrophically controlled with its ambient oceanic water at the shelf break. Because the ASF is associated with a lighter water mass that reaches the depth close to that of the channel, an increase in its depth increases the density gradient across the shelf break and therefore the geostrophic overflow transport. The enhancement of overflow transport is also likely to result in a lighter overflow water mass, although such an adjustment of density likely occurs on a much longer time scale than the adjustment of transport.</t>
  </si>
  <si>
    <t>Japan Agcy Marine Earth Sci &amp; Technol, Earth Simulator Ctr, Kanazawa Ku, Yokohama, Kanagawa 2360001, Japan</t>
  </si>
  <si>
    <t>Japan Agency for Marine-Earth Science &amp; Technology (JAMSTEC)</t>
  </si>
  <si>
    <t>Kida, S (corresponding author), Japan Agcy Marine Earth Sci &amp; Technol, Earth Simulator Ctr, Kanazawa Ku, 3175-25 Showa Machi, Yokohama, Kanagawa 2360001, Japan.</t>
  </si>
  <si>
    <t>kidas@jamstec.go.jp</t>
  </si>
  <si>
    <t>Kida, Shinichiro/N-2986-2019; Kida, Shinichiro/E-9137-2014</t>
  </si>
  <si>
    <t>Kida, Shinichiro/0000-0002-9471-4316; Kida, Shinichiro/0000-0002-9471-4316</t>
  </si>
  <si>
    <t>10.1175/2011JPO4571.1</t>
  </si>
  <si>
    <t>845CD</t>
  </si>
  <si>
    <t>WOS:000296799600008</t>
  </si>
  <si>
    <t>Harvey, PM; Poynter, SDH; Shellie, RA</t>
  </si>
  <si>
    <t>Harvey, Paul McA.; Poynter, Samuel D. H.; Shellie, Robert A.</t>
  </si>
  <si>
    <t>GCxGC with Fluidic Modulation for Enantioselective Essential Oil Analysis</t>
  </si>
  <si>
    <t>LC GC EUROPE</t>
  </si>
  <si>
    <t>2-DIMENSIONAL GAS-CHROMATOGRAPHY; GC</t>
  </si>
  <si>
    <t>Properly informed column selection greatly simplifies the process of method development and provides greater flexibility in instrument settings for comprehensive two-dimensional gas chromatography (GCxGC) with fluidic modulation. In the present investigation a long (20 m) narrow-bore (0.10 mm i.d.) column was used in the first separation dimension. In this way, the separation column itself provided sufficient pressure-drop to alleviate flow disturbance in the first dimension column caused by actuating the modulator valve. The use of a narrow-bore column in the first dimension is highly beneficial because it is also more suited to lower volumetric flow-rates and therefore permits use of a longer modulation period without causing sample loop breakthrough. Enantioselective separation of spearmint essential oil was performed to demonstrate performance of a fluidic modulation system.</t>
  </si>
  <si>
    <t>[Harvey, Paul McA.; Poynter, Samuel D. H.; Shellie, Robert A.] Univ Tasmania, ACROSS, Hobart, Tas 7001, Australia</t>
  </si>
  <si>
    <t>Harvey, PM (corresponding author), Univ Tasmania, ACROSS, Hobart, Tas 7001, Australia.</t>
  </si>
  <si>
    <t>Poynter, Samuel/O-9808-2016; Shellie, Robert/AAU-6100-2020</t>
  </si>
  <si>
    <t>Poynter, Samuel/0000-0002-5841-2687; Shellie, Robert/0000-0002-8470-0893</t>
  </si>
  <si>
    <t>Australian Research Council [DP110104923, DP0771893, 2930]; University of Tasmania; Australian Research Council [DP0771893] Funding Source: Australian Research Council</t>
  </si>
  <si>
    <t>Australian Research Council(Australian Research Council); University of Tasmania; Australian Research Council(Australian Research Council)</t>
  </si>
  <si>
    <t>Associate Professor Shellie is the recipient of art Australian Research Council Australian Research Fellowship (ARF) (project number DP110104923). This research was supported under Australian Research Council's Discovery Projects funding scheme (project number DP0771893), Australian Antarctic Science Grant 2930 and the University of Tasmania Rising Stars Program. The authors wish to thank Professor Luigi Mondello and co-workers at University of Messina for assisting with cryogenic modulation analysis.</t>
  </si>
  <si>
    <t>ADVANSTAR COMMUNICATIONS INC</t>
  </si>
  <si>
    <t>DULUTH</t>
  </si>
  <si>
    <t>131 W 1ST STREET, DULUTH, MN 55802 USA</t>
  </si>
  <si>
    <t>1471-6577</t>
  </si>
  <si>
    <t>LC GC EUR</t>
  </si>
  <si>
    <t>LC GC Eur.</t>
  </si>
  <si>
    <t>846VQ</t>
  </si>
  <si>
    <t>WOS:000296931700004</t>
  </si>
  <si>
    <t>Portner, RA; Daczko, NR; Murphy, MJ; Pearson, NJ</t>
  </si>
  <si>
    <t>Portner, Ryan A.; Daczko, Nathan R.; Murphy, Melissa J.; Pearson, Norman J.</t>
  </si>
  <si>
    <t>Enriching mantle melts within a dying mid-ocean spreading ridge: Insights from Hf-isotope and trace element patterns in detrital oceanic zircon</t>
  </si>
  <si>
    <t>Zircon; Oceanic; Detrital; Ophiolite; Mid-ocean ridge; Hf-isotope</t>
  </si>
  <si>
    <t>MID-ATLANTIC RIDGE; TI-IN-ZIRCON; SOUTHWEST INDIAN RIDGE; MACQUARIE ISLAND; U-PB; IGNEOUS ZIRCON; NEW-ZEALAND; LU-HF; CRUST; GEOCHEMISTRY</t>
  </si>
  <si>
    <t>Oceanic zircon trace element and Hf-isotope geochemistry offers a means to assess the magmatic evolution of a dying spreading ridge and provides an independent evaluation of the reliability of oceanic zircon as an indicator of mantle melting conditions. The Macquarie Island ophiolite in the Southern Ocean provides a unique testing ground for this approach due to its formation within a mid-ocean ridge that gradually changed into a transform plate boundary. Detrital zircon recovered from the island records this change through a progressive enrichment in incompatible trace elements. Oligocene age (33-27 Ma) paleo-detrital zircon in ophiolitic sandstones and breccias interbedded with pillow basalt have trace element compositions akin to a MORB crustal source, whereas Late Miocene age (8.5 Ma) modern-detrital zircon collected from gabbroic colluvium on the island have highly enriched compositions unlike typical oceanic zircon. This compositional disparity between age populations is not complimented by analytically equivalent epsilon Hf data that primarily ranges from 14 to 13 for sandstone and modern-detrital populations. A wider compositional range for the sandstone population reflects a multiple pluton source provenance and is augmented by a single cobble clast with epsilon Hf equivalent to the maximum observed composition in the sandstone (similar to 17). Similar sandstone and colluvium Hf-isotope signatures indicate inheritance from a similar mantle reservoir that was enriched from the depleted MORB mantle average. The continuity in Hf-isotope signature relative to trace element enrichment in Macquarie Island zircon populations, suggests the latter formed by reduced partial melting linked to spreading-segment shortening and transform lengthening along the dying spreading ridge. (C) 2011 Elsevier B.V. All rights reserved.</t>
  </si>
  <si>
    <t>[Portner, Ryan A.; Daczko, Nathan R.; Murphy, Melissa J.; Pearson, Norman J.] Macquarie Univ, Dept Earth &amp; Planetary Sci, GEMOC ARC Natl Key Ctr, N Ryde, NSW 2109, Australia</t>
  </si>
  <si>
    <t>Portner, RA (corresponding author), Macquarie Univ, Dept Earth &amp; Planetary Sci, GEMOC ARC Natl Key Ctr, N Ryde, NSW 2109, Australia.</t>
  </si>
  <si>
    <t>ryan.a.portner@gmail.com</t>
  </si>
  <si>
    <t>GAU, geochemist/H-1985-2016; Murphy, Melissa J/C-8375-2013</t>
  </si>
  <si>
    <t>Murphy, Melissa/0000-0002-0921-1467; Portner, Ryan/0000-0003-4821-8204; Daczko, Nathan/0000-0002-3737-3818</t>
  </si>
  <si>
    <t>Australian Antarctic Division (AAD) [2515]; ARC [DP0663373]; DEST; ARC LIEF; NCRIS; Macquarie University; Australian Research Council [DP0663373] Funding Source: Australian Research Council</t>
  </si>
  <si>
    <t>Australian Antarctic Division (AAD); ARC(Australian Research Council); DEST(Australian GovernmentDepartment of Industry, Innovation and Science); ARC LIEF(Australian Research Council); NCRIS(Australian GovernmentDepartment of Industry, Innovation and Science); Macquarie University; Australian Research Council(Australian Research Council)</t>
  </si>
  <si>
    <t>The Australian Antarctic Division (AAD project number 2515) and Tasmanian Parks and Wildlife Service provided logistical support on Macquarie Island. This project was supported by an ARC discovery grant to NRD (DP0663373). S. Allchurch, A. Pearse and P. Ferguson assisted with sample and data collection, and E. Belousova provided helpful insight for data processing. Critical reviews by Oliver Nebel, George Gehrels, and an anonymous reviewer, and the careful editorial work by Andrew Kerr improved the manuscript. The analytical data were obtained using instrumentation funded by DEST Systemic Infrastructure Grants, ARC LIEF, NCRIS, industry partners and Macquarie University. This is contribution 768 from the Australian Research Council National Key Centre for the Geochemical Evolution and Metallogeny of Continents (http://www.gemoc.mq.edu.au).</t>
  </si>
  <si>
    <t>10.1016/j.lithos.2011.07.017</t>
  </si>
  <si>
    <t>845KZ</t>
  </si>
  <si>
    <t>WOS:000296822900016</t>
  </si>
  <si>
    <t>Bulkeley, R</t>
  </si>
  <si>
    <t>Bulkeley, Rip</t>
  </si>
  <si>
    <t>'To unbar the gates of the South': Maury's 1860-1861 proposals for Antarctic cooperation</t>
  </si>
  <si>
    <t>POLAR RECORD</t>
  </si>
  <si>
    <t>In 1860 and 1861 Commander Matthew Fontaine Maury USN, (1806-1873), put forward the first ever proposal for international cooperation in polar research. Maury's initiative also prompted the first ever international correspondence about polar cooperation, fourteen years before Carl Weyprecht launched his better known proposal. For several reasons however, including the outbreak of the American Civil War, Maury's Antarctic project did not succeed. Maury's proposal was published in three languages, but the better known of its two English versions was prepared from text that had already been copied once or twice by hand. It suffered numerous minor errors and extensive editorial changes. To mark its 150th anniversary, Maury's autograph manuscript, now in the British National Archives, has been transcribed as accurately as possible, with his original wording, spellings and (lack of) punctuation. A commentary explains the origins and outcome of the project.</t>
  </si>
  <si>
    <t>Bulkeley, R (corresponding author), 38 Lonsdale Rd, Oxford OX2 7EW, England.</t>
  </si>
  <si>
    <t>rip@igy50.net</t>
  </si>
  <si>
    <t>0032-2474</t>
  </si>
  <si>
    <t>POLAR REC</t>
  </si>
  <si>
    <t>POLAR REC.</t>
  </si>
  <si>
    <t>10.1017/S0032247410000549</t>
  </si>
  <si>
    <t>Ecology; Environmental Sciences</t>
  </si>
  <si>
    <t>826PA</t>
  </si>
  <si>
    <t>WOS:000295364900002</t>
  </si>
  <si>
    <t>Brodier, S; Pisanu, B; Villers, A; Pettex, E; Lioret, M; Chapuis, JL; Bretagnolle, V</t>
  </si>
  <si>
    <t>Brodier, S.; Pisanu, B.; Villers, A.; Pettex, E.; Lioret, M.; Chapuis, J. -L.; Bretagnolle, V.</t>
  </si>
  <si>
    <t>Responses of seabirds to the rabbit eradication on Ile Verte, sub-Antarctic Kerguelen Archipelago</t>
  </si>
  <si>
    <t>Oryctolagus cuniculus; invasive mammal; burrowing petrels; brown skua; conservation program; Sub-Antarctic island</t>
  </si>
  <si>
    <t>CATHARACTA-SKUA-LONNBERGI; ORYCTOLAGUS-CUNICULUS; INTRODUCED PREDATORS; POPULATION CENSUS; MACQUARIE ISLAND; INVASIVE RATS; MAYES ISLAND; PETRELS; MAMMALS; IMPACT</t>
  </si>
  <si>
    <t>Studies on the role of introduced rabbits, Oryctolagus cuniculus, on islands have mainly focused on their negative impacts on vegetation. However, little attention has been paid to their influence on vertebrate communities. On Ile Verte (148 ha) in the sub-Antarctic Kerguelen Archipelago, rabbits are the only mammal that have been introduced. The long-term consequences of their eradication in 1992 on both native, burrowing seabird prey populations and their predator, the brown skua Catharacta skua, were investigated between 1991 and 2005. Densities of breeding petrels were followed on site with three plant communities differing in their soil depth. In addition, the diet and breeding activities of skuas were evaluated on the entire island area. The density of breeding pairs of the most abundant petrel species, the blue petrel Halobaena caerulea, which only nested at the site with deep-soil, increased by approximately eightfold during the 6 years following the rabbit eradication. Of the other species nesting in deep soil, there was an approximately fourfold reduction in the Antarctic prion, Pachyptila desolata, but such a decrease in breeding pair densities was not observed in areas with shallow soils. The South-Georgian diving petrels, Pelecanoides georgicus, was the rarest species, nesting only on mineral soils, and for which breeding pairs did not vary through time. The total numbers of fledged chicks of skua on the island significantly increased during the study period, but not the total number of breeding pairs. Thus, brown skuas were not affected by the disappearance of rabbits and rather benefited from an increase of their preferred prey. Blue petrels recovered quickly to sites with deep-soil, benefiting from the rabbit eradication and the cessation of burrow disturbance. The decrease of Antarctic prions could have been the result of an exclusion process from nesting areas on the deep soil site by blue petrels.</t>
  </si>
  <si>
    <t>[Brodier, S.; Pisanu, B.; Villers, A.; Pettex, E.; Lioret, M.; Chapuis, J. -L.] Museum Natl Hist Nat, Dept Ecol &amp; Gest Biodiversite, CERSP, UMR 7204, F-75231 Paris, France; [Villers, A.; Bretagnolle, V.] CNRS, Ctr Etud Biol Chize, Villiers En Bois, France; [Villers, A.] Univ Turku, Dept Biol, Sect Ecol, SF-20500 Turku, Finland</t>
  </si>
  <si>
    <t>Sorbonne Universite; Museum National d'Histoire Naturelle (MNHN); Centre National de la Recherche Scientifique (CNRS); CNRS - Institute of Ecology &amp; Environment (INEE); Centre National de la Recherche Scientifique (CNRS); University of Turku</t>
  </si>
  <si>
    <t>Chapuis, JL (corresponding author), Museum Natl Hist Nat, Dept Ecol &amp; Gest Biodiversite, CERSP, UMR 7204, 61 Rue Buffon, F-75231 Paris, France.</t>
  </si>
  <si>
    <t>chapuis@mnhn.fr</t>
  </si>
  <si>
    <t>Arnauld, VILLERS A/K-6629-2016; Villers, Alexandre/W-8184-2019; Pettex, Emeline/AAD-1850-2021</t>
  </si>
  <si>
    <t>Villers, Alexandre/0000-0003-3050-4106; Pettex, Emeline/0000-0002-3395-8405</t>
  </si>
  <si>
    <t>Institut Polaire Francais (IPEV) [136]; CNRS; Ministere de l'Amenagement du Territoire et de l'Environnement</t>
  </si>
  <si>
    <t>Institut Polaire Francais (IPEV); CNRS(Centre National de la Recherche Scientifique (CNRS)); Ministere de l'Amenagement du Territoire et de l'Environnement</t>
  </si>
  <si>
    <t>This research was supported by the Institut Polaire Francais (IPEV, Programme 136), the CNRS (Zone atelier antarctique) and the Ministere de l'Amenagement du Territoire et de l'Environnement (Programme Recreer la nature'). We thank two anonymous referees for their constructive comments on the paper and B. Planade for the English. We also wish to thank J. Asseline, M. Charavin, D. Haubreux, A. Hedel, J. Le Cuziat, L. Lefevre, A. Le Roch, V. Le Roux, A. Lucas, V. Magnet, V. Marsaudon, R. Perin and D. Rolland, for their dedicated work in the field.</t>
  </si>
  <si>
    <t>10.1111/j.1469-1795.2011.00455.x</t>
  </si>
  <si>
    <t>846JX</t>
  </si>
  <si>
    <t>WOS:000296894900001</t>
  </si>
  <si>
    <t>Denny, M; Dorgan, KM; Evangelista, D; Hettinger, A; Leichter, J; Ruder, WC; Tuval, I</t>
  </si>
  <si>
    <t>Denny, Mark; Dorgan, Kelly M.; Evangelista, Dennis; Hettinger, Annaliese; Leichter, James; Ruder, Warren C.; Tuval, Idan</t>
  </si>
  <si>
    <t>Anchor Ice and Benthic Disturbance in Shallow Antarctic Waters: Interspecific Variation in Initiation and Propagation of Ice Crystals</t>
  </si>
  <si>
    <t>BIOLOGICAL BULLETIN</t>
  </si>
  <si>
    <t>MCMURDO SOUND; FRAZIL ICE; COMMUNITIES; INVERTEBRATES; TEMPERATURES; SEAWATER; SPONGE</t>
  </si>
  <si>
    <t>Sea ice typically forms at the ocean's surface, but given a source of supercooled water, an unusual form of ice-anchor ice-can grow on objects in the water column or at the seafloor. For several decades, ecologists have considered anchor ice to be an important agent of disturbance in the shallow-water benthic communities of McMurdo Sound, Antarctica, and potentially elsewhere in polar seas. Divers have documented anchor ice in the McMurdo communities, and its presence coincides with reduced abundance of the sponge Homaxinella balfourensis, which provides habitat for a diverse assemblage of benthic organisms. However, the mechanism of this disturbance has not been explored. Here we show interspecific differences in anchor-ice formation and propagation characteristics for Antarctic benthic organisms. The sponges H. balfourensis and Suberites caminatus show increased incidence of formation and accelerated spread of ice crystals compared to urchins and sea stars. Anchor ice also forms readily on sediments, from which it can grow and adhere to organisms. Our results are consistent with, and provide a potential first step toward, an explanation for disturbance patterns observed in shallow polar benthic communities. Interspecific differences in ice formation raise questions about how surface tissue characteristics such as surface area, rugosity, and mucus coating affect ice formation on invertebrates.</t>
  </si>
  <si>
    <t>Stanford Univ, Hopkins Marine Stn, Pacific Grove, CA 93950 USA; [Dorgan, Kelly M.; Evangelista, Dennis] Univ Calif Berkeley, Dept Integrat Biol, Berkeley, CA 94720 USA; [Hettinger, Annaliese] Univ Calif Davis, Bodega Marine Lab, Bodega Bay, CA 94923 USA; [Leichter, James] Scripps Inst Oceanog, La Jolla, CA 92037 USA; [Ruder, Warren C.] Carnegie Mellon Univ, Dept Biomed Engn, Pittsburgh, PA 15213 USA; [Tuval, Idan] Univ Cambridge, Dept Appl Math &amp; Theoret Phys, Cambridge CB1, England</t>
  </si>
  <si>
    <t>Stanford University; University of California System; University of California Berkeley; University of California System; University of California Davis; University of California System; University of California San Diego; Scripps Institution of Oceanography; Carnegie Mellon University; University of Cambridge</t>
  </si>
  <si>
    <t>Denny, M (corresponding author), Stanford Univ, Hopkins Marine Stn, Pacific Grove, CA 93950 USA.</t>
  </si>
  <si>
    <t>mwdenny@stanford.edu</t>
  </si>
  <si>
    <t>tuval, idan/G-9732-2011; Evangelista, Dennis/N-4434-2013</t>
  </si>
  <si>
    <t>tuval, idan/0000-0002-6629-0851; Denny, Mark/0000-0003-0277-9022; Evangelista, Dennis/0000-0002-6565-8300</t>
  </si>
  <si>
    <t>UC; Berkeley Center for Integrative Biomechanics Education and Research (CIBER); NSF [IOS-0642249, GK-12]; ONR [N000140910215]</t>
  </si>
  <si>
    <t>UC; Berkeley Center for Integrative Biomechanics Education and Research (CIBER); NSF(National Science Foundation (NSF)); ONR(Office of Naval Research)</t>
  </si>
  <si>
    <t>This study was undertaken as part of the NSF-sponsored course in Integrative Biology (OPP 0504072). We thank Donal Manahan and Deneb Karentz for organizing the course, the staff of McMurdo Station for their support, and Judith Connor for assistance in collecting algae. J. Pearse and two anonymous reviewers provided invaluable comments on the manuscript. D.E. acknowledges the support of the UC Berkeley Chancellor's Fellowship, the NSF 1GERT program, and equipment loaned by the Berkeley Center for Integrative Biomechanics Education and Research (CIBER). K.M.D. acknowledges support from NSF grant IOS-0642249 to M.A.R. Koehl. A.H. acknowledges support from a NSF GK-12 fellowship. W.C.R acknowledges support from ONR grant N000140910215 to P.R. LeDuc.</t>
  </si>
  <si>
    <t>MARINE BIOLOGICAL LABORATORY</t>
  </si>
  <si>
    <t>WOODS HOLE</t>
  </si>
  <si>
    <t>7 MBL ST, WOODS HOLE, MA 02543 USA</t>
  </si>
  <si>
    <t>0006-3185</t>
  </si>
  <si>
    <t>BIOL BULL-US</t>
  </si>
  <si>
    <t>Biol. Bull.</t>
  </si>
  <si>
    <t>10.1086/BBLv221n2p155</t>
  </si>
  <si>
    <t>Biology; Marine &amp; Freshwater Biology</t>
  </si>
  <si>
    <t>Life Sciences &amp; Biomedicine - Other Topics; Marine &amp; Freshwater Biology</t>
  </si>
  <si>
    <t>842JG</t>
  </si>
  <si>
    <t>WOS:000296594800002</t>
  </si>
  <si>
    <t>Schulz, EW; Grosenbaugh, MA; Pender, L; Greenslade, DJM; Trull, TW</t>
  </si>
  <si>
    <t>Schulz, E. W.; Grosenbaugh, M. A.; Pender, L.; Greenslade, D. J. M.; Trull, T. W.</t>
  </si>
  <si>
    <t>Mooring Design Using Wave-State Estimate from the Southern Ocean</t>
  </si>
  <si>
    <t>SEA INTERACTION EXPERIMENT; RESEARCH MOORED ARRAY; VARIABILITY; SYSTEM; HEAT; MILE</t>
  </si>
  <si>
    <t>The Southern Ocean Flux Station was deployed near 47 degrees S, 140 degrees E. The extreme wind and wave conditions at this location require appropriate mooring design, which includes dynamic fatigue analysis and static analysis. An accurate estimate of the wave conditions was essential. A motion reference unit was deployed in a nearby test mooring for 6 months. The motion data provided estimates of significant wave height that agreed well with the Australian Bureau of Meteorology wave model, increasing confidence in the model performance in the Southern Ocean. The results of the dynamic fatigue analysis using three input wave datasets and implications for the mooring design are described. The design analysis predicts the fatigue life for critical mooring components and guided the final selection of links and chain shackles. The three input wave climatologies do not differ greatly, and this is reflected in minimal changes to mooring components for each of the fatigue analyses.</t>
  </si>
  <si>
    <t>[Schulz, E. W.; Greenslade, D. J. M.] Bur Meteorol, Ctr Australian Weather &amp; Climate Res, Melbourne, Vic 3001, Australia; [Schulz, E. W.; Greenslade, D. J. M.] Australian Bur Meteorol, Melbourne, Vic, Australia; [Grosenbaugh, M. A.] Woods Hole Oceanog Inst, Woods Hole, MA 02543 USA; [Trull, T. W.] Univ Tasmania, Commonwealth Sci Res Org, Ctr Australian Weather &amp; Climate Res, Hobart, Tas, Australia; [Trull, T. W.] Antarctic Climate &amp; Ecosyst Cooperat Res Ctr, Hobart, Tas, Australia</t>
  </si>
  <si>
    <t>Commonwealth Scientific &amp; Industrial Research Organisation (CSIRO); Bureau of Meteorology - Australia; Bureau of Meteorology - Australia; Woods Hole Oceanographic Institution; University of Tasmania; Commonwealth Scientific &amp; Industrial Research Organisation (CSIRO); Antarctic Climate &amp; Ecosystems Cooperative Research Centre (ACE CRC)</t>
  </si>
  <si>
    <t>Schulz, EW (corresponding author), Bur Meteorol, Ctr Australian Weather &amp; Climate Res, GPO Box 1289, Melbourne, Vic 3001, Australia.</t>
  </si>
  <si>
    <t>e.schulz@bom.gov.au</t>
  </si>
  <si>
    <t>Trull, Tom W/B-7028-2014; Greenslade, Diana/M-6605-2019; Greenslade, Diana/A-1485-2012</t>
  </si>
  <si>
    <t>Greenslade, Diana/0000-0001-6644-1878;</t>
  </si>
  <si>
    <t>Federal Government's National Collaborative Research Infrastructure Strategy and the Super Science Initiative; Antarctic Climate and Ecosystem Cooperative Research Centre; Australian Antarctic Sciences program [1156]</t>
  </si>
  <si>
    <t>Federal Government's National Collaborative Research Infrastructure Strategy and the Super Science Initiative; Antarctic Climate and Ecosystem Cooperative Research Centre; Australian Antarctic Sciences program</t>
  </si>
  <si>
    <t>The Pulse and SOFS moorings are platforms contributing to the Southern Ocean Time Series (SOTS) Facility, a component of the Australian Integrated Marine Observing System (IMOS). From 2010 onward these moorings are part of the IMOS Australian Bluewater Observing System Facility. The Pulse mooring design effort was initiated by Tom Trull under the auspices of the Antarctic Climate and Ecosystem Cooperative Research Centre in 2003. Since 2006 it has been part of IMOS. Many years of logistic support for these deployments have been provided by the Australian Marine National Facility and the Australian Antarctic Sciences program (Award 1156). IMOS is funded through the Federal Government's National Collaborative Research Infrastructure Strategy and the Super Science Initiative.</t>
  </si>
  <si>
    <t>10.1175/JTECH-D-10-05033.1</t>
  </si>
  <si>
    <t>843FP</t>
  </si>
  <si>
    <t>WOS:000296658000015</t>
  </si>
  <si>
    <t>Stuart, KM; Long, DG</t>
  </si>
  <si>
    <t>Stuart, K. M.; Long, D. G.</t>
  </si>
  <si>
    <t>Iceberg size and orientation estimation using SeaWinds</t>
  </si>
  <si>
    <t>COLD REGIONS SCIENCE AND TECHNOLOGY</t>
  </si>
  <si>
    <t>SeaWinds; Scatterometer; Icebergs; Estimation; Maximum-likelihood estimation</t>
  </si>
  <si>
    <t>PENCIL-BEAM SCATTEROMETER; BACKSCATTER MEASUREMENTS; DISTRIBUTIONS</t>
  </si>
  <si>
    <t>SeaWinds scatterometer data from 1999 to 2009 has been used to detect and track large Antarctic icebergs on a daily basis. Here, we develop two estimation algorithms to supplement iceberg position reports with estimates of the iceberg's major-axis length, minor-axis length, and angle of rotational orientation. The first algorithm is an image-based approach while the second is based on raw SeaWinds measurements. Maximum-likelihood objective functions that relate SeaWinds backscatter observations to model predictions are developed. The utility of both estimation approaches is analyzed in simulation and with actual data via a case study of iceberg A22a. The image-based approach is found to outperform the measurement-based technique. Results are validated using high-resolution imagery. Estimates are also compared with reports compiled by the United States National Ice Center. (C) 2011 Elsevier B.V. All rights reserved.</t>
  </si>
  <si>
    <t>[Stuart, K. M.; Long, D. G.] Brigham Young Univ, Microwave Earth Remote Sensing Lab, Provo, UT 84602 USA</t>
  </si>
  <si>
    <t>Brigham Young University</t>
  </si>
  <si>
    <t>Long, DG (corresponding author), Brigham Young Univ, Microwave Earth Remote Sensing Lab, 459 CB, Provo, UT 84602 USA.</t>
  </si>
  <si>
    <t>stuart@mers.byu.edu; long@ee.byu.edu</t>
  </si>
  <si>
    <t>Long, David G./K-4908-2015</t>
  </si>
  <si>
    <t>Long, David G./0000-0002-1852-3972</t>
  </si>
  <si>
    <t>0165-232X</t>
  </si>
  <si>
    <t>1872-7441</t>
  </si>
  <si>
    <t>COLD REG SCI TECHNOL</t>
  </si>
  <si>
    <t>Cold Reg. Sci. Tech.</t>
  </si>
  <si>
    <t>10.1016/j.coldregions.2011.07.006</t>
  </si>
  <si>
    <t>Engineering, Environmental; Engineering, Civil; Geosciences, Multidisciplinary</t>
  </si>
  <si>
    <t>Engineering; Geology</t>
  </si>
  <si>
    <t>838RY</t>
  </si>
  <si>
    <t>WOS:000296311100004</t>
  </si>
  <si>
    <t>Lee, RL; Meyer, W; Hoeppe, G</t>
  </si>
  <si>
    <t>Lee, Raymond L., Jr.; Meyer, Wolfgang; Hoeppe, Goetz</t>
  </si>
  <si>
    <t>Atmospheric ozone and colors of the Antarctic twilight sky</t>
  </si>
  <si>
    <t>APPLIED OPTICS</t>
  </si>
  <si>
    <t>STRATOSPHERIC DUST; INTENSITY; AEROSOL; ZENITH</t>
  </si>
  <si>
    <t>Zenith skylight is often distinctly blue during clear civil twilights, and much of this color is due to preferential absorption at longer wavelengths by ozone's Chappuis bands. Because stratospheric ozone is greatly depleted in the austral spring, such decreases could plausibly make Antarctic twilight colors less blue then, including at the zenith. So for several months in 2005, we took digital images of twilight zenith and antisolar skies at Antarctica's Georg von Neumayer Station. Our colorimetric analysis of these images shows only weak correlations between ozone concentration and twilight colors. We also used a spectroradiometer at a midlatitude site to measure zenith twilight spectra and colors. At both locations, spectral extinction by aerosols seems as important as ozone absorption in explaining colors seen throughout the twilight sky. (C) 2011 Optical Society of America</t>
  </si>
  <si>
    <t>[Lee, Raymond L., Jr.] USN Acad, Div Math &amp; Sci, Annapolis, MD 21402 USA; [Meyer, Wolfgang] Berufsgenossenschaftliche Unfallklin Duisburg, D-47247 Duisburg, Germany; [Hoeppe, Goetz] Coll William &amp; Mary, Dept Anthropol, Williamsburg, VA 23187 USA</t>
  </si>
  <si>
    <t>United States Department of Defense; United States Navy; United States Naval Academy; William &amp; Mary</t>
  </si>
  <si>
    <t>Lee, RL (corresponding author), USN Acad, Div Math &amp; Sci, Annapolis, MD 21402 USA.</t>
  </si>
  <si>
    <t>raylee@usna.edu</t>
  </si>
  <si>
    <t>Hoeppe, Gotz/0000-0003-1011-4725</t>
  </si>
  <si>
    <t>United States National Science Foundation (NSF) [AGS-0914535]; United States Naval Academy's Departments of Oceanography and Physics; German Federal Ministry for Education and Research (BMFT); Verlag Spektrum der Wissenschaft (Heidelberg, Germany)</t>
  </si>
  <si>
    <t>United States National Science Foundation (NSF)(National Science Foundation (NSF)); United States Naval Academy's Departments of Oceanography and Physics; German Federal Ministry for Education and Research (BMFT)(Federal Ministry of Education &amp; Research (BMBF)); Verlag Spektrum der Wissenschaft (Heidelberg, Germany)</t>
  </si>
  <si>
    <t>Lee was generously supported by United States National Science Foundation (NSF) grant AGS-0914535 and by the United States Naval Academy's Departments of Oceanography and Physics. Opinions, findings, and conclusions or recommendations expressed in this paper are those of the authors and do not necessarily reflect the views of the National Science Foundation. We thank the Alfred Wegener Institute for Polar and Marine Research and the scientists and technicians at Georg von Neumayer Station for their able logistical support of Meyer's 2005 photographic campaign. The Alfred Wegener Institute is funded by the German Federal Ministry for Education and Research (BMFT). We also thank Oliver Montenbruck of the Deutsches Zentrum fur Luft- und Raumfahrt (Oberpfaffenhofen, Germany) for computing vital solar ephemeris data used at Neumayer. Photographic equipment was kindly funded by the Verlag Spektrum der Wissenschaft (Heidelberg, Germany).</t>
  </si>
  <si>
    <t>1559-128X</t>
  </si>
  <si>
    <t>2155-3165</t>
  </si>
  <si>
    <t>APPL OPTICS</t>
  </si>
  <si>
    <t>Appl. Optics</t>
  </si>
  <si>
    <t>OCT 1</t>
  </si>
  <si>
    <t>F162</t>
  </si>
  <si>
    <t>F171</t>
  </si>
  <si>
    <t>10.1364/AO.50.00F162</t>
  </si>
  <si>
    <t>832XA</t>
  </si>
  <si>
    <t>WOS:000295842600020</t>
  </si>
  <si>
    <t>Can, Ö; Holland, NB</t>
  </si>
  <si>
    <t>Can, Oezge; Holland, Nolan B.</t>
  </si>
  <si>
    <t>Conjugation of Type I Antifreeze Protein to Polyallylamine Increases Thermal Hysteresis Activity</t>
  </si>
  <si>
    <t>BIOCONJUGATE CHEMISTRY</t>
  </si>
  <si>
    <t>ICE CRYSTAL MORPHOLOGY; WINTER FLOUNDER; BINDING FACES; GROWTH; DIMER; INHIBITION; ADSORPTION; MECHANISM; PEPTIDES; SLURRIES</t>
  </si>
  <si>
    <t>Antifreeze proteins (AFPs) are ice binding proteins found in some plants, insects, and Antarctic fish allowing them to survive at subzero temperatures by inhibiting ice crystal growth. The interaction of AFPs with ice crystals results in a difference between the freezing and melting temperatures, termed thermal hysteresis, which is the most common measure of AFP activity. Creating antifreeze protein constructs that reduce the concentration of protein needed to observe thermal hysteresis activities would be beneficial for diverse applications including cold storage of cells or tissues, ice slurries used in refrigeration systems, and food storage. We demonstrate that conjugating multiple type I AFPs to a polyallylamine chain increases thermal hysteresis activity compared to the original protein. The reaction product is approximately twice as active when compared to the same concentration of free proteins, yielding 0.5 degrees C thermal hysteresis activity at 0.3 mM protein concentration. More impressively, the amount of protein required to achieve a thermal hysteresis of 0.3 degrees C is about 100 times lower when conjugated to the polymer (3 mu M) compared to free protein (300 mu M). Ice crystal morphologies observed in the presence of the reaction product are comparable to those of the protein used in the conjugation reaction.</t>
  </si>
  <si>
    <t>[Can, Oezge; Holland, Nolan B.] Cleveland State Univ, Dept Chem &amp; Biomed Engn, Cleveland, OH 44115 USA</t>
  </si>
  <si>
    <t>University System of Ohio; Cleveland State University</t>
  </si>
  <si>
    <t>Holland, NB (corresponding author), Cleveland State Univ, Dept Chem &amp; Biomed Engn, 2121 Euclid Ave, Cleveland, OH 44115 USA.</t>
  </si>
  <si>
    <t>n.holland1@csuohio.edu</t>
  </si>
  <si>
    <t>Can, Ozge/G-9355-2015; Holland, Nolan/F-6933-2011</t>
  </si>
  <si>
    <t>Holland, Nolan/0000-0002-0752-6887</t>
  </si>
  <si>
    <t>American Heart Association [0635084N]; Cleveland State University</t>
  </si>
  <si>
    <t>American Heart Association(American Heart Association); Cleveland State University</t>
  </si>
  <si>
    <t>We thank A. H. Heuer and A. McIlwain (Case Western Reserve University) for use of and assistance with the nanoliter osmometer and M. A. Ruegsegger (The Ohio State University) for helpful advice with the bioconjugation procedure. This research is supported by awards from the American Heart Association (Scientist Development Grant, 0635084N) and the Cleveland State University Doctoral Dissertation Research Expense Award Program.</t>
  </si>
  <si>
    <t>1043-1802</t>
  </si>
  <si>
    <t>1520-4812</t>
  </si>
  <si>
    <t>BIOCONJUGATE CHEM</t>
  </si>
  <si>
    <t>Bioconjugate Chem.</t>
  </si>
  <si>
    <t>10.1021/bc2004318</t>
  </si>
  <si>
    <t>Biochemical Research Methods; Biochemistry &amp; Molecular Biology; Chemistry, Multidisciplinary; Chemistry, Organic</t>
  </si>
  <si>
    <t>833WE</t>
  </si>
  <si>
    <t>WOS:000295915100032</t>
  </si>
  <si>
    <t>Reproduction of the large-scale state of water and sea ice in the arctic ocean in 1948-2002: Part I. Numerical model</t>
  </si>
  <si>
    <t>ocean circulation model; climate change; Beaufort circulation; freshwater; North Atlantic oscillation</t>
  </si>
  <si>
    <t>NORTH-ATLANTIC; FRESH-WATER; CIRCULATION; VARIABILITY; FLUXES; SYSTEM; HEAT</t>
  </si>
  <si>
    <t>Calculations were performed using a model of the combined circulation of the Atlantic Ocean (from 20A degrees S), the Arctic Ocean, and the Bering Sea with a resolution of 0.25A degrees by latitude and longitude for 1958-2006. The results are compared with observational data and results obtained by other models. Model estimates were obtained for the evolution of the Atlantic water inflow into the Arctic basin through the Fram Strait and the Barents Sea. Increased transports of Atlantic water inflow into the Arctic basin were found for the first half of the 1990s and 2004-2006. The relation between Atlantic water transports into the Arctic basin and variations in the North Atlantic oscillation is shown. A positive trend of Atlantic water inflow into the Arctic basin through the Fram Strait (0.061 Sv per year) was revealed. The evolution of the freshwater-layer thickness in the Beaufort Circulation (BC) is considered. There are three periods of its increased values combined with the increased anticyclonic vorticity of BC currents: the 1960s, the 1980s, and from 1999 until now. The model estimate for a statistical mean timescale of the cycle of freshwater concentration and sink from the BC is 16 years, which is close to currently existing estimates. The evolution of anticyclonic vorticity of currents leads the variations in the freshwater-layer thickness of the BC by 1.75 years. Since the mid-1970s, there have been long positive trends of both the freshwater-layer thickness and anticyclonic vorticity of currents in the BC. In the same time period, there has been a satellite-registered negative trend in the ice area in the Arctic, which was reproduced by the model.</t>
  </si>
  <si>
    <t>Gusev, Anatoly/M-4012-2019; Diansky, Nikolay A/R-8307-2018</t>
  </si>
  <si>
    <t>Gusev, Anatoly/0000-0002-6463-3179; Diansky, Nikolay/0000-0002-6785-1956</t>
  </si>
  <si>
    <t>Russian Foundation for Basic Research [09-05-00266-a, 09-05-00232-a, 09-05-13545-ofi_ts, 09-05-01231-a]</t>
  </si>
  <si>
    <t>This study was supported by the Russian Foundation for Basic Research, project nos. 09-05-00266-a, 09-05-00232-a, 09-05-13545-ofi_ts, and 09-05-01231-a.</t>
  </si>
  <si>
    <t>10.1134/S0001433811050070</t>
  </si>
  <si>
    <t>836EE</t>
  </si>
  <si>
    <t>WOS:000296091400009</t>
  </si>
  <si>
    <t>Possmayer, M; Berardi, G; Beall, BFN; Trick, CG; Hüner, NPA; Maxwell, DP</t>
  </si>
  <si>
    <t>Possmayer, Marc; Berardi, Gino; Beall, Benjamin F. N.; Trick, Charles G.; Huener, Norman P. A.; Maxwell, Denis P.</t>
  </si>
  <si>
    <t>PLASTICITY OF THE PSYCHROPHILIC GREEN ALGA CHLAMYDOMONAS RAUDENSIS (UWO 241) (CHLOROPHYTA) TO SUPRAOPTIMAL TEMPERATURE STRESS</t>
  </si>
  <si>
    <t>Antarctica; cell death; Chlamydomonas raudensis; gene expression; photosynthesis; psychrophily; respiration; SYTOX; temperature stress; UWO 241</t>
  </si>
  <si>
    <t>PROGRAMMED CELL-DEATH; HEAT-SHOCK RESPONSE; ANTARCTIC PSYCHROPHILE; OXIDATIVE STRESS; GENOME SEQUENCE; MESSENGER-RNA; HIGHER-PLANTS; LIGHT ENERGY; LAKE BONNEY; COLD</t>
  </si>
  <si>
    <t>Chlamydomonas raudensis H. Ettl (UWO 241) is a psychrophilic green alga endemic to Lake Bonney, Antarctica. The objective of this study was to investigate the response of UWO 241 to incubation at 24 degrees C, a temperature close to optimum for related mesophilic species. Using chl a fluorescence analysis, shifting cells from a growth temperature of 10 degrees C-24 degrees C resulted in a decline in PSII photochemical efficiency with light energy being directed away from photochemistry and toward dissipative pathways. Using the SYTOX Green assay, it was determined that UWO 241 cells die when incubated at 24 degrees C under growth irradiance with a half-time of 34.9 h. The role of light in cell death was minor as cell death occurred in darkness at 24 degrees C with a half-time of 43.7 h. To examine the plasticity of UWO 241 to temperature stress, 10 degrees C-grown cells were shifted to 24 degrees C for 12 h and then returned to 10 degrees C to recover. The 12 h incubation at 24 degrees C, which resulted in &lt;10% cell death, led to declines in both light-saturated rates of photosynthesis and respiration, PSII photochemistry and energy partitioning, and changes to transcript abundances-those associated with the light-harvesting protein of PSII and ferredoxin declining rapidly, whereas transcripts of specific heat-shock proteins (HSPs) increased. Within 24-48 h of being transferred back to 10 degrees C, all parameters returned to levels occurring in 10 degrees C-grown cells. This research shows, for the first time, that 24 degrees C is a temperature that is lethal to UWO 241, and yet this organism displays considerable physiological and molecular plasticity.</t>
  </si>
  <si>
    <t>[Maxwell, Denis P.] Univ Western Ontario, Dept Biol, London, ON N6A 5B7, Canada; Univ Western Ontario, Biotron Expt Climate Changes Res Ctr, London, ON N6A 5B7, Canada</t>
  </si>
  <si>
    <t>Western University (University of Western Ontario); Western University (University of Western Ontario)</t>
  </si>
  <si>
    <t>Maxwell, DP (corresponding author), Univ Western Ontario, Dept Biol, London, ON N6A 5B7, Canada.</t>
  </si>
  <si>
    <t>dmaxwell@uwo.ca</t>
  </si>
  <si>
    <t>Natural Science and Engineering Research Council of Canada</t>
  </si>
  <si>
    <t>Natural Science and Engineering Research Council of Canada(Natural Sciences and Engineering Research Council of Canada (NSERC))</t>
  </si>
  <si>
    <t>This work was funded by Natural Science and Engineering Research Council of Canada Discovery grants to N. Huner and D. Maxwell.</t>
  </si>
  <si>
    <t>10.1111/j.1529-8817.2011.01047.x</t>
  </si>
  <si>
    <t>836CD</t>
  </si>
  <si>
    <t>WOS:000296084800016</t>
  </si>
  <si>
    <t>Yoshida, T; Virtue, P; Kawaguchi, S; Nichols, PD</t>
  </si>
  <si>
    <t>Yoshida, Toshihiro; Virtue, Patti; Kawaguchi, So; Nichols, Peter D.</t>
  </si>
  <si>
    <t>Factors determining the hatching success of Antarctic krill Euphausia superba embryo: lipid and fatty acid composition</t>
  </si>
  <si>
    <t>WHITE PACIFIC SHRIMP; BIOCHEMICAL-COMPOSITION; SOUTHERN-OCEAN; REPRODUCTIVE SUCCESS; PENAEUS-VANNAMEI; EGG HATCHABILITY; RECRUITMENT; DIET; DANA; METABOLISM</t>
  </si>
  <si>
    <t>The present study addresses the effect of maternal diet on hatching success and condition of embryos and larvae of Antarctic krill Euphausia superba. Lipid and fatty acid content and composition were determined in field and laboratory samples. Developmental stages analyzed in embryos included: multiple-cell, gastrula, and limb-bud stages. Larval stages analyzed included: nauplius I, nauplius II, and metanauplius. Laboratory-reared embryos were spawned by gravid females incubated under three feeding groups: (1) phytoplankton mixture, (2) phytoplankton mixture and minced clam, and (3) phytoplankton mixture, minced clam, and commercial larval food. Hatching success was highest in group 3 (100%), lowest in group 1 (0%), and highly variable in field samples (0-48%). Lipid decreased slightly in embryos during embryonic development, while large decreases in lipid were found during nauplius development. High levels of 18: 2(n-6), 20: 4(n-6), and 22: 6(n-3) observed with group 3 samples coincided with high hatching success in krill embryos. The ratio of 22: 6(n-3)/20: 5(n-3) also correlated to hatching success of embryos. The fatty acid profile of embryos in group 3 was similar to that of the field-collected embryos, reflecting the contribution of the commercial larval food in the maternal diet. In our study, the maternal diet was found to influence the fatty acid composition of embryos and in turn affects the hatching success of krill. Specific polyunsaturated fatty acids appeared to play important roles in embryogenesis in krill.</t>
  </si>
  <si>
    <t>[Yoshida, Toshihiro; Virtue, Patti] Univ Tasmania, Inst Antarctic &amp; So Ocean Studies, Hobart, Tas 7001, Australia; [Yoshida, Toshihiro; Kawaguchi, So] Australian Antarctic Div, Kingston, Tas 7050, Australia; [Yoshida, Toshihiro; Nichols, Peter D.] Univ Tasmania, ACE CRC, Hobart, Tas, Australia; [Virtue, Patti; Nichols, Peter D.] Univ Tasmania, Inst Marine &amp; Antarctic Res, Hobart, Tas, Australia; [Nichols, Peter D.] Wealth Oceans Flagship, CSIRO Marine &amp; Atmospher Res, Hobart, Tas 7001, Australia</t>
  </si>
  <si>
    <t>University of Tasmania; Australian Antarctic Division; University of Tasmania; Antarctic Climate &amp; Ecosystems Cooperative Research Centre (ACE CRC); University of Tasmania; Commonwealth Scientific &amp; Industrial Research Organisation (CSIRO)</t>
  </si>
  <si>
    <t>toshihiro.yoshida@wynnmacau.com</t>
  </si>
  <si>
    <t>Nichols, Peter D/C-5128-2011; Kawaguchi, So/N-1795-2017</t>
  </si>
  <si>
    <t>Virtue, Patti/0000-0002-9870-1256; Kawaguchi, So/0000-0002-2042-5095</t>
  </si>
  <si>
    <t>Australian Governments Co-operative Research Centres</t>
  </si>
  <si>
    <t>Australian Governments Co-operative Research Centres(Australian GovernmentDepartment of Industry, Innovation and ScienceCooperative Research Centres (CRC) Programme)</t>
  </si>
  <si>
    <t>We thank the officers and crew of RV 'Aurora Australis' for their professional and friendly support during the marine research cruise BROKE-WEST and P. Cramp and R. King for assistance with krill incubation. We thank D. Holdsworth, M. Miller, and B. Mooney for technical support during running of the GC-MS and lipid and fatty acid analyses. We thank S. Nicol for his constructive comments on the manuscript together with three anonymous journal referees. This work is a contribution of the Antarctic Marine Ecosystems Program of the Antarctic Climate and Ecosystems, Co-operative Research Centre funded by the Australian Governments Co-operative Research Centres Programme.</t>
  </si>
  <si>
    <t>10.1007/s00227-011-1735-2</t>
  </si>
  <si>
    <t>836DR</t>
  </si>
  <si>
    <t>WOS:000296089900015</t>
  </si>
  <si>
    <t>Taylor, S; Jones, KW; Herzog, GF; Hornig, CE</t>
  </si>
  <si>
    <t>Taylor, Susan; Jones, Keith W.; Herzog, Gregory F.; Hornig, Claire E.</t>
  </si>
  <si>
    <t>Tomography: A window on the role of sulfur in the structure of micrometeorites</t>
  </si>
  <si>
    <t>STONY COSMIC SPHERULES; ANTARCTIC MICROMETEORITES; ATMOSPHERIC ENTRY; ICE; MICROTOMOGRAPHY; COLLECTION; METEORITES; PETROLOGY</t>
  </si>
  <si>
    <t>To determine the role played by sulfides in the formation of vesicles and FeNi metal beads, we mapped the locations and tabulated the numbers of sulfides, metal beads, and vesicles in 1583 sectioned micrometeorites (MMs) using conventional microscopy and in 190 whole MMs using synchrotron computed microtomography (SCMT). Both the section and the SCMT images show that sulfides melt, coalesce, and migrate to the MMs' surface. The decomposition of sulfides may occur during all these stages. Given the sulfide morphologies and compositions that we see in section, we think the breakdown of Ni sulfides produces the FeNi beads. The SCMT images show that metal beads are common in melted MMs, &gt; 50% have them. Vesicles in porphyritic and scoriaceous MMs are also probably formed as sulfides decompose. Not only do sulfides abut the vesicles but also the temperatures at which sulfides decompose overlap those at which MM surfaces first melt and temporarily seal, suggesting that S gases could produce most of these vesicles. As the vesicle shapes and patterns of distribution differ among MM classes, tomography can be used to nondestructively screen for specific types of MMs. Tomography is a powerful tool for visualizing the three-dimensional distribution of metal beads, sulfides, mean densities, and vesicles in MMs.</t>
  </si>
  <si>
    <t>[Taylor, Susan; Hornig, Claire E.] USA, Cold Reg Res &amp; Engn Lab, Hanover, NH 03755 USA; [Jones, Keith W.] Brookhaven Natl Lab, Upton, NY 11973 USA; [Herzog, Gregory F.] Rutgers State Univ, Dept Chem &amp; Chem Biol, Piscataway, NJ 08854 USA</t>
  </si>
  <si>
    <t>United States Department of Defense; United States Army; U.S. Army Corps of Engineers; U.S. Army Engineer Research &amp; Development Center (ERDC); Cold Regions Research &amp; Engineering Laboratory (CRREL); United States Department of Energy (DOE); Brookhaven National Laboratory; Rutgers University System; Rutgers University New Brunswick</t>
  </si>
  <si>
    <t>Taylor, S (corresponding author), USA, Cold Reg Res &amp; Engn Lab, 72 Lyme Rd, Hanover, NH 03755 USA.</t>
  </si>
  <si>
    <t>susan.taylor@usace.army.mil</t>
  </si>
  <si>
    <t>NASA [NNX08AY82G]; US Department of Energy [DE-AC02-98CH10886]; NASA [NNX08AY82G, 92305] Funding Source: Federal RePORTER</t>
  </si>
  <si>
    <t>NASA(National Aeronautics &amp; Space Administration (NASA)); US Department of Energy(United States Department of Energy (DOE)); NASA(National Aeronautics &amp; Space Administration (NASA))</t>
  </si>
  <si>
    <t>We thank our referees Dr. G. Flynn and Dr. G. Libourel for many helpful suggestions. L. Fareria and S. Bennett are thanked for their assistance in operating the NSLS beam line X2B. This work was partially supported by NASA grant NNX08AY82G (G. F. H.) and by the US Department of Energy under Contract No. DE-AC02-98CH10886. Use of the National Synchrotron Light Source, Brookhaven National Laboratory, was supported by the US Department of Energy, Office of Basic Energy Sciences.</t>
  </si>
  <si>
    <t>10.1111/j.1945-5100.2011.01245.x</t>
  </si>
  <si>
    <t>837YB</t>
  </si>
  <si>
    <t>WOS:000296247400005</t>
  </si>
  <si>
    <t>Lüers, J; Bareiss, J</t>
  </si>
  <si>
    <t>Lueers, J.; Bareiss, J.</t>
  </si>
  <si>
    <t>Direct near-surface measurements of sensible heat fluxes in the Arctic tundra applying eddy covariance and laser scintillometry-the Arctic Turbulence Experiment 2006 on Svalbard (ARCTEX-2006)</t>
  </si>
  <si>
    <t>THEORETICAL AND APPLIED CLIMATOLOGY</t>
  </si>
  <si>
    <t>ATMOSPHERIC BOUNDARY-LAYER; EXTENDED SIMILARITY THEORY; RECENT CLIMATE-CHANGE; ANTARCTIC ICE SHELF; SEA-ICE; SONIC ANEMOMETER; CARBON-DIOXIDE; WATER-VAPOR; PERMAFROST SITE; ENERGY</t>
  </si>
  <si>
    <t>Recent climate warming in the Arctic requires improvements in permafrost and carbon cycle monitoring, accomplished here by setting up long-term observation sites with high-quality in situ measurements of turbulent atmospheric energy fluxes applying the eddy covariance method and/or laser scintillometry in Arctic landscapes. Accurate quantification and well-adapted parameterizations of turbulent energy fluxes, e.g., during neutral to stable stratified conditions, are a fundamental problem in soil-snow-ice-vegetation-atmosphere interaction studies. We present results from the Arctic Turbulence Experiment (ARCTEX-2006) performed on the island of Svalbard, Norway, during the winter/spring transition 2006 that focus on data correction and quality assessment, on synoptic weather conditions, as well as site-specific micrometeoro-logical features. A quality assessment and data correction adapted to the environmental conditions of polar regions demonstrates that specific measurement errors common at a high Arctic landscape could be minimized. We discuss the role of the intermittency of the turbulent atmospheric fluctuation of momentum and scalars, the existence of a disturbed vertical temperature profile (sharp inversion layer) close to the surface, and the relevance of possible free convection events for the snow or ice melt in the Arctic spring at Svalbard. Recommendations and improvements regarding the interpretation of eddy flux data as well as the arrangement of the instrumentation under polar distinct exchange conditions and (extreme) weather situations are presented.</t>
  </si>
  <si>
    <t>[Lueers, J.; Bareiss, J.] Univ Bayreuth, Dept Micrometeorol, D-95440 Bayreuth, Germany</t>
  </si>
  <si>
    <t>University of Bayreuth</t>
  </si>
  <si>
    <t>Lüers, J (corresponding author), Univ Bayreuth, Dept Micrometeorol, D-95440 Bayreuth, Germany.</t>
  </si>
  <si>
    <t>johannes.lueers@uni-bayreuth.de</t>
  </si>
  <si>
    <t>Deutsche Forschungsgemeinschaft [DFG-FO 226/11-1]</t>
  </si>
  <si>
    <t>The authors thank all of those from the French-German Arctic Research Base led by the Alfred Wegener Institute for Polar and Marine Research (AWI) and the Institut polaire francais Paul Emile Victor (IPEV) for their efforts to succeed with the ARCTEX-2006 campaign, especially the station leader Rainer Vockenroth. We also appreciated the logistic support of the staff of the Kingsbay Company at Ny-Alesund. Very welcome was the major support and wise counsel of Prof. Dr. Thomas Foken, head of the Department of Micrometeorology, University of Bayreuth. Many thanks go also to Jo Olesch (technical support) and to Prof. Dr. Alfred Helbig. This study was funded by the Deutsche Forschungsgemeinschaft under reference no. DFG-FO 226/11-1.</t>
  </si>
  <si>
    <t>0177-798X</t>
  </si>
  <si>
    <t>1434-4483</t>
  </si>
  <si>
    <t>THEOR APPL CLIMATOL</t>
  </si>
  <si>
    <t>Theor. Appl. Climatol.</t>
  </si>
  <si>
    <t>10.1007/s00704-011-0400-5</t>
  </si>
  <si>
    <t>835DN</t>
  </si>
  <si>
    <t>WOS:000296014700008</t>
  </si>
  <si>
    <t>Zhang, YH; Seidel, DJ; Golaz, JC; Deser, C; Tomas, RA</t>
  </si>
  <si>
    <t>Zhang, Yehui; Seidel, Dian J.; Golaz, Jean-Christophe; Deser, Clara; Tomas, Robert A.</t>
  </si>
  <si>
    <t>Climatological Characteristics of Arctic and Antarctic Surface-Based Inversions</t>
  </si>
  <si>
    <t>TEMPERATURE INVERSION; VERTICAL STRUCTURE; ERA-40 REANALYSIS; BOUNDARY-LAYER; CLEAR-SKY; SEA-ICE; WINTER; AIR; DESTRUCTION; ATMOSPHERE</t>
  </si>
  <si>
    <t>Surface-based inversions (SBIs) are frequent features of the Arctic and Antarctic atmospheric boundary layer. They influence vertical mixing of energy, moisture and pollutants, cloud formation, and surface ozone destruction. Their climatic variability is related to that of sea ice and planetary albedo, important factors in climate feedback mechanisms. However, climatological polar SBI properties have not been fully characterized nor have climate model simulations of SBIs been compared comprehensively to observations. Using 20 years of twice-daily observations from 39 Arctic and 6 Antarctic radiosonde stations, this study examines the spatial and temporal variability of three SBI characteristic frequency of occurrence, depth (from the surface to the inversion top), and intensity (temperature difference over the SBI depth) and relationships among them. In both polar regions, SBIs are more frequent, deeper, and stronger in winter and autumn than in summer and spring. In the Arctic, these tendencies increase from the Norwegian Sea eastward toward the East Siberian Sea, associated both with (seasonal and diurnal) variations in solar elevation angle at the standard radiosonde observation times and with differences between continental and maritime climates. Two state-of-the-art climate models and one reanalysis dataset show similar seasonal patterns and spatial distributions of SBI properties as the radiosonde observations, but with biases in their magnitudes that differ among the models and that are smaller in winter and autumn than in spring and summer. SBI frequency, depth, and intensity are positively correlated, both spatially and temporally, and all three are anticorrelated with surface temperature.</t>
  </si>
  <si>
    <t>[Zhang, Yehui; Seidel, Dian J.] NOAA, Air Resources Lab, Silver Spring, MD 20910 USA; [Golaz, Jean-Christophe] NOAA, Geophys Fluid Dynam Lab, Princeton, NJ USA; [Deser, Clara; Tomas, Robert A.] NCAR Climate &amp; Global Dynam Div, Boulder, CO USA</t>
  </si>
  <si>
    <t>National Oceanic Atmospheric Admin (NOAA) - USA; National Oceanic Atmospheric Admin (NOAA) - USA; National Center Atmospheric Research (NCAR) - USA</t>
  </si>
  <si>
    <t>Seidel, DJ (corresponding author), NOAA, Air Resources Lab R ARL, 1315 East West Highway, Silver Spring, MD 20910 USA.</t>
  </si>
  <si>
    <t>dian.seidel@noaa.gov</t>
  </si>
  <si>
    <t>Golaz, Jean-Christophe/D-5007-2014; zhang, ye/HKN-5128-2023</t>
  </si>
  <si>
    <t>Golaz, Jean-Christophe/0000-0003-1616-5435; Zhang, Yehui/0000-0002-1448-0119</t>
  </si>
  <si>
    <t>National Science Foundation; NSF Office of Polar Programs; Directorate For Geosciences; Office of Polar Programs (OPP) [0902065] Funding Source: National Science Foundation</t>
  </si>
  <si>
    <t>National Science Foundation(National Science Foundation (NSF)); NSF Office of Polar Programs(National Science Foundation (NSF)); Directorate For Geosciences; Office of Polar Programs (OPP)(National Science Foundation (NSF)NSF - Directorate for Geosciences (GEO))</t>
  </si>
  <si>
    <t>We thank Journal of Climate Editor Robert Wood and two anonymous referees, who provided thorough and thoughtful reviews of this paper. Jennifer Kay, Brian Medeiros, and Sungsu Park (NCAR), Chi Ao (Jet Propulsion Laboratory), and Julian Wang (NOAA) offered insightful comments on this study. Y. Zhang is a National Research Council Postdoctoral Associate at NOAA's Air Resources Laboratory. NCAR is sponsored by the National Science Foundation. C. Deser and R. Tomas gratefully acknowledge funding from the NSF Office of Polar Programs.</t>
  </si>
  <si>
    <t>10.1175/2011JCLI4004.1</t>
  </si>
  <si>
    <t>833SO</t>
  </si>
  <si>
    <t>WOS:000295905400014</t>
  </si>
  <si>
    <t>Maurer, G; Double, MC; Milenkaya, O; Süsser, M; Magrath, RD</t>
  </si>
  <si>
    <t>Maurer, G.; Double, M. C.; Milenkaya, O.; Suesser, M.; Magrath, R. D.</t>
  </si>
  <si>
    <t>Breaking the rules: sex roles and genetic mating system of the pheasant coucal</t>
  </si>
  <si>
    <t>Extra-pair paternity; Parental care; Polyandry; Sex-role reversal; Sexual size dimorphism</t>
  </si>
  <si>
    <t>AFRICAN BLACK COUCALS; POTENTIAL REPRODUCTIVE RATES; EXTRA-PAIR PATERNITY; SIZE DIMORPHISM; PARENTAL INVESTMENT; ROLE REVERSAL; CLASSICAL POLYANDRY; COMPETING FEMALES; BREEDING BIOLOGY; CARING MALES</t>
  </si>
  <si>
    <t>Generally in birds, the classic sex roles of male competition and female choice result in females providing most offspring care while males face uncertain parentage. In less than 5% of species, however, reversed courtship sex roles lead to predominantly male care and low extra-pair paternity. These role-reversed species usually have reversed sexual size dimorphism and polyandry, confirming that sexual selection acts most strongly on the sex with the smaller parental investment and accordingly higher potential reproductive rate. We used parentage analyses and observations from three field seasons to establish the social and genetic mating system of pheasant coucals, Centropus phasianinus, a tropical nesting cuckoo, where males are much smaller than females and provide most parental care. Pheasant coucals are socially monogamous and in this study males produced about 80% of calls in the dawn chorus, implying greater male sexual competition. Despite the substantial male investments, extra-pair paternity was unusually high for a socially monogamous, duetting species. Using two or more mismatches to determine extra-pair parentage, we found that 11 of 59 young (18.6%) in 10 of 21 broods (47.6%) were not sired by their putative father. Male incubation, starting early in the laying sequence, may give the female opportunity and reason to seek these extra-pair copulations. Monogamy, rather than the polyandry and sex-role reversal typical of its congener, C. grillii, may be the result of the large territory size, which could prevent females from monopolising multiple males. The pheasant coucal's exceptional combination of classic sex-roles and male-biased care for extra-pair young is hard to reconcile with current sexual selection theory, but may represent an intermediate stage in the evolution of polyandry or an evolutionary remnant of polyandry.</t>
  </si>
  <si>
    <t>[Maurer, G.; Double, M. C.; Magrath, R. D.] Australian Natl Univ, Res Sch Biol, Canberra, ACT 0200, Australia; [Maurer, G.] Univ Birmingham, Ctr Ornithol, Birmingham B15 2TT, W Midlands, England; [Double, M. C.] Australian Antarctic Div, Kingston, Tas 7050, Australia; [Milenkaya, O.] Virginia Tech, Dept Biol Sci, Blacksburg, VA 24061 USA; [Suesser, M.] Naturschutzbund Deutschland, D-10108 Berlin, Germany</t>
  </si>
  <si>
    <t>Australian National University; University of Birmingham; Australian Antarctic Division; Virginia Polytechnic Institute &amp; State University</t>
  </si>
  <si>
    <t>Maurer, G (corresponding author), Australian Natl Univ, Res Sch Biol, GPO Box 4, Canberra, ACT 0200, Australia.</t>
  </si>
  <si>
    <t>golo.maurer@gmx.net</t>
  </si>
  <si>
    <t>Magrath, Robert/C-9661-2009</t>
  </si>
  <si>
    <t>Magrath, Robert/0000-0002-9109-609X</t>
  </si>
  <si>
    <t>Stuart Leslie Bird Research Award; Cayley Memorial Scholarship; Ingram trust; North Australia Research Unit</t>
  </si>
  <si>
    <t>We thank S. Musgrave, A. Quellmalz, S. Quinlan, C. Smith, M. Starling, R. Noske and W. Goymann with planning and conducting the fieldwork, and N. Beck, S. Cooney, N. Langmore and two anonymous reviewers for comments on earlier drafts. The study received support from the Stuart Leslie Bird Research Award, the Cayley Memorial Scholarship, the Ingram trust, and The North Australia Research Unit. The work was conducted under permits from Parks Northern Territory (16973) and the Ethics Committee of the Australian National University (F.BTZ.56.03) and complies with the laws and regulations of the Commonwealth of Australia.</t>
  </si>
  <si>
    <t>10.1007/s00442-011-2002-4</t>
  </si>
  <si>
    <t>834SN</t>
  </si>
  <si>
    <t>WOS:000295984500011</t>
  </si>
  <si>
    <t>Chen, QQ; Liu, XD; Liu, WQ; Jiang, S</t>
  </si>
  <si>
    <t>Chen Qian-qian; Liu Xiao-dong; Liu Wen-qi; Jiang Shan</t>
  </si>
  <si>
    <t>Near Infrared Reflectance Spectroscopy (NIRS) : a Novel Approach to Reconstructing Historical Changes of Primary Productivity in Antarctic Lake</t>
  </si>
  <si>
    <t>SPECTROSCOPY AND SPECTRAL ANALYSIS</t>
  </si>
  <si>
    <t>Chinese</t>
  </si>
  <si>
    <t>Near infrared reflectance spectroscopy (NIRS); Lake primary productivity; Lake sediments; PCA analysis; Antarctica</t>
  </si>
  <si>
    <t>SEDIMENTS</t>
  </si>
  <si>
    <t>Compared with traditional chemical analysis methods, reflectance spectroscopy has the advantages of speed, minimal or no sample preparation, non-destruction, and low cost. In order to explore the potential application of spectroscopy technology in the paleolimnological study on Antarctic lakes, we took a lake sediment core in Mochou Lake at Zhongshan Station of Antarctic, and analyzed the near infrared reflectance spectroscopy (NIRS) data in the sedimentary samples. The results showed that the factor loadings of principal component analysis (PCA) displayed very similar depth-profile change pattern with the S2 index, a reliable proxy for the change in historical lake primary productivity. The correlation analysis showed that the values of PCA factor loading and S2 were correlated significantly, suggesting that it is feasible to infer palcoproductivity changes recorded in Antarctic lakes using NIRS technology. Compared to the traditional method of the trough area between 650 and 700 nm, the authors found that the PCA statistical approach was more accurate for reconstructing the change in historical lake primary productivity. The results reported here demonstrate that reflectance spectroscopy can provide a rapid method for the reconstruction of lake palaeoenviro nmental change in the remote Antarctic regions.</t>
  </si>
  <si>
    <t>[Chen Qian-qian; Liu Xiao-dong; Jiang Shan] Univ Sci &amp; Technol China, Inst Polar Environm, Hefei 230026, Peoples R China; [Liu Wen-qi] Univ Sci &amp; Technol China, Instruments Ctr Phys Sci, Hefei 230026, Peoples R China</t>
  </si>
  <si>
    <t>Chinese Academy of Sciences; University of Science &amp; Technology of China, CAS; Chinese Academy of Sciences; University of Science &amp; Technology of China, CAS</t>
  </si>
  <si>
    <t>Liu, XD (corresponding author), Univ Sci &amp; Technol China, Inst Polar Environm, Hefei 230026, Peoples R China.</t>
  </si>
  <si>
    <t>chenqq@mail.ustc.edu.cn; ycx@ustc.edu.cn</t>
  </si>
  <si>
    <t>OFFICE SPECTROSCOPY &amp; SPECTRAL ANALYSIS</t>
  </si>
  <si>
    <t>NO 76 COLLAGE SOUTH RD BEIJING, BEIJING 100081, PEOPLES R CHINA</t>
  </si>
  <si>
    <t>1000-0593</t>
  </si>
  <si>
    <t>SPECTROSC SPECT ANAL</t>
  </si>
  <si>
    <t>Spectrosc. Spectr. Anal.</t>
  </si>
  <si>
    <t>10.3964/j.issn.1000-0593(2011)10-2688-04</t>
  </si>
  <si>
    <t>Spectroscopy</t>
  </si>
  <si>
    <t>829DL</t>
  </si>
  <si>
    <t>WOS:000295556300022</t>
  </si>
  <si>
    <t>Shukla, RP; Tripathi, KC; Pandey, AC; Das, IML</t>
  </si>
  <si>
    <t>Shukla, Ravi P.; Tripathi, Krishna C.; Pandey, Avinash C.; Das, I. M. L.</t>
  </si>
  <si>
    <t>Prediction of Indian summer monsoon rainfall using Nino indices: A neural network approach</t>
  </si>
  <si>
    <t>ATMOSPHERIC RESEARCH</t>
  </si>
  <si>
    <t>Indian summer monsoon rainfall; Nino indices; ANN model; Regression model</t>
  </si>
  <si>
    <t>SEA-SURFACE TEMPERATURES; TELECONNECTIONS; MODELS; ENSO; TIME</t>
  </si>
  <si>
    <t>It is an established fact that sea surface temperature (SST) anomalies in the central-eastern Pacific associated with the El Nino-Southern Oscillation (ENSO) act as predominant forcing of the All India Rainfall Index variability. However, the same has been found to be difficult to simulate. In the present study, we have attempted to improve the seasonal forecast skill of the Indian Summer Monsoon Rainfall Index (ISMRI). Correlation analysis is clone to see the effect of SST indices of Nino-1 + 2, Nino-3, Nino-3.4 and Nino-4 regions on ISMRI with a lag period of 1-8 seasons. Significant positive correlations, with confidence level above 99%, are found between ISMRI and (i) Nino-3 index with a lag of 4 (June-July-August) and 5 (March-April-May) seasons, (ii) Nino-3.4 index with a lag of 4 and 5 seasons and (iii) Nino-4 index, with a lag of 5 seasons before the onset of monsoon. These SST indices are used for prediction of ISMRI using multiple linear regression and Artificial Neural Networks (ANNs) models. A comparative examination of the results suggests that the ANN model has better predictive skills than all the linear regression models investigated, implying that the relationship between the Nino indices and the ISMRI is essentially non-linear in nature. (C) 2011 Elsevier B.V. All rights reserved.</t>
  </si>
  <si>
    <t>[Shukla, Ravi P.; Tripathi, Krishna C.; Pandey, Avinash C.; Das, I. M. L.] Univ Allahabad, K Banerjee Ctr Atmospher &amp; Ocean Studies, Allahabad 211002, Uttar Pradesh, India; [Pandey, Avinash C.; Das, I. M. L.] Univ Allahabad, MN Saha Ctr Space Studies, Allahabad 211002, Uttar Pradesh, India; [Pandey, Avinash C.; Das, I. M. L.] Univ Allahabad, Dept Phys, Allahabad 211002, Uttar Pradesh, India; [Tripathi, Krishna C.] Inderprastha Engn Coll, Dept MCA, Ghaziabad, India</t>
  </si>
  <si>
    <t>University of Allahabad; University of Allahabad; University of Allahabad; Inderprastha Engineering College</t>
  </si>
  <si>
    <t>Shukla, RP (corresponding author), Univ Allahabad, K Banerjee Ctr Atmospher &amp; Ocean Studies, Allahabad 211002, Uttar Pradesh, India.</t>
  </si>
  <si>
    <t>ravishuklaprakash@yahoo.com</t>
  </si>
  <si>
    <t>Pandey, Ashok/AAC-6340-2019; Pandey, Ashok/JBR-8714-2023; PANDEY, AVINASH CHANDRA/B-4600-2014</t>
  </si>
  <si>
    <t>Pandey, Ashok/0000-0003-1626-3529; Pandey, Ashok/0000-0003-1626-3529; Tripathi, Krishna/0000-0003-3156-7758; PANDEY, AVINASH CHANDRA/0000-0003-0700-3856; Shukla, Ravi/0000-0001-7847-7368</t>
  </si>
  <si>
    <t>National Centre for Antarctic and Ocean Research (NCAOR), (MoES), Goa, India</t>
  </si>
  <si>
    <t>National Centre for Antarctic and Ocean Research (NCAOR), (MoES), Goa, India is acknowledged for the financial support.</t>
  </si>
  <si>
    <t>ELSEVIER SCIENCE INC</t>
  </si>
  <si>
    <t>STE 800, 230 PARK AVE, NEW YORK, NY 10169 USA</t>
  </si>
  <si>
    <t>0169-8095</t>
  </si>
  <si>
    <t>1873-2895</t>
  </si>
  <si>
    <t>ATMOS RES</t>
  </si>
  <si>
    <t>Atmos. Res.</t>
  </si>
  <si>
    <t>10.1016/j.atmosres.2011.06.013</t>
  </si>
  <si>
    <t>830JO</t>
  </si>
  <si>
    <t>WOS:000295653500009</t>
  </si>
  <si>
    <t>Winterfeld, M; Schirrmeister, L; Grigoriev, MN; Kunitsky, VV; Andreev, A; Murray, A; Overduin, PP</t>
  </si>
  <si>
    <t>Winterfeld, Maria; Schirrmeister, Lutz; Grigoriev, Mikhail N.; Kunitsky, Viktor V.; Andreev, Andrei; Murray, Andrew; Overduin, Pier Paul</t>
  </si>
  <si>
    <t>Coastal permafrost landscape development since the Late Pleistocene in the western Laptev Sea, Siberia</t>
  </si>
  <si>
    <t>BOREAS</t>
  </si>
  <si>
    <t>BOLSHOY LYAKHOVSKY ISLAND; CORAL TERRACES; SEDIMENTS; SHELF; REGION; ENVIRONMENT; HISTORY; CLIMATE; RECORD; THERMOKARST</t>
  </si>
  <si>
    <t>The palaeoenvironmental development of the western Laptev Sea is understood primarily from investigations of exposed cliffs and surface sediment cores from the shelf. In 2005, a core transect was drilled between the Taymyr Peninsula and the Lena Delta, an area that was part of the westernmost region of the non-glaciated Beringian landmass during the late Quaternary. The transect of five cores, one terrestrial and four marine, taken near Cape Mamontov Klyk reached 12km offshore and 77m below sea level. A multiproxy approach combined cryolithological, sedimentological, geochronological (C-14-AMS, OSL on quartz, IR-OSL on feldspars) and palaeoecological (pollen, diatoms) methods. Our interpretation of the proxies focuses on landscape history and the transition of terrestrial into subsea permafrost. Marine interglacial deposits overlain by relict terrestrial permafrost within the same offshore core were encountered in the western Laptev Sea. Moreover, the marine interglacial deposits lay unexpectedly deep at 64m below modern sea level 12km from the current coastline, while no marine deposits were encountered onshore. This implies that the position of the Eemian coastline presumably was similar to today's. The landscape reconstruction suggests Eemian coastal lagoons and thermokarst lakes, followed by Early to Middle Weichselian fluvially dominated terrestrial deposition. During the Late Weichselian, this fluvial landscape was transformed into a poorly drained accumulation plain, characterized by widespread and broad ice-wedge polygons. Finally, the shelf plain was flooded by the sea during the Holocene, resulting in the inundation and degradation of terrestrial permafrost and its transformation into subsea permafrost.</t>
  </si>
  <si>
    <t>[Winterfeld, Maria; Schirrmeister, Lutz; Overduin, Pier Paul] Alfred Wegener Inst Polar &amp; Marine Res, D-14473 Potsdam, Germany; [Grigoriev, Mikhail N.; Kunitsky, Viktor V.] Russian Acad Sci, Siberian Branch, Melnikov Permafrost Inst, Yakutsk 677010, Russia; [Andreev, Andrei] Univ Cologne, Inst Geol &amp; Mineral, D-50674 Cologne, Germany; [Murray, Andrew] Univ Aarhus, Riso Natl Lab, Dept Earth Sci, Nord Lab Luminescence Dating, DK-4000 Roskilde, Denmark</t>
  </si>
  <si>
    <t>Helmholtz Association; Alfred Wegener Institute, Helmholtz Centre for Polar &amp; Marine Research; Russian Academy of Sciences; Melnikov Permafrost Institute, Siberian Branch of the RAS; University of Cologne; Technical University of Denmark; Aarhus University</t>
  </si>
  <si>
    <t>Winterfeld, M (corresponding author), Alfred Wegener Inst Polar &amp; Marine Res, Telegrafenberg A43, D-14473 Potsdam, Germany.</t>
  </si>
  <si>
    <t>Maria.Winterfeld@awi.de; Lutz.Schirrmeister@awi.de; grigoriev@mpi.ysn.ru; kunitsky@mpi.ysn.ru; andrei.andreev@awi.de; anmu@risoe.dtu.dk; Paul.Overduin@awi.de</t>
  </si>
  <si>
    <t>Winterfeld, Maria/C-8211-2017; Schirrmeister, Lutz/O-5584-2015; Schirrmeister, Lutz/AGW-0545-2022; Kunitsky, Viktor/AAC-9423-2019; Andreev, Andrei A/J-2701-2015; Murray, Andrew S/A-4388-2012; Overduin, Paul P/B-3258-2017</t>
  </si>
  <si>
    <t>Schirrmeister, Lutz/0000-0001-9455-0596; Schirrmeister, Lutz/0000-0001-9455-0596; Kunitsky, Viktor/0000-0002-1146-3890; Andreev, Andrei A/0000-0002-8745-9636; Overduin, Paul P/0000-0001-9849-4712; Murray, Andrew/0000-0001-5559-1862</t>
  </si>
  <si>
    <t>German Ministry of Education and Research (BMBF) [03G0589]</t>
  </si>
  <si>
    <t>We thank Dmitry Bolshiyanov of the Arctic and Antarctic Research Institute (AARI), St. Petersburg, Russia for sharing his IRSL and diatom data. We thank the Russian drilling team for their resourceful help in the field as well as W. Schneider and A. Dereviagin for their help surveying core material in the climate chamber, access to which was kindly provided by the Helmholtz German Research Centre for Geosciences (GFZ) in Potsdam, Germany. A. Eulenburg, U. Bastian and K. Hockun provided expert laboratory support. This study is part of the research project Dynamics of Permafrost (03G0589) supported by the German Ministry of Education and Research (BMBF) within the Russian-German scientific cooperation Laptev Sea System. We thank Professor Astakhov and an anonymous reviewer for improving our interpretation.</t>
  </si>
  <si>
    <t>0300-9483</t>
  </si>
  <si>
    <t>1502-3885</t>
  </si>
  <si>
    <t>Boreas</t>
  </si>
  <si>
    <t>10.1111/j.1502-3885.2011.00203.x</t>
  </si>
  <si>
    <t>825PF</t>
  </si>
  <si>
    <t>WOS:000295291900010</t>
  </si>
  <si>
    <t>Budillon, G; Castagno, P; Aliani, S; Spezie, G; Padman, L</t>
  </si>
  <si>
    <t>Budillon, Giorgio; Castagno, Pasquale; Aliani, Stefano; Spezie, Giancarlo; Padman, Laurie</t>
  </si>
  <si>
    <t>Thermohaline variability and Antarctic bottom water formation at the Ross Sea shelf break</t>
  </si>
  <si>
    <t>DEEP-SEA RESEARCH PART I-OCEANOGRAPHIC RESEARCH PAPERS</t>
  </si>
  <si>
    <t>Ross Sea; Circulation; Interannual variability; ASF; AABW; HSSW; ISW</t>
  </si>
  <si>
    <t>SOUTHERN WEDDELL SEA; DENSE WATER; ICE SHELF; BAROTROPIC TIDES; CIRCULATION; OVERFLOW; CURRENTS; MODEL; OCEAN; CASCADES</t>
  </si>
  <si>
    <t>We use hydrological and current meter data collected in the Ross Sea, Antarctica between 1995 and 2006 to describe the spatial and temporal variability of water masses involved in the production of Antarctic Bottom Water (AABW). Data were collected in two regions of known outflows of dense shelf water in this region; the Drygalski Trough (DT) and the Glomar-Challenger Trough (GCT). Dense shelf water just inshore of the shelf break is dominated by High Salinity Shelf Water (HSSW) in the DT and Ice Shelf Water (ISW) in the GCT. The HSSW in the northern DT freshened by similar to 0.06 in 11 y, while the ISW in the northern GCT freshened by similar to 0.04 in 8 y and warmed by similar to 0.04 degrees C in 11 y, dominated by a rapid warming during austral summer 2001/02. The Antarctic Slope Front separating the warm Circumpolar Deep Water (CDW) from the shelf waters is more stable near GCT than near DT, with CDW and mixing products being found on the outer DT shelf but not on the outer GCT shelf. The different source waters and mixing processes at the two sites lead to production of AABW with different thermohaline characteristics in the central and western Ross Sea. Multi-year time series of hydrography and currents at long-term moorings within 100 km of the shelf break in both troughs confirm the interannual signals in the dense shelf water and reveal the seasonal cycle of water mass properties. Near the DT the HSSW salinities experienced maxima in March/April and minima in September/October. The ISW in the GCT is warmest in March/April and coolest between August and October. Mooring data also demonstrate significant high-frequency variability associated with tides and other processes. Wavelet analysis of near-bottom moored sensors sampling the dense water cascade over the continental slope west of the GCT shows intermittent energetic pulses of cold, dense water with periods from similar to 32 h to similar to 5 days. (C) 2011 Elsevier Ltd. All rights reserved.</t>
  </si>
  <si>
    <t>[Budillon, Giorgio; Castagno, Pasquale; Spezie, Giancarlo] Univ Napoli Parthenope, Dipartimento Sci Ambiente, Naples, Italy; [Castagno, Pasquale] Univ Siena, Scuola Dottorato Sci Polari, I-53100 Siena, Italy; [Aliani, Stefano] CNR, ISMAR, La Spezia, Italy; [Padman, Laurie] Earth &amp; Space Res, Corvallis, OR USA</t>
  </si>
  <si>
    <t>Parthenope University Naples; University of Siena; Consiglio Nazionale delle Ricerche (CNR); Istituto di Scienze Marine (ISMAR-CNR)</t>
  </si>
  <si>
    <t>Budillon, G (corresponding author), Univ Napoli Parthenope, Dipartimento Sci Ambiente, Naples, Italy.</t>
  </si>
  <si>
    <t>giorgio.budillon@uniparthenope.it</t>
  </si>
  <si>
    <t>Padman, Laurence/AAH-3808-2021; Budillon, Giorgio/O-5348-2014; Castagno, Pasquale/HCI-3939-2022; Aliani, Stefano/B-5854-2012; Castagno, Pasquale/JAC-6923-2023; CNR, Ismar/P-1247-2014</t>
  </si>
  <si>
    <t>Budillon, Giorgio/0000-0003-1756-2221; Aliani, Stefano/0000-0002-2555-4398; CNR, Ismar/0000-0001-5351-1486; Castagno, Pasquale/0000-0002-5705-1066; Padman, Laurence/0000-0003-2010-642X</t>
  </si>
  <si>
    <t>Italian National Program for Antarctic Research (PNRA); U.S. National Science Foundation [ANT-0440656]; Directorate For Geosciences; Division Of Ocean Sciences [0961405] Funding Source: National Science Foundation</t>
  </si>
  <si>
    <t>Italian National Program for Antarctic Research (PNRA); U.S. National Science Foundation(National Science Foundation (NSF)); Directorate For Geosciences; Division Of Ocean Sciences(National Science Foundation (NSF)NSF - Directorate for Geosciences (GEO))</t>
  </si>
  <si>
    <t>Logistical and financial support for the CLIMA IV project was provided by the Italian National Program for Antarctic Research (PNRA). LP was funded by the U.S. National Science Foundation Antarctic Sciences program, grant ANT-0440656. This is ESR Contribution number 139.</t>
  </si>
  <si>
    <t>0967-0637</t>
  </si>
  <si>
    <t>1879-0119</t>
  </si>
  <si>
    <t>DEEP-SEA RES PT I</t>
  </si>
  <si>
    <t>Deep-Sea Res. Part I-Oceanogr. Res. Pap.</t>
  </si>
  <si>
    <t>10.1016/j.dsr.2011.07.002</t>
  </si>
  <si>
    <t>832OY</t>
  </si>
  <si>
    <t>WOS:000295815500003</t>
  </si>
  <si>
    <t>Pawlowski, J; Fontaine, D; da Silva, AA; Guiard, J</t>
  </si>
  <si>
    <t>Pawlowski, Jan; Fontaine, Delia; da Silva, Ana Aranda; Guiard, Jackie</t>
  </si>
  <si>
    <t>Novel lineages of Southern Ocean deep-sea foraminifera revealed by environmental DNA sequencing</t>
  </si>
  <si>
    <t>Antarctic; Abyssal; Diversity; Protists; rDNA; Monothalamous foraminifera</t>
  </si>
  <si>
    <t>EUKARYOTIC DIVERSITY; MONOTHALAMOUS FORAMINIFERAN; BENTHIC FORAMINIFERA; MOLECULAR EVIDENCE; WEDDELL SEA; BIODIVERSITY; WATER; RDNA; BIOGEOGRAPHY; INTERFACE</t>
  </si>
  <si>
    <t>Diversity of deep-sea foraminifera is commonly studied based on analysis of agglutinated and calcareous tests preserved in the dried sediment samples. Soft-walled and agglutinated monothalamous (single-chambered) foraminifera are usually ignored because they are poorly preserved and difficult to identify. Moreover, the assemblage examined is usually limited to sediment size fraction larger than 63 or 125 mu m. To overcome these problems, we analysed the foraminiferal assemblage based on ribosomal DNA sequences amplified specifically from total DNA extracted from unsieved and fine fraction (&lt;32 mu m of sediment samples from three sites in Southern Ocean. We obtained 392 sequences, representing 123 phylotypes of foraminifera. Over 90% of phylotypes (112) could not be assigned to any previously sequenced species or genera. Among these new phylotypes, 20 belong to the clade of multi-chambered calcareous Rotaliida and agglutinated Textulariida, while 94 branch among the radiation of monothalamous species. Many new phylotypes clustered together with other environmental foraminiferal sequences and sequences of unknown origin. Eight new lineages of environmental foraminiferal sequences (ENFOR 1-8) were distinguished. The morphology of species included in these novel lineages is unknown, but we can speculate that they are tiny, amoeboid protists present in the deep-sea sediments. Their diversity may be as high as that of better known large-sized foraminifera. Documenting this hidden component of deep-sea foraminiferal assemblages is a major challenge for the future. (C) 2011 Elsevier Ltd. All rights reserved.</t>
  </si>
  <si>
    <t>[Pawlowski, Jan; Fontaine, Delia; Guiard, Jackie] Univ Geneva, Dept Zool &amp; Anim Biol, CH-1211 Geneva 4, Switzerland; [da Silva, Ana Aranda] Univ Aveiro, Ctr Estudos Ambiente &amp; Mar, P-3810193 Aveiro, Portugal; [da Silva, Ana Aranda] LNEG, Unidade Geol Marinha, P-2721866 Zambujal, Alfragide, Portugal</t>
  </si>
  <si>
    <t>University of Geneva; Universidade de Aveiro; Laboratorio Nacional de Energia e Geologia IP (LNEG)</t>
  </si>
  <si>
    <t>Pawlowski, J (corresponding author), Univ Geneva, Dept Zool &amp; Anim Biol, Quai Ernest Ansermet 30, CH-1211 Geneva 4, Switzerland.</t>
  </si>
  <si>
    <t>Jan.Pawlowski@unige.ch</t>
  </si>
  <si>
    <t>Pawlowski, Jan/JNS-6857-2023; Aranda da Silva, Ana/G-1579-2011</t>
  </si>
  <si>
    <t>Aranda da Silva, Ana/0000-0003-0151-0865</t>
  </si>
  <si>
    <t>Swiss National Science Foundation [3100A0-112645]; G&amp;L Claraz Donation</t>
  </si>
  <si>
    <t>Swiss National Science Foundation(Swiss National Science Foundation (SNSF)); G&amp;L Claraz Donation</t>
  </si>
  <si>
    <t>We are grateful to Angelika Brandt and Urlich Bathmann for organising the SYSTCO project, and to the captain and the crew of R/V Polarstern for facilitating the collection of samples. We also thank Gritta Veit-Kohler, Saskia Brix, Lydia Kramer, Katja Guilini, Annika Henche and Henri Robert for assistance during the cruise. Andrew Gooday and two anonymous reviewers made helpful comments on the manuscript. This work was supported by the Swiss National Science Foundation grant 3100A0-112645, and G&amp;L Claraz Donation.</t>
  </si>
  <si>
    <t>19-20</t>
  </si>
  <si>
    <t>10.1016/j.dsr2.2011.01.009</t>
  </si>
  <si>
    <t>827MF</t>
  </si>
  <si>
    <t>WOS:000295431900005</t>
  </si>
  <si>
    <t>Göcke, C; Janussen, D</t>
  </si>
  <si>
    <t>Goecke, Christian; Janussen, Dorte</t>
  </si>
  <si>
    <t>ANT XXIV/2 (SYSTCO) Hexactinellida (Porifera) and bathymetric traits of Antarctic glass sponges (incorporating ANDEEP-material); including an emendation of the rediscovered genus Lonchiphora</t>
  </si>
  <si>
    <t>Porifera; Hexactinellida; Farreidae; New species; Zoogeography; Bathymetry; Antarctica</t>
  </si>
  <si>
    <t>WEDDELL SEA; DEEP-SEA; DIVERSITY; AREAS</t>
  </si>
  <si>
    <t>In this study, we present the hexactinellid sponges sampled in the Weddell-Sea during the ANT 24-2 SYSTCO expedition (30.10.2007-31.01.2008) on the RV Polarstern. All deep-sea stations sampled during this expedition showed comparably modest sponge colonization, with Hexactinellida and Demospongiae occurring in similar numbers of species and individuals. The hexactinellids sampled represent three abyssal species and six species from the deep shelf. Among the deep-sea glass sponges one species new to science was found, Lonchiphora antartica sp. nov., belonging to a poorly known genus, so far represented by only a single specimen known from the Sagami Bay, japan. Herein we give the first detailed emended diagnosis of the genus and a description of the new species representing the genus as its first well-known specimen. Ecological analysis shows three clearly differentiated associations of hexactinellid sponges in the Antarctic Ocean, which replace each other with increasing depths. Sponge communities on the shelf are dominated by Rossella spp., those on the continental slope and in the lower bathyal mostly by Bathydorus spinosus, and the abyssal associations by Caulophacus spp. No distinct geographical distribution pattern of the Weddell-Sea Hexactinellida could be observed, apart from those caused by their bathyal ranges. (C) 2011 Elsevier Ltd. All rights reserved.</t>
  </si>
  <si>
    <t>[Goecke, Christian] Forschungsinst, D-60325 Frankfurt, Germany; Nat Museum Senckenberg, D-60325 Frankfurt, Germany</t>
  </si>
  <si>
    <t>Senckenberg Gesellschaft fur Naturforschung (SGN)</t>
  </si>
  <si>
    <t>Göcke, C (corresponding author), Forschungsinst, Senckenberganlage 25, D-60325 Frankfurt, Germany.</t>
  </si>
  <si>
    <t>christian.goecke@senckenberg.de</t>
  </si>
  <si>
    <t>Deutsche Forschungsgemeinschaft (DFG) on Antarctic Porifera [JA 1063/14, 1-2]; Deutsche Forschungsgemeinschaft (DFG) on Hexactinellida phylogeny [JA 1063/13, 1-3]</t>
  </si>
  <si>
    <t>Deutsche Forschungsgemeinschaft (DFG) on Antarctic Porifera(German Research Foundation (DFG)); Deutsche Forschungsgemeinschaft (DFG) on Hexactinellida phylogeny(German Research Foundation (DFG))</t>
  </si>
  <si>
    <t>We thank the participants of the ANT XXIV/2-SYSTCO expedition for interesting discussions and cooperation. Special thanks are due to the initiator of the ANDEEP-SYSTCO program, Angelika Brandt (Univ. Hamburg) and to the cruise leader Ulrich Bathmann (AWI Bremerhaven), as well as to the captain and crew of RV Polarstern. We acknowledge the Deutsche Forschungsgemeinschaft (DFG) for financial support of our projects on Antarctic Porifera (JA 1063/14, 1-2) and on the Hexactinellida phylogeny (JA 1063/13, 1-3).</t>
  </si>
  <si>
    <t>10.1016/j.dsr2.2011.01.006</t>
  </si>
  <si>
    <t>WOS:000295431900007</t>
  </si>
  <si>
    <t>Janussen, D; Rapp, HT</t>
  </si>
  <si>
    <t>Janussen, Dorte; Rapp, Hans Tore</t>
  </si>
  <si>
    <t>Redescription of Jenkina articulata Brondsted from the deep Eckstrom Shelf, E-Weddell Sea, Antarctica and a comment on the possible mass occurrence of this species</t>
  </si>
  <si>
    <t>Calcarea; Jenkina articulata; Mass occurrence; SYSTCO; Antarctic shelf</t>
  </si>
  <si>
    <t>NORTHEAST ATLANTIC; HEXACTINELLID SPONGE; PHERONEMA-CARPENTERI; PORIFERA; CALCAREA; TRAITS; OCEAN; SLOPE</t>
  </si>
  <si>
    <t>This paper reports on an unexpected large catch of the rare calcareous sponge species Jenkina articulata Brondsted, 1931, taken in the Antarctic Weddell Sea during the ANT XXIV/2-SYSTCO expedition in January 2008. This species is only known from the original description from two specimens collected from the type locality off Wilhelm II-Land. During the SYSTCO expedition more than 60 specimens were collected using an Agassiz trawl at 600 m depth on the Eckstrom Shelf, Eastern Weddell Sea. Based on this collection, we give a redescription of the incompletely known species, place the locality of catch in a major context, and discuss possible explanations for the rich occurrence of this species in the sponge-ground fauna. (C) 2011 Elsevier Ltd. All rights reserved.</t>
  </si>
  <si>
    <t>[Janussen, Dorte] Forschungsinst, D-60325 Frankfurt, Germany; [Janussen, Dorte] Nat Museum Senckenberg, D-60325 Frankfurt, Germany; [Rapp, Hans Tore] Univ Bergen, Ctr Geobiol, N-5020 Bergen, Norway; [Rapp, Hans Tore] Univ Bergen, Dept Biol, N-5020 Bergen, Norway</t>
  </si>
  <si>
    <t>Senckenberg Gesellschaft fur Naturforschung (SGN); University of Bergen; University of Bergen</t>
  </si>
  <si>
    <t>Janussen, D (corresponding author), Forschungsinst, Senckenberganlage 25, D-60325 Frankfurt, Germany.</t>
  </si>
  <si>
    <t>dorte.janussen@senckenberg.de</t>
  </si>
  <si>
    <t>Deutsche Forschungsgemeinschaft [JA 1063/14-1]</t>
  </si>
  <si>
    <t>DJ thanks the ANDEEP-SYSTCO initiator, Angelika Brandt, the cruise leader, Ulrich Bathmann, and the Antarctic scientific community of for good cooperation, as well as the captain and crew of RV Polarstern for their kindness and efficiency. We are most grateful to Volker Strass and Boris Cisewski (AWI Bremerhaven) for information concerning the topography of the station locality. Furthermore, we thank Jon Hestetun and Alexander Plotkin (both University of Bergen) for their assistance in the laboratory. DJ acknowledges the Deutsche Forschungsgemeinschaft for financial support to her Antarctic sponge research project (JA 1063/14-1). Special thanks are due to Ole S. Tendal (ZMUC) and two anonymous reviewers for critical review and valuable suggestions to the manuscript of this article. This is ANDEEP-SYSTCO publication no. 140.</t>
  </si>
  <si>
    <t>10.1016/j.dsr2.2011.01.007</t>
  </si>
  <si>
    <t>WOS:000295431900008</t>
  </si>
  <si>
    <t>Würzberg, L; Peters, J; Flores, H; Brandt, A</t>
  </si>
  <si>
    <t>Wuerzberg, Laura; Peters, Janna; Flores, Hauke; Brandt, Angelika</t>
  </si>
  <si>
    <t>Demersal fishes from the Antarctic shelf and deep sea: A diet study based on fatty acid patterns and gut content analyses</t>
  </si>
  <si>
    <t>Southern Ocean; Deep sea; Shelf; Fatty acid; Gut content; Benthic fish diet</t>
  </si>
  <si>
    <t>SOUTH SHETLAND ISLANDS; TERRA-NOVA BAY; FEEDING-HABITS; CALANUS-PROPINQUUS; LIPID COMPOSITIONS; CALANOIDES-ACUTUS; NOTOTHENIOID FISH; WAX ESTERS; ICE-ZONE; ROSS SEA</t>
  </si>
  <si>
    <t>The gut contents and fatty acid composition of 49 fish belonging to five Antarctic demersal families (Nototheniidae, Macrouridae, Channichtyidae, Bathydraconidae and Artedidraconidae) sampled at two stations at the Southern Ocean shelf and deep sea (600 and 2150 m) were analysed in order to identify their main food resource by linking trophic biomarkers with the dietary items found in the fish guts. Main food items of most fish analysed were amphipod crustaceans (e.g. in 63% of Trematomus bernachii guts) and polychaetes (e.g. in 80% of Bathydraco sp. guts), but other food items including fish, other crustaceans and gastropods were also ingested. The most prominent fatty acids found were 20:5(n-3), 16:0, 22:6(n-3) and 18:1(n-9). The results of gut content and fatty acid analyses indicate that all fish except the Channichthyidae share similar food resources irrespective of their depth distribution, i.e. benthic amphipods and polychaetes. A difference of the dietary spectrum can be observed with ontogenetic phases rather than between species, as high values of typical calanoid copepod marker fatty acids as 22:1(n-11) indicate that younger (smaller) specimens include more zooplankton in their diet. (C) 2011 Elsevier Ltd. All rights reserved.</t>
  </si>
  <si>
    <t>[Wuerzberg, Laura; Brandt, Angelika] Univ Hamburg, Biozentrum Grindel, D-20146 Hamburg, Germany; [Wuerzberg, Laura; Brandt, Angelika] Univ Hamburg, Zool Museum, D-20146 Hamburg, Germany; [Peters, Janna] Univ Hamburg, Inst Hydrobiol &amp; Fischereiwissensch, D-22767 Hamburg, Germany; [Flores, Hauke] Inst Marine Resources &amp; Ecosyst Studies IMARES, NL-1790 AD Den Burg, Netherlands</t>
  </si>
  <si>
    <t>University of Hamburg; University of Hamburg; University of Hamburg; Wageningen University &amp; Research</t>
  </si>
  <si>
    <t>Würzberg, L (corresponding author), Univ Hamburg, Biozentrum Grindel, Martin Luther King Pl 3, D-20146 Hamburg, Germany.</t>
  </si>
  <si>
    <t>laura.wuerzberg@helmholtz-muenchen.de</t>
  </si>
  <si>
    <t>Flores, Hauke/ABD-1888-2020; Brandt, Angelika/C-1630-2018; Peters, Janna/JTV-2972-2023</t>
  </si>
  <si>
    <t>Flores, Hauke/0000-0003-1617-5449; Peters, Janna/0000-0002-0941-8257</t>
  </si>
  <si>
    <t>We especially thank the whole crew of RV Polarstern for excellent cooperation during the cruise and all SYSTCO scientists for the support and collaboration. Support in identifying the fish taxa on the basis of voucher pictures by Karl-Hermann Mock and the identification of small gastropods from fish gut contents by Enrico Schwabe is gratefully acknowledged. For technical support in the lab the authors want to specifically thank Karolin Berg and Veronika Bonk (University of Hamburg). This work was partly supported by a University of Hamburg Ph.D. stipend (L.W.). This study represents ANDEEP contribution #151.</t>
  </si>
  <si>
    <t>10.1016/j.dsr2.2011.05.012</t>
  </si>
  <si>
    <t>WOS:000295431900010</t>
  </si>
  <si>
    <t>Faure, V; Arhan, M; Speich, S; Gladyshev, S</t>
  </si>
  <si>
    <t>Faure, Vincent; Arhan, Michel; Speich, Sabrina; Gladyshev, Sergey</t>
  </si>
  <si>
    <t>Heat budget of the surface mixed layer south of Africa</t>
  </si>
  <si>
    <t>OCEAN DYNAMICS</t>
  </si>
  <si>
    <t>Ocean surface mixed layer; Heat budget; Southern Ocean; Agulhas Current retroflection</t>
  </si>
  <si>
    <t>ANTARCTIC CIRCUMPOLAR CURRENT; CLOUD FORMATION; WATER MASSES; ZONE SOUTH; AGULHAS; OCEAN; EVOLUTION; FRONTS; FLUXES; TRANSPORT</t>
  </si>
  <si>
    <t>ARGO hydrographic profiles, two hydrographic transects and satellite measurements of air-sea exchange parameters were used to characterize the properties and seasonal heat budget variations of the Surface Mixed Layer (SML) south of Africa. The analysis distinguishes the Subtropical domain (STZ) and the Subantarctic Zone (SAZ), Polar Frontal Zone (PFZ) and Antarctic Zone (AZ) of the Antarctic Circumpolar Current. While no Subantarctic Mode Water forms in that region, occurrences of deep SML (up to similar to 450 m) are observed in the SAZ in anticyclones detached from the Agulhas Current retroflection or Agulhas Return Current. These are present latitudinally throughout the SAZ, but preferentially at longitudes 10-20A degrees E where, according to previous results, the Subtropical Front is interrupted. Likely owing to this exchange window and to transfers at the Subantarctic Front also enhanced by the anticyclones, the SAZ shows a wide range of properties largely encroaching upon those of the neighbouring domains. Heat budget computations in each zone reveal significant meridional changes of regime. While air-sea heat fluxes dictate the heat budget seasonal variability everywhere, heat is mostly brought through lateral geostrophic advection by the Agulhas Current in the STZ, through lateral diffusion in the SAZ and through air-sea fluxes in the PFZ and AZ. The cooling contributions are by Ekman advection everywhere, lateral diffusion in the STZ (also favoured by the similar to 10A degrees breach in the Subtropical Front) and geostrophic advection in the SAZ. The latter likely reflects an eastward draining of water warmed through mixing of the subtropical eddies.</t>
  </si>
  <si>
    <t>[Faure, Vincent] Japan Agcy Marine Earth Sci &amp; Technol JAMSTEC, Res Inst Global Change, Yokosuka, Kanagawa 2370061, Japan; [Faure, Vincent; Arhan, Michel] IFREMER, IRD, UBO, Ctr Brest, Lab Phys Oceans, CNRS, UMR6523, F-29280 Plouzane, France; [Speich, Sabrina] UBO UFR Sci &amp; Tech, Lab Phys Oceans, CNRS, IFREMER,IRD,UBO,UMR6523, F-29238 Brest, France; [Gladyshev, Sergey] PP Shirshov Oceanol Inst, Dept Marine Operat, Moscow 117997, Russia</t>
  </si>
  <si>
    <t>Japan Agency for Marine-Earth Science &amp; Technology (JAMSTEC); Universite de Bretagne Occidentale; Institut Universitaire Europeen de la Mer (IUEM); Centre National de la Recherche Scientifique (CNRS); Ifremer; Institut de Recherche pour le Developpement (IRD); CNRS - National Institute for Earth Sciences &amp; Astronomy (INSU); Universite de Bretagne Occidentale; Centre National de la Recherche Scientifique (CNRS); Ifremer; Institut de Recherche pour le Developpement (IRD); CNRS - National Institute for Earth Sciences &amp; Astronomy (INSU); Russian Academy of Sciences; Shirshov Institute of Oceanology</t>
  </si>
  <si>
    <t>Faure, V (corresponding author), Japan Agcy Marine Earth Sci &amp; Technol JAMSTEC, Res Inst Global Change, 2-15 Natsushima Cho, Yokosuka, Kanagawa 2370061, Japan.</t>
  </si>
  <si>
    <t>vfaure@jamstec.go.jp</t>
  </si>
  <si>
    <t>Faure, Vincent/A-2970-2008; Speich, Sabrina/L-3780-2014; Gladyshev, Sergey/N-6508-2017</t>
  </si>
  <si>
    <t>Speich, Sabrina/0000-0002-5452-8287; Faure, Vincent/0000-0003-2347-069X</t>
  </si>
  <si>
    <t>IFREMER programme Circulation Oceanique; INSU (Institut National des Sciences de l'Univers); CNRS (Centre National de la Recherche Scientifique); Universite de Bretagne Occidentale; Russian Academy of Sciences</t>
  </si>
  <si>
    <t>IFREMER programme Circulation Oceanique; INSU (Institut National des Sciences de l'Univers); CNRS (Centre National de la Recherche Scientifique)(Centre National de la Recherche Scientifique (CNRS)); Universite de Bretagne Occidentale; Russian Academy of Sciences(Russian Academy of Sciences)</t>
  </si>
  <si>
    <t>This contribution to the CLIVAR/GoodHope programme was supported by the IFREMER programme Circulation Oceanique, by INSU (Institut National des Sciences de l'Univers), by the CNRS (Centre National de la Recherche Scientifique) and by the Universite de Bretagne Occidentale. V. Faure's contribution was done while under post-doctorate studies at the Laboratoire de Physique des Oceans, supported by a grant from the CNRS. S. Gladyshev's participation was benefited by a contract for bilateral cooperation between the CNRS and the Russian Academy of Sciences. We are thankful to J.B. Sallee for providing us with his surface diffusivity values and to C. Messager for the useful discussions on the air-sea heat fluxes. The aid of A. Prigent in the preparation of some figures is acknowledged.</t>
  </si>
  <si>
    <t>1616-7341</t>
  </si>
  <si>
    <t>1616-7228</t>
  </si>
  <si>
    <t>OCEAN DYNAM</t>
  </si>
  <si>
    <t>Ocean Dyn.</t>
  </si>
  <si>
    <t>10.1007/s10236-011-0444-1</t>
  </si>
  <si>
    <t>830TX</t>
  </si>
  <si>
    <t>WOS:000295681200001</t>
  </si>
  <si>
    <t>Bromwich, DH; Steinhoff, DF; Simmonds, I; Keay, K; Fogt, RL</t>
  </si>
  <si>
    <t>Bromwich, David H.; Steinhoff, Daniel F.; Simmonds, Ian; Keay, Kevin; Fogt, Ryan L.</t>
  </si>
  <si>
    <t>Climatological aspects of cyclogenesis near Adelie Land Antarctica</t>
  </si>
  <si>
    <t>TELLUS SERIES A-DYNAMIC METEOROLOGY AND OCEANOGRAPHY</t>
  </si>
  <si>
    <t>MESOSCALE CYCLONE ACTIVITY; SOUTHWESTERN ROSS SEA; POLAR MM5 SIMULATIONS; SYNOPTIC CLIMATOLOGY; ATMOSPHERIC CIRCULATIONS; WEDDELL SEA; SOUTHERN; ICE; MESOCYCLONES; TRACKING</t>
  </si>
  <si>
    <t>The Adelie Land coastal region of Antarctica is one of the most prominent cyclogenesis regions in the Southern Hemisphere, and is adjacent to the continent's most intense katabatic wind regime. However, the physical mechanisms responsible for cyclogenesis are not known. A manual analysis of cyclogenesis for the 2003-2005 period using output from the Antarctic Mesoscale Prediction System (AMPS) identifies two primary patterns of cyclogenesis near the Adelie Land coast. For secondary development cyclones, enhanced low-level cyclonic vorticity and baroclinicity result from the combination of an existing synoptic-scale cyclone to the west, coastal barrier winds and katabatic winds. Lee cyclogenesis occurs near 152 degrees E on the cyclonic-shear side of the Adelie Land katabatic jet, where a low-level warm potential temperature anomaly sets up a lee trough that becomes mobile with the arrival of upper-level synoptic-scale forcing. The representation of both secondary development and lee cyclogenesis cyclones in an automated cyclone-tracking scheme is explored, where it is found that the automated scheme overestimates cyclogenesis for this region. The location of the Antarctic coastal cyclogenesis maximum near Adelie Land is due to the unique juxtaposition of the extraordinary katabatic wind regime and dissipating synoptic-scale cyclones to the west.</t>
  </si>
  <si>
    <t>[Bromwich, David H.; Steinhoff, Daniel F.] Ohio State Univ, Byrd Polar Res Ctr, Polar Meteorol Grp, Columbus, OH 43210 USA; [Bromwich, David H.; Steinhoff, Daniel F.] Ohio State Univ, Dept Geog, Atmospher Sci Program, Columbus, OH 43210 USA; [Simmonds, Ian; Keay, Kevin] Univ Melbourne, Sch Earth Sci, Melbourne, Vic, Australia; [Fogt, Ryan L.] Ohio Univ, Dept Geog, Athens, OH 45701 USA</t>
  </si>
  <si>
    <t>University System of Ohio; Ohio State University; University System of Ohio; Ohio State University; University of Melbourne; Melbourne Bioinformatics; University System of Ohio; Ohio University</t>
  </si>
  <si>
    <t>Bromwich, DH (corresponding author), Ohio State Univ, Byrd Polar Res Ctr, Polar Meteorol Grp, Columbus, OH 43210 USA.</t>
  </si>
  <si>
    <t>bromwich@polarmet1.mps.ohio-state.edu</t>
  </si>
  <si>
    <t>Bromwich, David H/C-9225-2016; Fogt, Ryan L/B-6989-2008</t>
  </si>
  <si>
    <t>Fogt, Ryan L/0000-0002-5398-3990; Simmonds, Ian/0000-0002-4479-3255; Steinhoff, Daniel/0000-0002-4233-8750</t>
  </si>
  <si>
    <t>NASA [NNG04GM26G]; National Science Foundation Office of Polar Programs via UCAR [S01-22901]; Australian Research Council</t>
  </si>
  <si>
    <t>NASA(National Aeronautics &amp; Space Administration (NASA)); National Science Foundation Office of Polar Programs via UCAR; Australian Research Council(Australian Research Council)</t>
  </si>
  <si>
    <t>This work was supported by NASA via Grant NNG04GM26G and the National Science Foundation Office of Polar Programs via UCAR Subcontract S01-22901. Parts of this work were made possible by a grant from the Australian Research Council. Petteri Uotila provided UM tracking scheme output from AMPS. Byrd Polar Research Center Contribution Number 1408.</t>
  </si>
  <si>
    <t>STOCKHOLM UNIV PRESS</t>
  </si>
  <si>
    <t>STOCKHOLM</t>
  </si>
  <si>
    <t>STOCKHOLM UNIV LIBRARY, UNIVERSITETSVAGEN 14 D, STOCKHOLM, SE-106 91, SWEDEN</t>
  </si>
  <si>
    <t>1600-0870</t>
  </si>
  <si>
    <t>TELLUS A</t>
  </si>
  <si>
    <t>Tellus Ser. A-Dyn. Meteorol. Oceanogr.</t>
  </si>
  <si>
    <t>10.1111/j.1600-0870.2011.00537.x</t>
  </si>
  <si>
    <t>827YP</t>
  </si>
  <si>
    <t>WOS:000295466600007</t>
  </si>
  <si>
    <t>Man, WM; Zhou, TJ</t>
  </si>
  <si>
    <t>Man WenMin; Zhou TianJun</t>
  </si>
  <si>
    <t>Forced response of atmospheric oscillations during the last millennium simulated by a climate system model</t>
  </si>
  <si>
    <t>millennial climate; atmospheric oscillation; external forcing; climate system model</t>
  </si>
  <si>
    <t>NORTH-ATLANTIC OSCILLATION; ASIAN SUMMER MONSOON; GENERAL-CIRCULATION MODEL; TROPICAL PACIFIC CLIMATE; TROPOSPHERIC TEMPERATURE; INTERANNUAL VARIABILITY; SURFACE-TEMPERATURE; PAST MILLENNIUM; TIME SCALES; RECONSTRUCTION</t>
  </si>
  <si>
    <t>Variations in global atmospheric oscillations during the last millennium are simulated using the climate system model FGOALS_gl. The model was driven by reconstructions of both natural forcing (solar variability and volcanic aerosol) and anthropogenic forcing (greenhouse gases and sulfate aerosol). The model results are compared against proxy reconstruction data. The reconstructed North Atlantic Oscillation (NAO) was out of phase with the Pacific Decadal Oscillation (PDO) in the last millennium. During the Medieval Warm Period (MWP), the NAO was strong while the PDO was weak. During the Little Ice Age (LIA), the NAO was weak while the PDO was strong. A La Nina-like state prevailed in the MWP, while an El Nino-like state dominated in the LIA. This phenomenon is particularly obvious in the 15th, 17th and 19th centuries. Analysis of the model output indicates that the NAO was generally positive during 1000-1400 AD and negative during 1650-1900 AD. There is a discrepancy between the simulation and reconstruction during 1400-1650 AD. The simulated PDO generally varies in parallel with the reconstruction, which has a negative phase during the MWP and a positive phase during the LIA. The correlation coefficient between the reconstruction and simulation is 0.61, and the correlation is statistically significant at the 1% level. Neither the La Nina-like state of the MWP nor the El Nino-like state of the LIA is reproduced in the model. Both the reconstructed and the simulated Antarctic Oscillations had a negative phase in the early period of the last millennium and a positive phase in the late period of the last millennium. The Asian-Pacific Oscillation was generally strong during the WMP and weak during the LIA, and the correlation coefficient between the simulation and reconstruction is 0.50 for the period 1000-1985 AD. The analysis suggests that the specified external forcings significantly affected the evolution of atmospheric oscillation during the last millennium.</t>
  </si>
  <si>
    <t>[Man WenMin; Zhou TianJun] Chinese Acad Sci, Inst Atmospher Phys, Beijing 100029, Peoples R China; [Man WenMin] Chinese Acad Sci, Grad Univ, Beijing 100029, Peoples R China</t>
  </si>
  <si>
    <t>Man, WM (corresponding author), Chinese Acad Sci, Inst Atmospher Phys, Beijing 100029, Peoples R China.</t>
  </si>
  <si>
    <t>manmenmin@mail.iap.ac.cn</t>
  </si>
  <si>
    <t>ZHOU, Tianjun/C-3195-2012</t>
  </si>
  <si>
    <t>ZHOU, Tianjun/0000-0002-5829-7279; Man, Wenmin/0000-0003-3004-5464</t>
  </si>
  <si>
    <t>National Natural Science Foundation of China [40890054]; National Key Technology R&amp;D Program of China [2007BAC29B03]</t>
  </si>
  <si>
    <t>National Natural Science Foundation of China(National Natural Science Foundation of China (NSFC)); National Key Technology R&amp;D Program of China(National Key Technology R&amp;D Program)</t>
  </si>
  <si>
    <t>This work was supported by the National Natural Science Foundation of China (40890054) and the National Key Technology R&amp;D Program of China (2007BAC29B03).</t>
  </si>
  <si>
    <t>28-29</t>
  </si>
  <si>
    <t>10.1007/s11434-011-4637-2</t>
  </si>
  <si>
    <t>828SE</t>
  </si>
  <si>
    <t>WOS:000295522100008</t>
  </si>
  <si>
    <t>Sabbatini, L; Cavaliere, F; Dall'Oglio, G; Miriametro, A; Pizzo, L; Mancini, D; Torrioli, G</t>
  </si>
  <si>
    <t>Sabbatini, Lucia; Cavaliere, Francesco; Dall'Oglio, Giorgio; Miriametro, Antonio; Pizzo, Licia; Mancini, Dario; Torrioli, Guido</t>
  </si>
  <si>
    <t>COCHISE: the first light of the Italian millimetre telescope at Concordia (Dome C, Antarctica)</t>
  </si>
  <si>
    <t>EXPERIMENTAL ASTRONOMY</t>
  </si>
  <si>
    <t>Astronomical observatories; Infrared telescopes; Antarctic regions; Calibrating; Infrared astronomy; Reflecting telescopes; Submillimeter waves</t>
  </si>
  <si>
    <t>GALACTIC EMISSION; SITE; WAVELENGTH; RADIOSONDE; ASTRONOMY; PLATEAU; OPACITY; WATER; MM</t>
  </si>
  <si>
    <t>COCHISE (Cosmological Observations at Concordia with High-sensitivity Instrument for Source Extraction) is a 2.6 m telescope located on the high Antarctic Plateau near the Italian-French Concordia Base. The telescope is mainly devoted to Cosmological observations, able to operate between 200 mu m and 3 mm of wavelength. In this paper we describe the main characteristics of the instrument. We also report on the first light, obtained during summer 2010-2011: this result marks the beginning of millimetre astrophysical observations at Concordia. Responsivity, noise equivalent temperature and field of view of the instrument are reported. At present COCHISE is the largest telescope located at Concordia. Beside the scientific expectations, the use of this kind of instrument in the Antarctic environment poses technological aspects of relevant interest: thus COCHISE can be considered as a pathfinder for future Antarctic telescopes.</t>
  </si>
  <si>
    <t>[Sabbatini, Lucia; Dall'Oglio, Giorgio; Pizzo, Licia] Univ Roma Tre, Dept Phys, Rome, Italy; [Miriametro, Antonio] Univ Roma La Sapienza, Dept Phys, I-00185 Rome, Italy; [Cavaliere, Francesco] Univ Milan, Dept Phys, Milan, Italy; [Mancini, Dario] INAF Osservatorio Astron Capodimonte, Naples, Italy; [Torrioli, Guido] IFN CNR, Rome, Italy</t>
  </si>
  <si>
    <t>Roma Tre University; Sapienza University Rome; University of Milan; Istituto Nazionale Astrofisica (INAF); Consiglio Nazionale delle Ricerche (CNR); Istituto di Fotonica e Nanotecnologie (IFN-CNR)</t>
  </si>
  <si>
    <t>Sabbatini, L (corresponding author), Univ Roma Tre, Dept Phys, Rome, Italy.</t>
  </si>
  <si>
    <t>Torrioli, Guido/IWM-7002-2023</t>
  </si>
  <si>
    <t>Mancini, Dario/0000-0003-0569-0904; Torrioli, Guido/0000-0002-2298-304X; Sabbatini, Lucia/0000-0003-4747-9306</t>
  </si>
  <si>
    <t>PNRA-Programma Nazionale di Ricerche in Antartide</t>
  </si>
  <si>
    <t>The COCHISE telescope is funded by PNRA-Programma Nazionale di Ricerche in Antartide. This success derives from years of efforts by the OASI group and its partners, but it would not have been possible without the support and the assistance of PNRA and IPEV people. For this reason the Group devotes them particular thanks. We also thank Franco Marinilli for the mechanical design and realization; Fabio Chiarello and Sara Cibella for the realization of SHAB bolometers.</t>
  </si>
  <si>
    <t>0922-6435</t>
  </si>
  <si>
    <t>1572-9508</t>
  </si>
  <si>
    <t>EXP ASTRON</t>
  </si>
  <si>
    <t>Exp. Astron.</t>
  </si>
  <si>
    <t>2-3</t>
  </si>
  <si>
    <t>10.1007/s10686-011-9243-4</t>
  </si>
  <si>
    <t>828UI</t>
  </si>
  <si>
    <t>WOS:000295528300007</t>
  </si>
  <si>
    <t>Yu, J</t>
  </si>
  <si>
    <t>Yu, Jaehyung</t>
  </si>
  <si>
    <t>Temporal variations of Antarctic blue ice extent: a possible mass balance indicator</t>
  </si>
  <si>
    <t>SURFACE; AREAS</t>
  </si>
  <si>
    <t>The mass balance of the Antarctic ice sheet has been one of the main interests of the scientific community because of its impact on sea level rise. Blue ice areas are areas of exposed ice where the surface mass balance is negative by sublimation. The relationship between surface mass balance and temporal variations of Antarctic blue ice extent is not clear. This study investigates the temporal variations of 33 sites of blue ice extent with regard to the rate of surface elevation change by employing Landsat TM/ETM+ as well as radar altimetry-based rates of elevation change. The correlations between extent of blue ice areas and surface mass balance are analysed. The correlation generally is not systematic (r = -0.245). It may not be appropriate to use temporal variations in extent of blue ice areas as indicators of mass balance of the Antarctic ice sheet because of large interannual variations in the extent of blue ice areas caused by short term events of accumulation/ablation. Blue ice areas that are located at low elevations (r = -0.120) and far from nearby nunataks (r = -0.194) show low correlations while blue ice areas located in stable environments, such as high elevations (r = -0.516) and close to nearby nunataks (r = -0.783) may be useful as mass balance indicators showing high correlations. Monitoring the expansion of blue ice areas with regard to negative change in elevation (r = -0.510) rather than monitoring the decrease of the extent of blue ice areas with regard to positive change in elevation (r = 0.108) is more useful as a mass balance indicator. There is probably a systematic linkage between temporal variations in extent of blue ice areas and changes of surface elevation for blue ice areas that are at high elevations, close to nearby nunataks, and experiencing expansion.</t>
  </si>
  <si>
    <t>Texas A&amp;M Univ, Dept Phys &amp; Geosci, Kingsville, TX 78363 USA</t>
  </si>
  <si>
    <t>Texas A&amp;M University System; Texas A&amp;M University Kingsville</t>
  </si>
  <si>
    <t>Yu, J (corresponding author), Texas A&amp;M Univ, Dept Phys &amp; Geosci, Kingsville, TX 78363 USA.</t>
  </si>
  <si>
    <t>jaehyung.yu@tamuk.edu</t>
  </si>
  <si>
    <t>1475-3057</t>
  </si>
  <si>
    <t>10.1017/S0032247411000131</t>
  </si>
  <si>
    <t>WOS:000295364900005</t>
  </si>
  <si>
    <t>Lucas, A; Kriwoken, L; Leane, E</t>
  </si>
  <si>
    <t>Lucas, Anna; Kriwoken, Lorne; Leane, Elizabeth</t>
  </si>
  <si>
    <t>Captain John King Davis on FIS Endeavour: preparing for oceanographic work in the Southern Ocean</t>
  </si>
  <si>
    <t>AUSTRALASIAN ANTARCTIC EXPEDITION</t>
  </si>
  <si>
    <t>John King Davis captained S. Y. Aurora on three voyages to Antarctica and on other sub-Antarctic cruises for Douglas Mawson's Australasian Antarctic Expedition (AAE) 1911-1914. Between the first and second Antarctic trips, he made a short return cruise in 1912 from Melbourne to Eden in southeastern Australia with the Director of Commonwealth Fisheries, on the fisheries investigation steamship, F. I. S. Endeavour. This cruise was a milestone in his continuing training for the AAE's oceanographic work. Davis went not as captain, but as an observer. His aim was to gain greater knowledge of operating techniques when using oceanographic research equipment and to apply that knowledge to observations on forthcoming voyages with Aurora. He kept abbreviated notes of the research conducted on Endeavour, and of his visit to Eden, in a small pocket notebook. These informal observations, apparently made just for his own future reference, give us a glimpse of the 28 year old Davis. He has often been portrayed in a negative light, but here his personal notes reveal an experienced seaman, temporarily freed from responsibilities of captaincy and navigation, hard working, keen to acquire new skills on board and sociable when ashore. His subsequent work on Aurora, using the skills he acquired on this trip, resulted in significant contributions to the scientific reports of the AAE, including the discovery of an extensive elevation in the sea floor south of Tasmania, now known as the South Tasman Rise.</t>
  </si>
  <si>
    <t>[Lucas, Anna; Kriwoken, Lorne] Univ Tasmania, Sch Geog &amp; Environm Studies, Hobart, Tas, Australia; [Leane, Elizabeth] Univ Tasmania, Sch English Journalism &amp; European Languages, Hobart, Tas, Australia</t>
  </si>
  <si>
    <t>Lucas, A (corresponding author), Univ Tasmania, Sch Geog &amp; Environm Studies, Hobart, Tas, Australia.</t>
  </si>
  <si>
    <t>L.K.Kriwoken@utas.edu.au</t>
  </si>
  <si>
    <t>Leane, Elizabeth M/J-7138-2014</t>
  </si>
  <si>
    <t>Leane, Elizabeth/0000-0002-7954-6529</t>
  </si>
  <si>
    <t>10.1017/S0032247410000690</t>
  </si>
  <si>
    <t>WOS:000295364900006</t>
  </si>
  <si>
    <t>Mojib, N; Nasti, TH; Andersen, DT; Attigada, VR; Hoover, RB; Yusuf, N; Bej, AK</t>
  </si>
  <si>
    <t>Mojib, Nazia; Nasti, Tahseen H.; Andersen, Dale T.; Attigada, Venkatram R.; Hoover, Richard B.; Yusuf, Nabiha; Bej, Asim K.</t>
  </si>
  <si>
    <t>The antiproliferative function of violacein-like purple violet pigment (PVP) from an Antarctic Janthinobacterium sp Ant5-2 in UV-induced 2237 fibrosarcoma</t>
  </si>
  <si>
    <t>INTERNATIONAL JOURNAL OF DERMATOLOGY</t>
  </si>
  <si>
    <t>SKIN-CANCER; CHROMOBACTERIUM-VIOLACEUM; MUTANT P53; APOPTOSIS; TUMORS; CARCINOGENESIS; ANGIOGENESIS; PREVENTION; CELLS; MICE</t>
  </si>
  <si>
    <t>Background In this study, we have investigated the chemotherapeutic potential of a purple violet pigment (PVP), which was isolated from a previously undescribed Antarctic Janthinobacterium sp. (Ant5-2), against murine UV-induced 2237 fibrosarcoma and B16F10 melanoma cells. Methods The 2237, B16F10, C50, and NIH3T3 cells were treated with PVP at different doses and for different times, and their proliferation and viability were detected by 3-[4,5-dimethylthiazol-2-yl]-2,5-diphenyltetrazolium bromide (MTT) assay. Cell cycle arrest induced by PVP in 2237 fibrosarcoma cells was assessed by flow cytometry and expression analysis of cell cycle regulatory proteins were done by Western blot. Apoptosis induced by PVP in 2237 cells was observed by annexin-V/propidium iodide double staining flow cytometry assay and fluorescence microscopy. To further determine the molecular mechanism of apoptosis induced by PVP, the changes in expression of Bcl-2, Bax and cytochrome c were detected by Western blot. The loss of mitochondrial membrane potential in PVP treated 2237 cells was assessed by staining with JC-1 dye following flow cytometry. Caspase-3, Caspase-9 and PARP cleavage were analyzed by Western blot and Caspase-3 and -9 activities were measured by colorimetric assays. Results In vitro treatment of murine 2237 cells with the PVP resulted in decreased cell viability (13-79%) in a time (24-72 h) and dose (0.1-1 mu M)-dependent manner. The PVP-induced growth inhibition in 2237 cells was associated with both G0/G1 and G2/M phase arrest accompanied with decrease in the expression of cyclin dependent kinases (Cdks) and simultaneous increase in the expression of cyclin dependent kinase inhibitors (Cdki) - Cip1/p21 and Kip1/p27. Further, we observed a significant increase in the apoptosis of the 2237 fibrosarcoma cells which was associated with an increased expression of pro-apoptotic protein Bax, decreased expression of anti-apoptotic proteins Bcl-2, disruption of mitochondrial membrane potential, cytochrome c release, activation of caspase-3, caspase-9 and poly-ADP-ribose-polymerase (PARP) cleavage. Conclusions We describe the anti-cancer mechanism of the PVP for the first time from an Antarctic bacterium and suggest that the PVP could be used as a potent chemotherapeutic agent against nonmelanoma skin cancers.</t>
  </si>
  <si>
    <t>[Mojib, Nazia; Bej, Asim K.] Univ Alabama, Dept Biol, Birmingham, AL 35294 USA; [Nasti, Tahseen H.; Yusuf, Nabiha] Univ Alabama, Dept Dermatol, Birmingham, AL 35294 USA; [Attigada, Venkatram R.] Univ Alabama, Dept Chem, Birmingham, AL 35294 USA; [Andersen, Dale T.] SETI Inst, Mountain View, CA USA; [Hoover, Richard B.] NASA Marshall Space Flight Ctr, Huntsville, AL USA</t>
  </si>
  <si>
    <t>University of Alabama System; University of Alabama Birmingham; University of Alabama System; University of Alabama Birmingham; University of Alabama System; University of Alabama Birmingham; National Aeronautics &amp; Space Administration (NASA); NASA Marshall Space Flight Center</t>
  </si>
  <si>
    <t>Bej, AK (corresponding author), Univ Alabama Birmingham Biol, Dept Biol, 1300 Univ Blvd,CH464, Birmingham, AL 35294 USA.</t>
  </si>
  <si>
    <t>abej@uab.edu</t>
  </si>
  <si>
    <t>Andersen, Dale T/B-4816-2013</t>
  </si>
  <si>
    <t>Andersen, Dale T/0000-0001-8827-1259; /0000-0003-3060-1088; MOJIB, NAZIA/0000-0003-4924-5538</t>
  </si>
  <si>
    <t>NIH UAB Skin Disease Research Center [P30AR050948]</t>
  </si>
  <si>
    <t>NIH UAB Skin Disease Research Center</t>
  </si>
  <si>
    <t>We are grateful to Colonel (IL) J.N. Pritzker IL ARNG (Ret) (Tawani Foundation), Rasik Ravindra (NCAOR, India) and Marty Kress (NSSTC/VCSI/NASA) for their support in the Tawani International Antarctic Scientific Expedition; 2008-2009 NASA's Exobiology Grant program (Dale T. Andersen); logistics support provided by the Antarctic Russian Novolazarevskaya and Indian Maitri stations. We thank Keela Dodd for providing us some of the antibodies. We thank Marion Spell at the UAB core facility of the Center for the AIDS Research (CFAR) for flow cytometry study. This study was supported in part by Pilot &amp; Feasibility Study awarded to Dr. Nabiha Yusuf from NIH funded UAB Skin Disease Research Center grant P30AR050948 (August 2008-July 2009) and an internal support to Dr. Asim K. Bej from the Department of Biology (UAB). The isolation, identification and characterization of the Janthinobacterium (Ant 5-2) strain was conducted in A. Bej's lab; the purification and chemical analysis of the PVP were conducted in V. R. Attigada and A. Bej's labs; the cell culture, treatment of PVP on murine UV-induced 2237 skin cancer cells and some of the analysis of the treated cells were conducted in N. Yusuf's lab; and most of the western blot study were conducted in A. Bej's lab.</t>
  </si>
  <si>
    <t>0011-9059</t>
  </si>
  <si>
    <t>INT J DERMATOL</t>
  </si>
  <si>
    <t>Int. J. Dermatol.</t>
  </si>
  <si>
    <t>10.1111/j.1365-4632.2010.04825.x</t>
  </si>
  <si>
    <t>Dermatology</t>
  </si>
  <si>
    <t>824BY</t>
  </si>
  <si>
    <t>WOS:000295176300005</t>
  </si>
  <si>
    <t>Oberst, TE; Parshley, SC; Nikola, T; Stacey, GJ; Löhr, A; Lane, AP; Stark, AA; Kamenetzky, J</t>
  </si>
  <si>
    <t>Oberst, T. E.; Parshley, S. C.; Nikola, T.; Stacey, G. J.; Loehr, A.; Lane, A. P.; Stark, A. A.; Kamenetzky, J.</t>
  </si>
  <si>
    <t>A 205 μm [N II] MAP OF THE CARINA NEBULA</t>
  </si>
  <si>
    <t>H II regions; infrared: ISM; ISM: individual objects (Carina Nebula); ISM: lines and bands; photon-dominated region (PDR); submillimeter: ISM</t>
  </si>
  <si>
    <t>ANTARCTIC-SUBMILLIMETER-TELESCOPE; FAR-INFRARED OBSERVATIONS; PHOTODISSOCIATION REGIONS; C-II; INTERSTELLAR-MEDIUM; PHYSICAL CONDITIONS; STAR-FORMATION; LINE EMISSION; IONIZED-GAS; GALAXY</t>
  </si>
  <si>
    <t>We present the results of a similar to 250 arcmin(2) mapping of the 205 mu m [N II] fine-structure emission over the northern Carina Nebula, including the Car I and Car II H II regions. Spectra were obtained using the South Pole Imaging Fabry-Perot Interferometer (SPIFI) at the Antarctic Submillimeter Telescope and Remote Observatory (AST/RO) at the South Pole. We supplement the 205 mu m data with new reductions of far-IR fine-structure spectra from the Infrared Space Observatory (ISO) Long Wavelength Spectrometer (LWS) in 63 mu m [O I], 122 mu m [N II], 146 mu m [O I], and 158 mu m [C II]; the 146 mu m [O I] data include 90 raster positions which have not been previously published. Morphological comparisons are made with optical, radio continuum, and CO maps. The 122/205 line ratio is used to probe the density of the low-ionization gas, and the 158/205 line ratio is used to probe the fraction of C+ arising from photodissociation regions (PDRs). The [O I] and [C II] lines are used to construct a PDR model of Carina. When the PDR properties are compared with other sources, Carina is found to be more akin to 30 Doradus than galactic star-forming regions such as Orion, M17, or W49; this is consistent with the view of Carina as a more evolved region, where much of the parent molecular cloud has been ionized or swept away. These data constitute the first ground-based detection of the 205 mu m [N II] line, and the third detection overall since those of COBE FIRAS and the Kuiper Airborne Observatory in the early 1990s.</t>
  </si>
  <si>
    <t>[Oberst, T. E.; Parshley, S. C.; Nikola, T.; Stacey, G. J.] Cornell Univ, Dept Astron, Ithaca, NY 14853 USA; [Loehr, A.; Lane, A. P.; Stark, A. A.] Harvard Smithsonian Ctr Astrophys, Cambridge, MA 02138 USA; [Kamenetzky, J.] Univ Colorado, Ctr Astrophys &amp; Space Astron, Boulder, CO 80303 USA</t>
  </si>
  <si>
    <t>Cornell University; Smithsonian Astrophysical Observatory; Smithsonian Institution; Harvard University; University of Colorado System; University of Colorado Boulder</t>
  </si>
  <si>
    <t>Oberst, TE (corresponding author), Westminster Coll, Dept Phys, New Wilmington, PA 16172 USA.</t>
  </si>
  <si>
    <t>oberstte@westminster.edu</t>
  </si>
  <si>
    <t>NASA [GSRP NNG05GK70H]; NSF [IGERT DGE-9870631, CSIP DGE-0231913, OPP-0094605, OPP-0338149, OPP0126090]</t>
  </si>
  <si>
    <t>NASA(National Aeronautics &amp; Space Administration (NASA)); NSF(National Science Foundation (NSF))</t>
  </si>
  <si>
    <t>The authors especially thank the following individuals and groups: Carole E. Tucker, who provided SPIFI's filters; Jacob W. Kooi, for operating local oscillators at the AST/RO during SPIFI calibration; K. Sigfrid Yngvesson and the TREND group, for use of the TREND laser at the AST/RO during SPIFI calibration; and prior members of the SPIFI team, including C. Matt Bradford, Alberto D. Bolatto, James M. Jackson, Mark R. Swain, Maureen L. Savage, Jacqueline A. Davidson, and similar to 15 undergraduate student researchers. Finally, we are thankful for the support of the following grants: NASA GSRP NNG05GK70H; NSF IGERT DGE-9870631; NSF CSIP DGE-0231913; and NSF OPP-0094605, OPP-0338149, and OPP0126090.</t>
  </si>
  <si>
    <t>10.1088/0004-637X/739/2/100</t>
  </si>
  <si>
    <t>821IZ</t>
  </si>
  <si>
    <t>WOS:000294969800045</t>
  </si>
  <si>
    <t>Yick, JL; Tracey, SR; White, RWG</t>
  </si>
  <si>
    <t>Yick, J. L.; Tracey, S. R.; White, R. W. G.</t>
  </si>
  <si>
    <t>Niche overlap and trophic resource partitioning of two sympatric batoids co-inhabiting an estuarine system in southeast Australia</t>
  </si>
  <si>
    <t>JOURNAL OF APPLIED ICHTHYOLOGY</t>
  </si>
  <si>
    <t>FOOD-HABITS; STOMACH CONTENTS; CARCHARHINUS-PLUMBEUS; BATHYRAJA-MACLOVIANA; CENTRAL CALIFORNIA; ONTOGENIC CHANGES; FEEDING STRATEGY; SANDBAR SHARK; DIET; ECOLOGY</t>
  </si>
  <si>
    <t>Elasmobranchs play an important role within the trophic structure of marine ecosystems, but there are relatively few studies published on the feeding ecology of these species. Reported herein is the feeding ecology and trophic resource partitioning of two sympatric batoid species, Urolophus cruciatus and Narcine tasmaniensis from southeast Australia. The diet of males and females of both species was similar, suggesting no sex-specific dietary preferences. Ontogenetic changes in diet were observed from the diets of both species: as the body size increased, the proportion consumed of crustacea to polychaeta decreased. A relatively high degree of niche overlap (70%) was detected between the trophic resources of the two species. The way in which the predators partitioned the resources, however, was significantly different. U. cruciatus fed predominately on small benthic crustaceans (amphipods and decapods), while N. tasmaniensis displayed a preference towards Maldanidae polychaetes. Therefore, although U. cruciatus and N. tasmaniensis both feed predominately on benthic invertebrates, they specialise on different taxa. This trophic resource partitioning contributes to the biodiversity of the region by facilitating the coexistence of these sympatric species.</t>
  </si>
  <si>
    <t>[Yick, J. L.; Tracey, S. R.] Univ Tasmania, Tasmanian Aquaculture &amp; Fisheries Inst, Hobart, Tas, Australia; [White, R. W. G.] Univ Tasmania, Dept Zool, Hobart, Tas 7001, Australia; [Yick, J. L.] Inland Fisheries Serv, New Norfolk, Tas 7140, Australia; [Tracey, S. R.] Univ Tasmania, Inst Marine &amp; Antarctic Studies, Hobart, Tas, Australia</t>
  </si>
  <si>
    <t>University of Tasmania; University of Tasmania; University of Tasmania</t>
  </si>
  <si>
    <t>Yick, JL (corresponding author), Inland Fisheries Serv, 17 Back River Rd, New Norfolk, Tas 7140, Australia.</t>
  </si>
  <si>
    <t>jonah.yick@ifs.tas.gov.au</t>
  </si>
  <si>
    <t>White, Richard W/J-6721-2012; Tracey, Sean/J-7446-2014</t>
  </si>
  <si>
    <t>Yick, Jonah/0000-0001-5464-0458; Tracey, Sean/0000-0002-6735-5899</t>
  </si>
  <si>
    <t>0175-8659</t>
  </si>
  <si>
    <t>1439-0426</t>
  </si>
  <si>
    <t>J APPL ICHTHYOL</t>
  </si>
  <si>
    <t>J. Appl. Ichthyol.</t>
  </si>
  <si>
    <t>10.1111/j.1439-0426.2011.01819.x</t>
  </si>
  <si>
    <t>821ZP</t>
  </si>
  <si>
    <t>WOS:000295013300023</t>
  </si>
  <si>
    <t>Chapuis, JL; Pisanu, B; Brodier, S; Villers, A; Pettex, E; Lioret, M; Bretagnolle, V</t>
  </si>
  <si>
    <t>Chapuis, J. -L.; Pisanu, B.; Brodier, S.; Villers, A.; Pettex, E.; Lioret, M.; Bretagnolle, V.</t>
  </si>
  <si>
    <t>Eradication of invasive herbivores: usefulness and limits for biological conservation in a changing world RESPONSE</t>
  </si>
  <si>
    <t>SUB-ANTARCTIC ISLANDS; KERGUELEN ARCHIPELAGO; INTRODUCED PREDATORS; MACQUARIE-ISLAND; CLIMATE-CHANGE; RABBIT FLEA; CONSEQUENCES; MYXOMATOSIS; COMMUNITIES; MANAGEMENT</t>
  </si>
  <si>
    <t>[Chapuis, J. -L.; Pisanu, B.; Brodier, S.; Villers, A.; Pettex, E.; Lioret, M.] Museum Natl Hist Nat, F-75231 Paris, France; [Bretagnolle, V.] CNRS, Ctr Etud Biol Chize, Villiers En Bois, France</t>
  </si>
  <si>
    <t>Museum National d'Histoire Naturelle (MNHN); Centre National de la Recherche Scientifique (CNRS)</t>
  </si>
  <si>
    <t>Chapuis, JL (corresponding author), Museum Natl Hist Nat, F-75231 Paris, France.</t>
  </si>
  <si>
    <t>Pettex, Emeline/AAD-1850-2021; Villers, Alexandre/W-8184-2019; Arnauld, VILLERS A/K-6629-2016</t>
  </si>
  <si>
    <t>Pettex, Emeline/0000-0002-3395-8405; Villers, Alexandre/0000-0003-3050-4106;</t>
  </si>
  <si>
    <t>10.1111/j.1469-1795.2011.00499.x</t>
  </si>
  <si>
    <t>WOS:000296894900004</t>
  </si>
  <si>
    <t>Schmidt, DN; Ridgwell, A</t>
  </si>
  <si>
    <t>Schmidt, Daniela N.; Ridgwell, Andy</t>
  </si>
  <si>
    <t>Ocean acidification in the freezer</t>
  </si>
  <si>
    <t>[Schmidt, Daniela N.] Univ Bristol, Sch Earth Sci, Bristol BS8 1TH, Avon, England; [Ridgwell, Andy] Univ Bristol, Sch Geog Sci, Bristol BS8 1TH, Avon, England</t>
  </si>
  <si>
    <t>University of Bristol; University of Bristol</t>
  </si>
  <si>
    <t>Schmidt, DN (corresponding author), Univ Bristol, Sch Earth Sci, Bristol BS8 1TH, Avon, England.</t>
  </si>
  <si>
    <t>Ridgwell, Andy/AAD-9487-2021</t>
  </si>
  <si>
    <t>Ridgwell, Andy/0000-0003-2333-0128; Schmidt, Daniela/0000-0001-8419-2721</t>
  </si>
  <si>
    <t>Natural Environment Research Council [NE/F017383/1] Funding Source: researchfish; NERC [NE/F017383/1] Funding Source: UKRI</t>
  </si>
  <si>
    <t>10.1017/S0954102011000691</t>
  </si>
  <si>
    <t>WOS:000296911000001</t>
  </si>
  <si>
    <t>Becker, S; Quartino, ML; Campana, GL; Bucolo, P; Wiencke, C; Bischof, K</t>
  </si>
  <si>
    <t>Becker, Susanne; Liliana Quartino, Maria; Laura Campana, Gabriela; Bucolo, Philip; Wiencke, Christian; Bischof, Kai</t>
  </si>
  <si>
    <t>The biology of an Antarctic rhodophyte, Palmaria decipiens: recent advances</t>
  </si>
  <si>
    <t>coastal ecology; King George Island; Palmariales; physiology; red algae</t>
  </si>
  <si>
    <t>KING-GEORGE-ISLAND; SOUTH SHETLAND ISLANDS; POTTER COVE; TEMPERATURE REQUIREMENTS; PHOTOSYNTHETIC PERFORMANCE; ULTRAVIOLET-RADIATION; AMINO-ACIDS; SUBTIDAL MACROALGAE; MARINE MACROALGAE; POLAR MACROALGAE</t>
  </si>
  <si>
    <t>Palmaria decipiens (Reinsch) R.W. Ricker (1987) represents one of the dominant rhodophyte species in Antarctic coastal ecosystems. Due to its high abundance in the intertidal and upper subtidal it plays a key role in ecosystem structure and function, providing habitat, food and shelter for a multitude of associated organisms. The physiology, reproductive strategy and life cycle of P. decipiens is considered as being well adapted to the Antarctic environment, which is characterized by permanent low water temperatures and a strong seasonality in light climate. With its obvious ecological significance and adaptive strategies P. decipiens was frequently studied as a typical representative of an endemic Antarctic macroalga. Here we provide an overview of the recent literature, summarizing the knowledge gained about the alga during the last 25 years. This review focuses on the species life cycle and physiological responses, such as temperature requirements, photosynthetic characteristics, pigment content and protective mechanisms with regard to enhanced ultraviolet radiation (UV-B radiation, 280-315 nm and UV-A radiation, 315-400 nm). The ecology of P. decipiens is reviewed focussing on grazing activity and abundance patterns. Since most studies on P. decipiens have been conducted at King George Island off the western Antarctic Peninsula this overview serves as a summary of baseline data from an ecosystem particularly prone to environmental change.</t>
  </si>
  <si>
    <t>[Becker, Susanne; Bischof, Kai] Univ Bremen, Dept Marine Bot, D-28359 Bremen, Germany; [Liliana Quartino, Maria; Laura Campana, Gabriela] Argentinean Antarctic Inst, Dept Coastal Biol, Buenos Aires, DF, Argentina; [Liliana Quartino, Maria; Laura Campana, Gabriela] Natl Univ Lujan, Dept Basic Sci PIEA, RA-6700 Buenos Aires, DF, Argentina; [Bucolo, Philip] Univ Alabama Birmingham, Birmingham, AL 35294 USA; [Wiencke, Christian] Alfred Wegener Inst, D-27570 Bremerhaven, Germany</t>
  </si>
  <si>
    <t>University of Bremen; Universidad Nacional de Lujan; University of Alabama System; University of Alabama Birmingham; Helmholtz Association; Alfred Wegener Institute, Helmholtz Centre for Polar &amp; Marine Research</t>
  </si>
  <si>
    <t>Becker, S (corresponding author), Univ Bremen, Dept Marine Bot, Leobener Str NW2, D-28359 Bremen, Germany.</t>
  </si>
  <si>
    <t>susanne.becker25@gmail.com</t>
  </si>
  <si>
    <t>Bischof, Kai/0000-0002-4497-1920</t>
  </si>
  <si>
    <t>German Research Foundation (DFG) [Bi 772/7-1,2,3]; National Science Foundation [OPP-0442769, OPP-0442897]</t>
  </si>
  <si>
    <t>German Research Foundation (DFG)(German Research Foundation (DFG)); National Science Foundation(National Science Foundation (NSF))</t>
  </si>
  <si>
    <t>Parts of the study were funded by the German Research Foundation (DFG Bi 772/7-1,2,3), which is gratefully acknowledged (SB, KB, CW). National Science Foundation awards OPP-0442769 and OPP-0442897 provided funding for PB. Antarctic Research is highly dependent on logistic support, our thanks goes to all logistic partners involved in each project. The constructive comments of the reviewers were also gratefully received.</t>
  </si>
  <si>
    <t>10.1017/S0954102011000575</t>
  </si>
  <si>
    <t>WOS:000296911000002</t>
  </si>
  <si>
    <t>Ehrmann, W; Hillenbrand, CD; Smith, JA; Graham, AGC; Kuhn, G; Larter, RD</t>
  </si>
  <si>
    <t>Ehrmann, Werner; Hillenbrand, Claus-Dieter; Smith, James A.; Graham, Alastair G. C.; Kuhn, Gerhard; Larter, Robert D.</t>
  </si>
  <si>
    <t>Provenance changes between recent and glacial-time sediments in the Amundsen Sea embayment, West Antarctica: clay mineral assemblage evidence</t>
  </si>
  <si>
    <t>catchment; chlorite; ice divide migration; illite; kaolinite; smectite</t>
  </si>
  <si>
    <t>PINE ISLAND BAY; MARIE BYRD LAND; CONTINENTAL-MARGIN SEDIMENTS; ICE-SHEET; SURFACE SEDIMENTS; EAST ANTARCTICA; LATE QUATERNARY; LEVEL RISE; ROSS SEA; DYNAMICS</t>
  </si>
  <si>
    <t>The Amundsen Sea embayment is a probable site for the initiation of a future collapse of the West Antarctic Ice Sheet. This paper contributes to a better understanding of the transport pathways of subglacial sediments into this embayment at present and during the last glacial period. It discusses the clay mineral composition of sediment samples taken from the seafloor surface and marine cores in order to decipher spatial and temporal changes in the sediment provenance. The most striking feature in the present-day clay mineral distribution is the high concentration of kaolinite, which is mainly supplied by the Thwaites Glacier system and indicates the presence of hitherto unknown kaolinite-bearing sedimentary strata in the hinterland, probably in the Byrd Subglacial Basin. The main illite input is via the Pine Island Glacier. Smectite originates from the erosion of volcanic rocks in Ellsworth Land and western Marie Byrd Land. The clay mineral assemblages in diamictons deposited during the last glacial period are distinctly different from those in corresponding surface sediments. This relationship indicates that glacial sediment sources were different from modern ones, which could reflect changes in the catchment areas of the glaciers and ice streams.</t>
  </si>
  <si>
    <t>[Ehrmann, Werner] Univ Leipzig, Inst Geophys &amp; Geol, D-04103 Leipzig, Germany; [Hillenbrand, Claus-Dieter; Smith, James A.; Graham, Alastair G. C.; Larter, Robert D.] British Antarctic Survey, NERC, Cambridge CB3 0ET, England; [Kuhn, Gerhard] Alfred Wegener Inst Polar &amp; Marine Res, D-27568 Bremerhaven, Germany</t>
  </si>
  <si>
    <t>Leipzig University; UK Research &amp; Innovation (UKRI); Natural Environment Research Council (NERC); NERC British Antarctic Survey; Helmholtz Association; Alfred Wegener Institute, Helmholtz Centre for Polar &amp; Marine Research</t>
  </si>
  <si>
    <t>Ehrmann, W (corresponding author), Univ Leipzig, Inst Geophys &amp; Geol, Talstr 35, D-04103 Leipzig, Germany.</t>
  </si>
  <si>
    <t>ehrmann@rz.uni-leipzig.de</t>
  </si>
  <si>
    <t>Smith, James A/N-1836-2013</t>
  </si>
  <si>
    <t>Deutsche Forschungsgemeinschaft; NERC [bas0100027] Funding Source: UKRI; Natural Environment Research Council [bas0100027] Funding Source: researchfish</t>
  </si>
  <si>
    <t>Deutsche Forschungsgemeinschaft(German Research Foundation (DFG)); NERC(UK Research &amp; Innovation (UKRI)Natural Environment Research Council (NERC)); Natural Environment Research Council(UK Research &amp; Innovation (UKRI)Natural Environment Research Council (NERC))</t>
  </si>
  <si>
    <t>We thank the captains, officers, crews, technical staff and shipboard scientists, who helped to make available the sediment samples investigated in this study. The Deutsche Forschungsgemeinschaft provided financial support to WE. Sylvia Dorn is acknowledged for technical assistance in the XRD laboratory. The research is a contribution to the BAS GRADES-QWAD project and the Palaeo-Ice Sheets workpackage. The paper benefited from the constructive criticism provided by two anonymous reviewers and the editor.</t>
  </si>
  <si>
    <t>10.1017/S0954102011000320</t>
  </si>
  <si>
    <t>WOS:000296911000009</t>
  </si>
  <si>
    <t>Massé, G; Belt, ST; Crosta, X; Schmidt, S; Snape, I; Thomas, DN; Rowland, SJ</t>
  </si>
  <si>
    <t>Masse, Guillaume; Belt, Simon T.; Crosta, Xavier; Schmidt, Sabine; Snape, Ian; Thomas, David N.; Rowland, Steven J.</t>
  </si>
  <si>
    <t>Highly branched isoprenoids as proxies for variable sea ice conditions in the Southern Ocean</t>
  </si>
  <si>
    <t>Adelie Land; C-13 isotopes; diatoms; HBI; IP25; polyunsaturates</t>
  </si>
  <si>
    <t>CANADIAN ARCTIC ARCHIPELAGO; MAJOR DIATOM TAXA; ORGANIC-MATTER; INTERTIDAL SEDIMENTS; PARTICULATE MATERIAL; SEASONAL-VARIATIONS; TAMAR ESTUARY; HYDROCARBONS; MARINE; IDENTIFICATION</t>
  </si>
  <si>
    <t>Concentrations of a highly branched isoprenoid (HBI) diene determined in over 200 sediment samples from the Arctic co-vary with those of an HBI monoene (IP25) shown previously to be a sedimentary sea ice proxy for the Arctic. The same diene, but not monoene IP25, occurred in nine sea ice samples collected from various locations around Antarctica. The diene has been reported previously in Antarctic sea ice diatoms and the C-13 isotopic compositions of the diene determined in two Antarctic sea ice samples were also consistent with an origin from sea ice diatoms (delta C-13-5.7 to -8.5 parts per thousand). In contrast, HBIs found in two Antarctic phytoplankton samples did not include the diene but comprised a number of tri-to pentaenes. In sediment samples collected near Adelie Land, East Antarctica, both the diene and the tri-to pentaenes often co-occurred. C-13 isotopic compositions of the tri-to pentaenes in three sediment samples ranged from -35 to -42 parts per thousand whereas that of the diene in a sediment sample was -18 parts per thousand. We propose the presence of this isotopically C-13 enriched HBI diene in Antarctic sediments to be a useful proxy indicator for contributions of organic matter derived from sea ice diatoms. A ratio of the concentrations of diene/trienes might reflect the relative contributions of sea ice to phytoplanktonic inputs of organic matter to Antarctic sediments.</t>
  </si>
  <si>
    <t>[Masse, Guillaume; Belt, Simon T.; Rowland, Steven J.] Univ Plymouth, Biogeochem Res Ctr, Plymouth PL4 8AA, Devon, England; [Masse, Guillaume] Univ Paris 06, CNRS UPMC IRD MNHN, UMR7159, LOCEAN, F-75252 Paris, France; [Crosta, Xavier; Schmidt, Sabine] Univ Bordeaux 1, UMR5805, F-33405 Talence, France; [Snape, Ian] Australian Antarctic Div, Kingston, Tas 7050, Australia; [Thomas, David N.] Bangor Univ, Sch Ocean Sci, Menai Bridge LL59 5AB, Anglesey, Wales</t>
  </si>
  <si>
    <t>University of Plymouth; Sorbonne Universite; Institut de Recherche pour le Developpement (IRD); Centre National de la Recherche Scientifique (CNRS); CNRS - National Institute for Earth Sciences &amp; Astronomy (INSU); Museum National d'Histoire Naturelle (MNHN); Universite de Bordeaux; Centre National de la Recherche Scientifique (CNRS); CNRS - National Institute for Earth Sciences &amp; Astronomy (INSU); Australian Antarctic Division; Bangor University</t>
  </si>
  <si>
    <t>Massé, G (corresponding author), Univ Plymouth, Biogeochem Res Ctr, Plymouth PL4 8AA, Devon, England.</t>
  </si>
  <si>
    <t>guillaume.masse@locean-ipsl.upmc.fr</t>
  </si>
  <si>
    <t>Rowland, Steven/JFK-4987-2023; Schmidt, Sabine/G-1193-2013; Thomas, David Neville/B-1448-2010</t>
  </si>
  <si>
    <t>Schmidt, Sabine/0000-0002-5985-9747; Thomas, David Neville/0000-0001-8832-5907</t>
  </si>
  <si>
    <t>(UK) Natural Environment Research Council (NERC) [NE/D000068/1, NER/A/S/2003/00340]; European Research Council [203441]; Natural Environment Research Council [lsmsf010001, NER/A/S/2003/00340] Funding Source: researchfish; European Research Council (ERC) [203441] Funding Source: European Research Council (ERC); NERC [lsmsf010001] Funding Source: UKRI</t>
  </si>
  <si>
    <t>(UK) Natural Environment Research Council (NERC)(UK Research &amp; Innovation (UKRI)Natural Environment Research Council (NERC)); European Research Council(European Research Council (ERC)); Natural Environment Research Council(UK Research &amp; Innovation (UKRI)Natural Environment Research Council (NERC)); European Research Council (ERC)(European Research Council (ERC)Spanish Government); NERC(UK Research &amp; Innovation (UKRI)Natural Environment Research Council (NERC))</t>
  </si>
  <si>
    <t>This work was supported by the (UK) Natural Environment Research Council (NERC, NE/D000068/1 &amp; NER/A/S/2003/00340) and the European Research Council (Grant number: 203441). DT is grateful to the master and crew of the RV Polarstern as well as S. Papadimitriou, L. Norman and G.S. Dieckmann for help in the field. We are very grateful to Dr I.D. Bull at the Life Sciences Mass Spectrometry Facility at the University of Bristol (Application LSMSFBRISTOL007) for conducting the carbon isotopic measurements.</t>
  </si>
  <si>
    <t>10.1017/S0954102011000381</t>
  </si>
  <si>
    <t>WOS:000296911000010</t>
  </si>
  <si>
    <t>Murray, SA; Wiese, M; Stüken, A; Brett, S; Kellmann, R; Hallegraeff, G; Neilan, BA</t>
  </si>
  <si>
    <t>Murray, Shauna A.; Wiese, Maria; Stuken, Anke; Brett, Steve; Kellmann, Ralf; Hallegraeff, Gustaaf; Neilan, Brett A.</t>
  </si>
  <si>
    <t>sxtA-Based Quantitative Molecular Assay To Identify Saxitoxin-Producing Harmful Algal Blooms in Marine Waters</t>
  </si>
  <si>
    <t>TIME PCR ASSAY; GYMNODINIUM-CATENATUM GRAHAM; NEW-SOUTH-WALES; ALEXANDRIUM-TAMARENSE; DINOFLAGELLATE GENOME; GENE-EXPRESSION; QUANTIFICATION; DINOPHYCEAE; DIATOM; IDENTIFICATION</t>
  </si>
  <si>
    <t>The recent identification of genes involved in the production of the potent neurotoxin and keystone metabolite saxitoxin (STX) in marine eukaryotic phytoplankton has allowed us for the first time to develop molecular genetic methods to investigate the chemical ecology of harmful algal blooms in situ. We present a novel method for detecting and quantifying the potential for STX production in marine environmental samples. Our assay detects a domain of the gene sxtA that encodes a unique enzyme putatively involved in the sxt pathway in marine dinoflagellates, sxtA4. A product of the correct size was recovered from nine strains of four species of STX-producing Alexandrium and Gymnodinium catenatum and was not detected in the non-STX-producing Alexandrium species, other dinoflagellate cultures, or an environmental sample that did not contain known STX-producing species. However, sxtA4 was also detected in the non-STX-producing strain of Alexandrium tamarense, Tasmanian ribotype. We investigated the copy number of sxtA4 in three strains of Alexandrium catenella and found it to be relatively constant among strains. Using our novel method, we detected and quantified sxtA4 in three environmental blooms of Alexandrium catenella that led to STX uptake in oysters. We conclude that this method shows promise as an accurate, fast, and cost-effective means of quantifying the potential for STX production in marine samples and will be useful for biological oceanographic research and harmful algal bloom monitoring.</t>
  </si>
  <si>
    <t>[Murray, Shauna A.; Wiese, Maria] Sydney Inst Marine Sci, Mosman, NSW 2088, Australia; [Murray, Shauna A.; Wiese, Maria; Neilan, Brett A.] Univ New S Wales, Sch Biotechnol &amp; Biomol Sci, Sydney, NSW 2052, Australia; [Murray, Shauna A.; Wiese, Maria; Neilan, Brett A.] Univ New S Wales, Evolut &amp; Ecol Res Ctr, Sydney, NSW 2052, Australia; [Stuken, Anke] Univ Oslo, Dept Biol, Microbial Evolut Res Grp, N-0316 Oslo, Norway; [Brett, Steve] Microalgal Serv, Ormond, Vic 3204, Australia; [Kellmann, Ralf] Haukeland Hosp, Hormone Lab, N-5021 Bergen, Norway; [Hallegraeff, Gustaaf] Univ Tasmania, Inst Marine &amp; Antarctic Studies, Hobart, Tas 7001, Australia</t>
  </si>
  <si>
    <t>Sydney Institute of Marine Science; University of New South Wales Sydney; University of New South Wales Sydney; University of Oslo; University of Bergen; Haukeland University Hospital; University of Tasmania</t>
  </si>
  <si>
    <t>Murray, SA (corresponding author), Sydney Inst Marine Sci, Chowder Bay Rd, Mosman, NSW 2088, Australia.</t>
  </si>
  <si>
    <t>s.murray@unsw.edu.au</t>
  </si>
  <si>
    <t>Neilan, Brett A/I-5767-2012; Murray, Shauna/JAN-6668-2023; Wiese, Maria/P-5020-2014; Murray, Shauna/K-5781-2015; Hallegraeff, Gustaaf/C-8351-2013</t>
  </si>
  <si>
    <t>Neilan, Brett A/0000-0001-6113-772X; Wiese, Maria/0000-0002-1010-1927; Murray, Shauna/0000-0001-7096-1307; Hallegraeff, Gustaaf/0000-0001-8464-7343; Stuken, Anke/0000-0002-7553-9524</t>
  </si>
  <si>
    <t>NSW Food Authority; Wayne O'Connor of Industry and Investment NSW; Diagnostic Technology; Ray Brown of the Tasmanian Department of Health and Human Services; Ken Lee of Primary Industries and Resources South Australia; Australian Research Council [LP0776759]; Research Council of Norway [186292/V40]; Australian Research Council [LP0776759] Funding Source: Australian Research Council</t>
  </si>
  <si>
    <t>NSW Food Authority; Wayne O'Connor of Industry and Investment NSW; Diagnostic Technology; Ray Brown of the Tasmanian Department of Health and Human Services; Ken Lee of Primary Industries and Resources South Australia; Australian Research Council(Australian Research Council); Research Council of Norway(Research Council of Norway); Australian Research Council(Australian Research Council)</t>
  </si>
  <si>
    <t>We thank the NSW Food Authority, Wayne O'Connor of Industry and Investment NSW, Diagnostic Technology, Ray Brown of the Tasmanian Department of Health and Human Services, and Ken Lee of Primary Industries and Resources South Australia for cofunding and supporting this research. This study was funded by Australian Research Council grant LP0776759 to B.A.N., S.A.M., and G.H. A.S. was supported by grant 186292/V40 from the Research Council of Norway.</t>
  </si>
  <si>
    <t>10.1128/AEM.05308-11</t>
  </si>
  <si>
    <t>823LH</t>
  </si>
  <si>
    <t>WOS:000295123300039</t>
  </si>
  <si>
    <t>Roscoe, HK; Rosenlof, KH</t>
  </si>
  <si>
    <t>Roscoe, H. K.; Rosenlof, K. H.</t>
  </si>
  <si>
    <t>Revisiting the lower stratospheric water vapour trend from the 1950s to 1970s</t>
  </si>
  <si>
    <t>water; stratosphere; global change; frost point</t>
  </si>
  <si>
    <t>Previous work showed a near-continuous increase in stratospheric water vapour between the 1950s and 1990s from a variety of instruments, without recourse to fits between instruments. We reassess the trend from the earliest, the UK frost-point hygrometer, 1954-1976. An error in previous work omitted to transform values from ppmm to ppmv. When corrected, they fit more convincingly with measurements by later frost-point hygrometers. Minor instrument changes between the 1950s and 1970s do not introduce a potential bias to the trend but do increase its error. If the full 1970s data are included, the trend becomes 2.1 +/- 0.8%/year (two-sigma). Copyright (C) 2011 Royal Meteorological Society</t>
  </si>
  <si>
    <t>[Roscoe, H. K.] British Antarctic Survey, Cambridge CB3 0ET, England; [Rosenlof, K. H.] NOAA Earth Syst Res Lab, Div Chem Sci, Boulder, CO USA</t>
  </si>
  <si>
    <t>UK Research &amp; Innovation (UKRI); Natural Environment Research Council (NERC); NERC British Antarctic Survey; National Oceanic Atmospheric Admin (NOAA) - USA</t>
  </si>
  <si>
    <t>Rosenlof, Karen H/B-5652-2008</t>
  </si>
  <si>
    <t>Rosenlof, Karen H/0000-0002-0903-8270</t>
  </si>
  <si>
    <t>OCT-DEC</t>
  </si>
  <si>
    <t>10.1002/asl.339</t>
  </si>
  <si>
    <t>877UD</t>
  </si>
  <si>
    <t>WOS:000299207300001</t>
  </si>
  <si>
    <t>Mesquita, SR; Guilhermino, L; Guimaraes, L</t>
  </si>
  <si>
    <t>Mesquita, Sofia Raquel; Guilhermino, Lucia; Guimaraes, Laura</t>
  </si>
  <si>
    <t>Biochemical and locomotor responses of Carcinus maenas exposed to the serotonin reuptake inhibitor fluoxetine</t>
  </si>
  <si>
    <t>Fluoxetine; Moulting; Chitobiase; Locomotion; Cholinesterases; Oxidative stress</t>
  </si>
  <si>
    <t>ENVIRONMENTAL RISK-ASSESSMENT; CHITOBIASE ACTIVITY; FIDDLER-CRAB; WASTE-WATER; CHITINOLYTIC ENZYMES; ANGUILLA-ANGUILLA; EFFECT CRITERION; ANTARCTIC KRILL; DAPHNIA-MAGNA; MOLT CYCLE</t>
  </si>
  <si>
    <t>The aim of this study was to assess the effects of the widely used anti-depressant fluoxetine on behaviour (locomotion), moulting, neuromuscular transmission, energy production and anti-oxidant defences' efficiency of the epibenthic crab Carcinus mamas. Crabs were individually exposed to fluoxetine concentrations for 7 d. Effects on locomotion were assessed at the end of the exposure using an open field test adapted to C. maenas in the present study. Tissue samples were later collected to evaluate fluoxetine effects on physiological functions using the activity of key enzymes and other parameters as biomarkers, namely: N-acetyl-beta-glucosaminidase (NAGase) in the epidermis (moulting) and the hepatopancreas; cholinesterases (ChE) in muscle (neuromuscular cholinergic transmission); NADP(+)-dependent isocitrate dehydrogenase (IDH) and lactate dehydrogenease (LDH) in muscle (energy production); glutathione S-transferases (GST) in hepatopancreas (biotransformation and oxidative stress system); glutathione reductase (GR), and glutathione peroxidade (GPx), total glutathione levels (TG) and lipid peroxidation levels in the hepatopancreas (anti-oxidant defences and oxidative damage). Because no information on C. maenas NAGase activity was previously available, its variation during the moult cycle was also investigated. The results showed that locomotion was significantly increased at fluoxetine concentrations equal or above 120 mu g L-1, with animals spending more time moving, walking longer distances than controls. Levels of NAGase activity were found to vary in relation to C. maenas moult cycle, but no alterations were observed after exposure to fluoxetine. Significant increases in the activity of ChE, GST and GR enzymes, and the levels of TG were found, with a lowest observed effect concentration (LOEC) of 120 mu g L-1. Effects on locomotion were significantly and positively correlated to those induced on ChE activity. The results raise concern when hypothesising conditions of chronic exposure in the wild. (C) 2011 Elsevier Ltd. All rights reserved.</t>
  </si>
  <si>
    <t>[Mesquita, Sofia Raquel; Guilhermino, Lucia; Guimaraes, Laura] Univ Porto, CIIMAR Interdisciplinary Ctr Marine &amp; Environm Re, Lab Ecotoxicol &amp; Ecol, P-4050123 Oporto, Portugal; [Mesquita, Sofia Raquel; Guilhermino, Lucia] Univ Porto, ICBAS Inst Ciencias Biomed Abel Salazar, Dept Estudos Populacoes, Lab Ecotoxicol, P-4099003 Oporto, Portugal</t>
  </si>
  <si>
    <t>Universidade do Porto; Universidade do Porto</t>
  </si>
  <si>
    <t>Mesquita, SR (corresponding author), Univ Porto, CIIMAR Interdisciplinary Ctr Marine &amp; Environm Re, Lab Ecotoxicol &amp; Ecol, Rua Bragas 289, P-4050123 Oporto, Portugal.</t>
  </si>
  <si>
    <t>smesquita@ciimar.up.pt; lguilher@icbas.up.pt; lguimaraes@ciimar.up.pt</t>
  </si>
  <si>
    <t>Guilhermino, Lucia/E-8361-2013; Guimarães, Laura/AGD-8925-2022; Guimaraes, Laura/A-6759-2011</t>
  </si>
  <si>
    <t>Guimarães, Laura/0000-0003-3360-3783; Guimaraes, Laura/0000-0003-3360-3783; Guilhermino, Lucia/0000-0002-1009-8967</t>
  </si>
  <si>
    <t>FEDER funds, through the Programme COMPETE; FCT (Portuguese Foundation for Science and Technology) [FCOMP-01-0124-FEDER-007383]</t>
  </si>
  <si>
    <t>FEDER funds, through the Programme COMPETE; FCT (Portuguese Foundation for Science and Technology)(Fundacao para a Ciencia e a Tecnologia (FCT))</t>
  </si>
  <si>
    <t>This work was supported by FEDER funds, through the Programme COMPETE, and National funds, through the FCT (Portuguese Foundation for Science and Technology), within the scope of the project CRABTHEMES (FCOMP-01-0124-FEDER-007383). The authors acknowledge Dr. C. Silva for valuable remarks on some statistical details and Dr. C. Canhoto for constructive comments that helped to improve the clarity of the manuscript.</t>
  </si>
  <si>
    <t>10.1016/j.chemosphere.2011.06.067</t>
  </si>
  <si>
    <t>864FW</t>
  </si>
  <si>
    <t>WOS:000298223400008</t>
  </si>
  <si>
    <t>Graversen, RG; Drijfhout, S; Hazeleger, W; van de Wal, R; Bintanja, R; Helsen, M</t>
  </si>
  <si>
    <t>Graversen, Rune G.; Drijfhout, Sybren; Hazeleger, Wilco; van de Wal, Roderik; Bintanja, Richard; Helsen, Michiel</t>
  </si>
  <si>
    <t>Greenland's contribution to global sea-level rise by the end of the 21st century</t>
  </si>
  <si>
    <t>Sea-level-rise projection; Greenland ice sheet; Outlet glacier; Ice-sheet modeling</t>
  </si>
  <si>
    <t>ANTARCTIC ICE SHEETS; MODEL; ACCELERATION; VARIABILITY; SENSITIVITY; THICKNESS; DYNAMICS; RETREAT; VOLUME</t>
  </si>
  <si>
    <t>The Greenland ice sheet holds enough water to raise the global sea level with similar to 7 m. Over the last few decades, observations manifest a substantial increase of the mass loss of this ice sheet. Both enhanced melting and increase of the dynamical discharge, associated with calving at the outlet-glacier fronts, are contributing to the mass imbalance. Using a dynamical and thermodynamical ice-sheet model, and taking into account speed up of outlet glaciers, we estimate Greenland's contribution to the 21st-century global sea-level rise and the uncertainty of this estimate. Boundary fields of temperature and precipitation extracted from coupled climate-model projections used for the IPCC Fourth Assessment Report, are applied to the ice-sheet model. We implement a simple parameterization for increased flow of outlet glaciers, which decreases the bias of the modeled present-day surface height. It also allows for taking into account the observed recent increase in dynamical discharge, and it can be used for future projections associated with outlet-glacier speed up. Greenland contributes 0-17 cm to global sea-level rise by the end of the 21st century. This range includes the uncertainties in climate-model projections, the uncertainty associated with scenarios of greenhouse-gas emissions, as well as the uncertainties in future outlet-glacier discharge. In addition, the range takes into account the uncertainty of the ice-sheet model and its boundary fields.</t>
  </si>
  <si>
    <t>[Graversen, Rune G.; Drijfhout, Sybren; Hazeleger, Wilco; Bintanja, Richard] Royal Netherlands Meteorol Inst, NL-3732 De Bilt, Netherlands; [van de Wal, Roderik; Helsen, Michiel] Univ Utrecht, Inst Marine &amp; Atmospher Res Utrecht, Utrecht, Netherlands</t>
  </si>
  <si>
    <t>Royal Netherlands Meteorological Institute; Utrecht University</t>
  </si>
  <si>
    <t>Graversen, RG (corresponding author), Royal Netherlands Meteorol Inst, Wilhelminalaan 10, NL-3732 De Bilt, Netherlands.</t>
  </si>
  <si>
    <t>graversen@knmi.nl</t>
  </si>
  <si>
    <t>Drijfhout, Sybren/I-4230-2016; Graversen, Rune G/C-3956-2016; van de wal, roderik/D-1705-2011</t>
  </si>
  <si>
    <t>van de wal, roderik/0000-0003-2543-3892; Hazeleger, Wilco/0000-0002-4566-958X; Drijfhout, Sybren/0000-0001-5325-7350; Bintanja, Richard/0000-0002-0465-5923; Graversen, Rune/0000-0003-4899-553X</t>
  </si>
  <si>
    <t>Ministry of Transport, Public Works and Water Management, The Netherlands</t>
  </si>
  <si>
    <t>The authors are thankful to Wouter Greuell, Frank Selten, Caroline Katsman, Bert Wouters as well as two anonymous reviewers for useful comments on the manuscript. The authors would like to acknowledge Janneke Ettema for providing RACMO precipitation data, Michiel van den Broeke for RACMO mass-balance data, and Bo Vinther for providing the GRIP ice-core data. R. Graversen is funded by Ministry of Transport, Public Works and Water Management, The Netherlands, within the project Abrupt Climate Scenarios.</t>
  </si>
  <si>
    <t>7-8</t>
  </si>
  <si>
    <t>10.1007/s00382-010-0918-8</t>
  </si>
  <si>
    <t>828SI</t>
  </si>
  <si>
    <t>WOS:000295522600008</t>
  </si>
  <si>
    <t>Arora, M; Snape, I; Stevens, GW</t>
  </si>
  <si>
    <t>Arora, Meenakshi; Snape, Ian; Stevens, Geoff W.</t>
  </si>
  <si>
    <t>Toluene sorption by granular activated carbon and its use in cold regions permeable reactive barrier: Fixed bed studies</t>
  </si>
  <si>
    <t>Granular activated carbon (GAC); Toluene; Sorption; Solute transport model; Cold regions</t>
  </si>
  <si>
    <t>AQUEOUS-SOLUTIONS; AMMONIA REMOVAL; ION-EXCHANGE; CLINOPTILOLITE; ADSORPTION; COLUMN; MODEL; ZEOLITE; METALS; PB2+</t>
  </si>
  <si>
    <t>Sorption characteristics of toluene on a granular activated carbon (GAC) derived from coconut shell have been investigated at 4 and 20 degrees C to facilitate the development of a permeable reactive barrier (PRB) to treat oil-contaminated surface and sub-surface waters in cold regions. A one-dimensional solute transfer model describing quantitatively the equilibrium and kinetics of sorption of toluene on GAC fixed-bed reveals that breakthrough and saturation capacities reduce with increased water flow rates. The GAC sorption capacity in a fixed bed is between 30 and 60% of the capacity determined in equivalent batch system. Fixed-bed performance is also significantly reduced at low temperature, with breakthrough and saturation capacities at 4 degrees C between 20 and 30% less than the values at 20 degrees C. The detrimental effect of low temperature on fixed bed performance will have significant implications for the PRB design to treat contaminated waters in cold regions and should be considered at planning stage. (C) 2011 Elsevier B.V. All rights reserved.</t>
  </si>
  <si>
    <t>[Arora, Meenakshi; Stevens, Geoff W.] Univ Melbourne, Particulate Fluids Proc Ctr, Dept Chem &amp; Biomol Engn, Melbourne, Vic 3010, Australia; [Snape, Ian] Australian Antarctic Div, Human Impacts Res Grp, Kingston, Tas 7050, Australia</t>
  </si>
  <si>
    <t>University of Melbourne; Melbourne Bioinformatics; Australian Antarctic Division</t>
  </si>
  <si>
    <t>Arora, M (corresponding author), Univ Melbourne, Particulate Fluids Proc Ctr, Dept Chem &amp; Biomol Engn, Melbourne, Vic 3010, Australia.</t>
  </si>
  <si>
    <t>mpahwa2000@yahoo.com</t>
  </si>
  <si>
    <t>; Arora, Meenakshi/E-1473-2011</t>
  </si>
  <si>
    <t>Stevens, Geoffrey/0000-0002-5788-4682; Arora, Meenakshi/0000-0002-6988-2844</t>
  </si>
  <si>
    <t>Particulate Fluids Processing Centre, a special Research Centre of Australian Research Council and Australian Antarctic Division</t>
  </si>
  <si>
    <t>This study was supported by the Particulate Fluids Processing Centre, a special Research Centre of Australian Research Council and Australian Antarctic Division.</t>
  </si>
  <si>
    <t>10.1016/j.coldregions.2011.06.013</t>
  </si>
  <si>
    <t>WOS:000296311100006</t>
  </si>
  <si>
    <t>Flores, H; van Franeker, JA; Cisewski, B; Leach, H; Van de Putte, AP; Meesters, E; Bathmann, U; Wolff, WJ</t>
  </si>
  <si>
    <t>Flores, Hauke; van Franeker, Jan-Andries; Cisewski, Boris; Leach, Harry; Van de Putte, Anton P.; Meesters, Erik (H. W. G.); Bathmann, Ulrich; Wolff, Wirn J.</t>
  </si>
  <si>
    <t>Macrofauna under sea ice and in the open surface layer of the Lazarev Sea, Southern Ocean</t>
  </si>
  <si>
    <t>Zooplankton; Sea ice; Antarctic zone; Sympagic fauna; Community composition; Food webs; Antarctic krill; 60 degrees S 6 degrees W/70 degrees S 3 degrees E</t>
  </si>
  <si>
    <t>WESTERN WEDDELL SEA; KRILL EUPHAUSIA-SUPERBA; ANTARCTIC KRILL; COMMUNITY STRUCTURE; PACK-ICE; SAGITTA-GAZELLAE; ZOOPLANKTON COMMUNITY; VERTICAL-DISTRIBUTION; LIMACINA-HELICINA; EUKROHNIA-HAMATA</t>
  </si>
  <si>
    <t>A new fishing gear was used to sample the macrozooplankton and micronekton community in the surface layer (0-2 m) under ice and in open water, the Surface and Under Ice Trawl (SUIT). In total, 57 quantitative hauls were conducted in the Lazarev Sea (Southern Ocean) during 3 different seasons (autumn 2004, winter 2006, summer 2007/2008). At least 46 species from eight phyla were caught in all 3 seasons combined. Biomass density was dominated by Antarctic krill Euphausia superba. The average biomass density was highest under the winter sea ice and lowest under the young ice in autumn. In summer, macrozooplankton biomass was dominated by ctenophores in open water and by Antarctic krill under ice. The community composition varied significantly among seasons, and according to the presence of sea ice. The response of the community composition to the presence of sea ice was influenced by species that were significantly more abundant in open water than under ice (Cyllopus lucasii, Hyperiella dilatata), only seasonally abundant under ice (Clione antarctica), or significantly associated with sea ice (Eusirus laticarpus). A number of abundant species showed distinct diel patterns in the surface occurrence both under ice and in open water, indicating that the surface layer serves as a foraging ground predominantly at night. Our results emphasize the potential of a number of non-euphausiid macrozooplankton and micronekton species to act as energy transmitters between the production of sea ice biota and the pelagic food web. By providing a regional-scale quantitative record of macrofauna under Antarctic sea ice covering 3 seasons, this study adds new and direct evidence that the ice-water interface layer is a major functional node in the ecosystem of the Antarctic seasonal sea ice zone. (C) 2011 Elsevier Ltd. All rights reserved.</t>
  </si>
  <si>
    <t>[Flores, Hauke; van Franeker, Jan-Andries; Meesters, Erik (H. W. G.)] Inst Marine Resources &amp; Ecosyst Studies IMARES, NL-1790 AD Den Burg, Texel, Netherlands; [Cisewski, Boris; Bathmann, Ulrich] Alfred Wegener Inst Polar &amp; Marine Res AWI, D-27570 Bremerhaven, Germany; [Leach, Harry] Univ Liverpool, Dept Earth &amp; Ocean Sci, Liverpool L69 3GP, Merseyside, England; [Van de Putte, Anton P.] Catholic Univ Louvain, Aquat Ecol Lab, B-3000 Louvain, Belgium; [Wolff, Wirn J.] Univ Groningen, Ctr Ecol &amp; Evolutionary Studies, NL-9750 AA Haren, Gn, Netherlands</t>
  </si>
  <si>
    <t>Wageningen University &amp; Research; Helmholtz Association; Alfred Wegener Institute, Helmholtz Centre for Polar &amp; Marine Research; University of Liverpool; Universite Catholique Louvain; University of Groningen</t>
  </si>
  <si>
    <t>Flores, H (corresponding author), Inst Marine Resources &amp; Ecosyst Studies IMARES, POB 167, NL-1790 AD Den Burg, Texel, Netherlands.</t>
  </si>
  <si>
    <t>hauke.flores@wur.nl</t>
  </si>
  <si>
    <t>Cisewski, Boris/GWV-4320-2022; Van de Putte, Anton/S-3729-2019; Flores, Hauke/ABD-1888-2020; Bathmann, Ulrich/ISV-4351-2023; Van de Putte, Anton P/F-6877-2012</t>
  </si>
  <si>
    <t>Cisewski, Boris/0000-0002-1130-6107; Van de Putte, Anton/0000-0003-1336-5554; Flores, Hauke/0000-0003-1617-5449; Leach, Harry/0000-0003-1774-5167; Meesters, Erik/0000-0002-3877-1164</t>
  </si>
  <si>
    <t>Netherlands Organization for Scientific Research (NWO) [ALW 851.20.011]; Belgian Science Policy [SD/BA/851]; Royal Society; [KB-01-012-002]</t>
  </si>
  <si>
    <t>Netherlands Organization for Scientific Research (NWO)(Netherlands Organization for Scientific Research (NWO)); Belgian Science Policy(Belgian Federal Science Policy Office); Royal Society(Royal Society);</t>
  </si>
  <si>
    <t>This study was made possible by extraordinary support of the crews of the Polarstern expeditions ANT XXI-4, ANT XXIII-6 and ANT XXIV-2, Captain Uwe Pahl, Captain Stefan Schwarze and the Alfred Wegener Institute for Polar and Marine Research (Awl). The following people contributed substantially to the successful completion of our research: A. Meijboom, M. van Dorssen, R. Fijn, B. Fey, D. Martynova, H. Verdaat, I. Nunez-Riboni, U. Piatkowski and M. Scheidat. This Antarctic research by [MARES Wageningen-UR is commissioned by the Netherlands Ministry of Agriculture, Nature and Food Quality (LNV) under its Statutory Research Task Nature &amp; Environment WOT-04-003-002, and project no KB-01-012-002. The Netherlands Ant Arctic Program (NAAP), managed by the Netherlands Organization for Scientific Research (NWO) funded this research under Project nr ALW 851.20.011. A.VdP. is supported by Belgian Science Policy (PELAGANT project and the PADI project no. SD/BA/851). H.L.'s participation was supported by a travel grant from the Royal Society.</t>
  </si>
  <si>
    <t>10.1016/j.dsr2.2011.01.010</t>
  </si>
  <si>
    <t>WOS:000295431900002</t>
  </si>
  <si>
    <t>Brandt, A; Bathmann, U; Brix, S; Cisewski, B; Flores, H; Göcke, C; Janussen, D; Krägefsky, S; Kruse, S; Leach, H; Linse, K; Pakhomov, E; Peeken, I; Riehl, T; Sauter, E; Sachs, O; Schüller, M; Schrödl, M; Schwabe, E; Strass, V; van Franeker, JA; Wilmsen, E</t>
  </si>
  <si>
    <t>Brandt, A.; Bathmann, U.; Brix, S.; Cisewski, B.; Flores, H.; Goecke, C.; Janussen, D.; Kraegefsky, S.; Kruse, S.; Leach, H.; Linse, K.; Pakhomov, E.; Peeken, I.; Riehl, T.; Sauter, E.; Sachs, O.; Schueller, M.; Schroedl, M.; Schwabe, E.; Strass, V.; van Franeker, J. A.; Wilmsen, E.</t>
  </si>
  <si>
    <t>Maud Rise - a snapshot through the water column</t>
  </si>
  <si>
    <t>Cooling processes; Ice biota; Pelagic realm; Benthos; Seamount; ANDEEP-SYSTCO; Southern Ocean; Maud Rise</t>
  </si>
  <si>
    <t>ABYSSAL WEDDELL SEA; SOUTHERN-OCEAN; ANTARCTIC KRILL; ATLANTIC SECTOR; CARBON FLUXES; 1ST INSIGHTS; ABUNDANCE; DIVERSITY; CRUSTACEA; WINTER</t>
  </si>
  <si>
    <t>The benthic fauna was investigated during the expedition ANT-XXIV/2 (2007/08) in relation to oceanographic features, biogeochemical properties and sediment characteristics, as well as the benthic, pelagic and air-breathing fauna. The results document that Maud Rise (MR) differs distinctly from surrounding deep-sea basins investigated during previous Southern Ocean expeditions (ANDEEP 2002, 2005). Considering all taxa, the overall similarity between MR and adjacent stations was low (similar to 20% Bray-Curtis-Similarity), and analyses of single taxa show obvious differences in species composition, abundances and densities. The composition and diversity of bivalves of MR are characterised by extremely high abundances of three species, especially the small sized Vesicomya spp. Exceptionally high gastropod abundance at MR is due to the single species Onoba subantarctica wilkesiana, a small brooder that may prey upon abundant benthic foraminiferas. The abundance and diversity of isopods also show that one family. Haplomunnidae, occurs with a surprisingly high number of individuals at MR while this family was not found at any of the 40 bathyal and abyssal ANDEEP stations. Similarly, polychaetes, especially the tube-dwelling, suspension-feeder fraction, are represented by species not found at the comparison stations. Sponges comprise almost exclusively small specimens in relatively high numbers, especially a few species of Polymastiidae. Water-column sampling from the surface to the seafloor, including observations of top predators, indicate the existence of a prospering pelagic food web. Local concentrations of top predators and zooplankton are associated with a rich ice-edge bloom located over the northern slope of MR. There the sea ice melts, which is probably accelerated by the advection of warm water at intermediate depth. Over the southern slope, high concentrations of Antarctic krill (Euphausia superba) occur under dense sea ice and attract Antarctic Minke Whales (Balaenoptera bonaerensis) and several seabird species. These findings suggest that biological prosperity over MR is related to both oceanographic and sea-ice processes. Downward transport of the organic matter produced in the pelagic realm may be more constant than elsewhere due to low lateral drift over MR. (C) 2011 Elsevier Ltd. All rights reserved.</t>
  </si>
  <si>
    <t>[Brandt, A.; Riehl, T.] Bioctr Grindel, D-20146 Hamburg, Germany; [Bathmann, U.; Cisewski, B.; Kraegefsky, S.; Kruse, S.; Peeken, I.; Sauter, E.; Sachs, O.; Strass, V.] Alfred Wegener Inst Polar &amp; Marine Res, D-2850 Bremerhaven, Germany; [Brandt, A.; Riehl, T.] Zool Museum, D-20146 Hamburg, Germany; [Brix, S.] Deutsch Zentrum Marine Biodiversitatsforsch, Hamburg, Germany; [Flores, H.; van Franeker, J. A.] Inst Marine Resources &amp; Ecosyst Studies IMARES, NL-1790 AD Den Burg, Netherlands; [Goecke, C.; Janussen, D.] Forsch &amp; Nat Museum Senckenberg, Frankfurt, Germany; [Leach, H.] Univ Liverpool, Sch Environm Sci, Liverpool L69 3BX, Merseyside, England; [Linse, K.] British Antarctic Survey, NERC, Cambridge CB3 0ET, England; [Pakhomov, E.] Univ British Columbia, Dept Earth &amp; Ocean Sci, Vancouver, BC V6T 1Z4, Canada; [Peeken, I.] Univ Bremen, MARUM Ctr Marine Environm Sci, D-2800 Bremen 33, Germany; [Schueller, M.; Wilmsen, E.] Ruhr Univ Bochum, Bochum, Germany; [Schroedl, M.; Schwabe, E.] Bavarian State Collect Zool, Munich, Germany</t>
  </si>
  <si>
    <t>University of Hamburg; Helmholtz Association; Alfred Wegener Institute, Helmholtz Centre for Polar &amp; Marine Research; Wageningen University &amp; Research; University of Liverpool; UK Research &amp; Innovation (UKRI); Natural Environment Research Council (NERC); NERC British Antarctic Survey; University of British Columbia; University of Bremen; Ruhr University Bochum</t>
  </si>
  <si>
    <t>Brandt, A (corresponding author), Bioctr Grindel, Martin Luther King Pl 3, D-20146 Hamburg, Germany.</t>
  </si>
  <si>
    <t>abrandt@uni-hamburg.de</t>
  </si>
  <si>
    <t>Bathmann, Ulrich/ISV-4351-2023; Cisewski, Boris/GWV-4320-2022; Flores, Hauke/ABD-1888-2020; Riehl, Torben/C-3711-2013</t>
  </si>
  <si>
    <t>Cisewski, Boris/0000-0002-1130-6107; Flores, Hauke/0000-0003-1617-5449; Sauter, Eberhard/0000-0001-7954-952X; Riehl, Torben/0000-0002-7363-4421; Leach, Harry/0000-0003-1774-5167; Linse, Katrin/0000-0003-3477-3047; Peeken, Ilka/0000-0003-1531-1664; Strass, Volker/0000-0002-7539-1400</t>
  </si>
  <si>
    <t>BMBF; DFG [SCHR667/4]; Helmholtz Foundation; Marx-foundation; Netherlands Ant Arctic Programme (NAAP) [ALW-NWO 851.20.011]; Netherlands Ministry of Agriculture, Nature and Food Quality [WOT-04-003-002, KB-01-012-002]; Antarctic Porifera Project [JA 1063/14-2, WO 896/9]; Royal Society; NERC [bas0100026] Funding Source: UKRI; Natural Environment Research Council [bas0100026] Funding Source: researchfish</t>
  </si>
  <si>
    <t>BMBF(Federal Ministry of Education &amp; Research (BMBF)); DFG(German Research Foundation (DFG)); Helmholtz Foundation(Helmholtz Association); Marx-foundation; Netherlands Ant Arctic Programme (NAAP); Netherlands Ministry of Agriculture, Nature and Food Quality; Antarctic Porifera Project; Royal Society(Royal Society); NERC(UK Research &amp; Innovation (UKRI)Natural Environment Research Council (NERC)); Natural Environment Research Council(UK Research &amp; Innovation (UKRI)Natural Environment Research Council (NERC))</t>
  </si>
  <si>
    <t>The authors are grateful to the BMBF, the DFG, and the Helmholtz Foundation and the Marx-foundation for the support of the expedition with RV Polarstern, including travelling costs for DJ. We thank the captain and crew of RV Polarstern during ANT-XXIV/2 for all their support. Dr. K. George is thanked for general discussions with regard to the biology of seamounts. Participation of IMARES in this project was funded by the Netherlands Ant Arctic Programme (NAAP; project nr ALW-NWO 851.20.011), and by the Netherlands Ministry of Agriculture, Nature and Food Quality (LNV) under its Statutory Research Tasks Nature &amp; Environment projects WOT-04-003-002 and KB-01-012-002. Financial support to MS and ES came from DFG SCHR667/4. DFG is also thanked for financial support of the Antarctic Porifera Project (JA 1063/14-2, WO 896/9). HL's travel costs were funded by the Royal Society. We appreciate the unremittingly support of W. Dimmler to overcome difficulties with lander technology. Dr. I. Karanovic kindly corrected the English. This is ANDEEP publication # 141.</t>
  </si>
  <si>
    <t>10.1016/j.dsr2.2011.01.008</t>
  </si>
  <si>
    <t>WOS:000295431900003</t>
  </si>
  <si>
    <t>Veit-Köhler, G; Guilini, K; Peeken, I; Sachs, O; Sauter, EJ; Würzberg, L</t>
  </si>
  <si>
    <t>Veit-Koehler, Gritta; Guilini, Katja; Peeken, Ilka; Sachs, Oliver; Sauter, Eberhard J.; Wuerzberg, Laura</t>
  </si>
  <si>
    <t>Antarctic deep-sea meiofauna and bacteria react to the deposition of particulate organic matter after a phytoplankton bloom</t>
  </si>
  <si>
    <t>Deep-sea sediments; Meiofauna; Bacteria; Vertical migration; Benthic organic carbon flux; Sediment community oxygen consumption (SCOC); Chloroplast pigments; Fatty acids; Southern Ocean</t>
  </si>
  <si>
    <t>FATTY-ACIDS; BENTHIC FORAMINIFERA; METAZOAN MEIOFAUNA; OCEAN; PHYTODETRITUS; COMMUNITIES; SEDIMENTS; CARBON; NEMATODES; PROFILES</t>
  </si>
  <si>
    <t>During the RV Polarstern ANT XXIV-2 cruise to the Southern Ocean and the Weddell Sea in 2007/2008, sediment samples were taken during and after a phytoplankton bloom at 52 degrees S 0 degrees E. The station, located at 2960 m water depth, was sampled for the first time at the beginning of December 2007 and revisited at the end of January 2008. Fresh phytodetritus originating from the phytoplankton bloom first observed in the water column had reached the sea floor by the time of the second visit. Absolute abundances of bacteria and most major meiofauna taxa did not change between the two sampling dates. In the copepods, the second most abundant meiofauna taxon after the nematodes, the enhanced input of organic material did not lead to an observable increase of reproductive effort. However, significantly higher relative abundances of meiofauna could be observed at the sediment surface after the remains of the phytoplankton bloom reached the sea floor. Vertical shifts in meiofauna distribution between December and January may be related to changing pore-water oxygen concentration, total sediment fatty acid content, and pigment profiles measured during our study. Higher oxygen consumption after the phytoplankton bloom may have resulted from an enhanced respiratory activity of the living benthic component, as neither meiofauna nor bacteria reacted with an increase in individual numbers to the food input from the water column. Based on our results, we infer that low temperatures and ecological strategies are the underlying factors for the delayed response of benthic deep-sea copepods, in terms of egg and larval production, to the modified environmental situation. (C) 2011 Elsevier Ltd. All rights reserved.</t>
  </si>
  <si>
    <t>[Veit-Koehler, Gritta] DZMB German Ctr Marine Biodivers Res, D-26382 Wilhelmshaven, Germany; [Guilini, Katja] Univ Ghent, Dept Biol, Marine Biol Sect, B-9000 Ghent, Belgium; [Peeken, Ilka; Sachs, Oliver; Sauter, Eberhard J.] Alfred Wegener Inst Polar &amp; Marine Res, D-27515 Bremerhaven, Germany; [Peeken, Ilka] MARUM Ctr Marine Environm Sci, D-28359 Bremen, Germany; [Wuerzberg, Laura] Univ Hamburg, Zool Museum, D-20146 Hamburg, Germany</t>
  </si>
  <si>
    <t>Ghent University; Helmholtz Association; Alfred Wegener Institute, Helmholtz Centre for Polar &amp; Marine Research; University of Bremen; University of Hamburg</t>
  </si>
  <si>
    <t>Veit-Köhler, G (corresponding author), DZMB German Ctr Marine Biodivers Res, Sudstrand 44, D-26382 Wilhelmshaven, Germany.</t>
  </si>
  <si>
    <t>gveit-koehler@senckenberg.de</t>
  </si>
  <si>
    <t>Sauter, Eberhard/0000-0001-7954-952X; Peeken, Ilka/0000-0003-1531-1664</t>
  </si>
  <si>
    <t>Solveig Buhring (University of Bremen); Flanders Fund for Scientific Research (FWO) [3G0346]; Special Research Fund (BOF); FUNction and biodiversity of nematoda in the DEEP-sea (FUNDEEP) [01J14909]; Belgian Science Policy [SD/BA/02A]; University of Hamburg; DFG [SA1030/2-1+2]</t>
  </si>
  <si>
    <t>Solveig Buhring (University of Bremen); Flanders Fund for Scientific Research (FWO)(FWO); Special Research Fund (BOF); FUNction and biodiversity of nematoda in the DEEP-sea (FUNDEEP); Belgian Science Policy(Belgian Federal Science Policy Office); University of Hamburg; DFG(German Research Foundation (DFG))</t>
  </si>
  <si>
    <t>We thank Captain U. Pahl and the crew of RV Polarstern, the cruise leader Prof. Dr. Ulrich Bathmann, and SYSTCO project leader Prof. Dr. Angelika Brandt for their help and support during the ANT XXIV-2 expedition. Annika Hellmann (DZMB) was in charge of the SYSTCO-logistics and the multicorer deployments on board. We acknowledge the technical assistance of Werner Dimmler with lander preparation. Dr. Volker Strass and the CTD-team provided the water samples on board. At the DZMB in Wilhelmshaven, Marco Bruhn coordinated sample treatment and sorted the meiofauna, and Katharina Bruch and Daniela Hugo helped considerably with sample processing. Dr. Janna Peters (IHF, Hamburg) and Solveig Buhring (University of Bremen) supported the fatty acid analyses and data interpretation. At UGent we thank Jeroen Vanwichelen and Dirk Van Gansbeke for technical support during bacterial counting. The Census of Marine Life projects CeDAMar and CAML as well as Senckenberg am Meer - DZMB are thanked for financial and logistical support of the SYSTCO-team. G. Veit-Kohler acknowledges a travel grant from the Friedrich Wilhelm und Elise Marx-Stiftung. K. Guilini acknowledges the Flanders Fund for Scientific Research (FWO, project number 3G0346), the Special Research Fund (BOF, The relation between FUNction and biodiversity of nematoda in the DEEP-sea (FUNDEEP), project number 01J14909), and the Belgian Science Policy [Belspo, Biodiversity of three representative groups of the Antarctic Zoobenthos - Coping with Change (BIANZO II), research project SD/BA/02A]. L. Wurzberg was supported by a University of Hamburg grant. The contribution of E.J. Sauter and O. Sachs (flux measurements) was funded by DFG grants SA1030/2-1+2. Dr. Janet Reid proofread the English, and two anonymous reviewers are thanked for their comments, which improved the manuscript considerably.</t>
  </si>
  <si>
    <t>10.1016/j.dsr2.2011.05.008</t>
  </si>
  <si>
    <t>WOS:000295431900004</t>
  </si>
  <si>
    <t>Wilmsen, E; Schüller, M</t>
  </si>
  <si>
    <t>Wilmsen, Eileen; Schueller, Myriam</t>
  </si>
  <si>
    <t>Diversity and distribution of Polychaeta in deep Antarctic and Subantarctic waters along the Greenwich meridian</t>
  </si>
  <si>
    <t>Antarctica; Benthos; Biodiversity; Polychaeta; Deep sea; Maud Rise; vertical distribution</t>
  </si>
  <si>
    <t>SOUTHERN-OCEAN; WEDDELL SEA; SPECIES-DIVERSITY; BIODIVERSITY; PATTERNS; SEDIMENTS; PACIFIC; COMMUNITIES; CALIFORNIA; RICHNESS</t>
  </si>
  <si>
    <t>In the course of the ANDEEP-SYSTCO project, during the ANT XXIV-2 expedition in austral summer 2007/2008, the diversity and composition of the Polychaeta of the Antarctic deep-sea and adjacent South Atlantic basins were analyzed. A total of 847 individuals of 31 families were found belonging to 86 different species. Calculation of diversity (Shannon-Wiener Index, Pielou's Evenness) and the general species composition of Polychaeta showed patterns typical for the deep sea, with high species richness and low abundances. Lowest diversity was found in the Agulhas Basin in over 4000 m water depth. Lowest Evenness was found on top of Maud Rise where one-third of all Polychaeta belonged to one species. Cluster analyses resulted in higher affinities of Maud Rise to the Agulhas Basin than to the Antarctic continental slope. Explanations are sought in similarities of environmental factors (e.g., sediment, food input). (C) 2011 Elsevier Ltd. All rights reserved.</t>
  </si>
  <si>
    <t>[Wilmsen, Eileen; Schueller, Myriam] Ruhr Univ Bochum, D-44780 Bochum, Germany</t>
  </si>
  <si>
    <t>Ruhr University Bochum</t>
  </si>
  <si>
    <t>Wilmsen, E (corresponding author), Ruhr Univ Bochum, Univ Str 150, D-44780 Bochum, Germany.</t>
  </si>
  <si>
    <t>eileen.wilmsen@rub.de</t>
  </si>
  <si>
    <t>German Science Foundation [SCHU 2443/2-1+2]; Boehringer Ingelheim Fonds</t>
  </si>
  <si>
    <t>German Science Foundation(German Research Foundation (DFG)); Boehringer Ingelheim Fonds(Boehringer Ingelheim)</t>
  </si>
  <si>
    <t>The study was funded in the course of the project SCHU 2443/2-1+2 (German Science Foundation). Further financial support was offered by the Boehringer Ingelheim Fonds.</t>
  </si>
  <si>
    <t>10.1016/j.dsr2.2011.01.011</t>
  </si>
  <si>
    <t>WOS:000295431900006</t>
  </si>
  <si>
    <t>Würzberg, L; Peters, J; Brandt, A</t>
  </si>
  <si>
    <t>Wuerzberg, Laura; Peters, Janna; Brandt, Angelika</t>
  </si>
  <si>
    <t>Fatty acid patterns of Southern Ocean shelf and deep sea peracarid crustaceans and a possible food source, foraminiferans</t>
  </si>
  <si>
    <t>Deep sea; Fatty acid; Diet composition; Peracarida; Foraminifera; Southern Ocean benthos</t>
  </si>
  <si>
    <t>CONTRASTING LIFE-HISTORIES; NE ATLANTIC; BENTHIC FORAMINIFERA; SECONDARY PRODUCTION; EPIBENTHIC SLEDGE; ISOPODS CRUSTACEA; LIPID-COMPOSITION; BATHYAL; PHYTODETRITUS; AMPHIPODS</t>
  </si>
  <si>
    <t>In order to investigate the diversity of diet composition in macrobenthic peracarid crustaceans from the Antarctic shelf and deep sea, the fatty acid (FA) composition of different species belonging to the orders Isopoda, Amphipoda, Cumacea and Tanaidacea was analysed. Multivariate analyses of the FA composition confirmed general differences between the orders, but also distinct differences within these orders. To gain information on the origin of the FAs found, the potential food sources sediment, POM and foraminiferans were included in the study. Most of the analysed amphipod species displayed high 18:1(n-9)-18:1(n-7) ratios, widely used as an indicator for a carnivorous component in the diet. Cumaceans were characterised by increased phytoplankton FA markers such as 20:5(n-3) (up to 29% of total FAs), suggesting a diet based on phytodetritus. High values of the FA 20:4(n-6) were found in some munnopsid isopods (up to 21% of total FAs) and some tanaidacean species (up to 19% of total FAs). 20:4(n-6) also occurred in high proportions in some foraminiferan samples (up to 21% of total fatty acids), but not in sediment and POM, possibly indicating the ingestion of foraminiferans by some peracarid crustaceans. (C) 2011 Elsevier Ltd. All rights reserved.</t>
  </si>
  <si>
    <t>[Wuerzberg, Laura; Brandt, Angelika] Univ Hamburg, Biozentrum Grindel, D-20146 Hamburg, Germany; [Wuerzberg, Laura; Brandt, Angelika] Univ Hamburg, Zool Museum, D-20146 Hamburg, Germany; [Peters, Janna] Univ Hamburg, Inst Hydrobiol &amp; Fischereiwissensch, D-22767 Hamburg, Germany</t>
  </si>
  <si>
    <t>University of Hamburg; University of Hamburg; University of Hamburg</t>
  </si>
  <si>
    <t>Brandt, Angelika/C-1630-2018; Peters, Janna/JTV-2972-2023</t>
  </si>
  <si>
    <t>Peters, Janna/0000-0002-0941-8257</t>
  </si>
  <si>
    <t>We thank the entire crew of RV Polarstern for the excellent cooperation during the cruise and all SYSTCO scientists for the support and collaboration. Support in identifying the following taxa is thankfully acknowledged: Cumacea: Ute Muhlenhardt-Siegel; Tanaidacea: Jurgen Guerrero-Kommritz; Isopoda: Saskia Brix; and Foraminifera: Jan Pawlowski. For technical support in the lab the authors want to specifically thank Karolin Berg and Veronika Bonk (University of Hamburg). The research was partly supported by a PhD grant provided by the University of Hamburg (LW.). This study represents ANDEEP contribution #150.</t>
  </si>
  <si>
    <t>10.1016/j.dsr2.2011.05.013</t>
  </si>
  <si>
    <t>WOS:000295431900009</t>
  </si>
  <si>
    <t>Sortor, RN; Lund, DC</t>
  </si>
  <si>
    <t>Sortor, Rachel N.; Lund, David C.</t>
  </si>
  <si>
    <t>No evidence for a deglacial intermediate water Δ14C anomaly in the SW Atlantic</t>
  </si>
  <si>
    <t>Radiocarbon; Deglaciation; Southwest Atlantic</t>
  </si>
  <si>
    <t>LAST GLACIAL TERMINATION; CARBON-DIOXIDE RELEASE; WESTERN NORTH-ATLANTIC; PACIFIC-OCEAN; ATMOSPHERIC CO2; SOUTHERN-OCEAN; YOUNGER DRYAS; RADIOCARBON; CIRCULATION; RISE</t>
  </si>
  <si>
    <t>The last deglaciation was characterized by an increase in atmospheric pCO(2) and decrease in atmospheric radiocarbon activity. One hypothesis is that these changes were due to out-gassing of C-14-depleted carbon from the abyssal ocean. Reconstructions; of foraminiferal Delta C-14 from the eastern tropical Pacific, Arabian Sea, and high latitude North Atlantic show that severe depletions in C-14 occurred at intermediate water depths during the last deglaciation. It has been suggested that C-14-depleted water from the abyss upwelled in the Southern Ocean and was then carried by Antarctic Intermediate Water (AAIW) to these sites. However, locations in the South Pacific in the direct path of modern-day AAIW do not exhibit the Delta C-14 excursion and therefore cast doubt upon the AAIW mechanism (De Pol-Holz et al., 2010; Rose et al., 2010). Here we evaluate whether or not a deglacial C-14 anomaly occurred at intermediate depths in the Southwest Atlantic. We find that the deglacial benthic Delta C-14 trend at our site is similar to the atmospheric Delta C-14 trend. Our results are also largely consistent with results from U/Th-dated corals at shallower water depths on the Brazil Margin (Mangini et al., 2010). We find no evidence in the southwestern Atlantic of a similar to 300% decrease in intermediate water Delta C-14 from 18 to 14 kyr BP like that observed in the eastern tropical Pacific (Marchitto et al., 2007). When our results are paired with those from the South Pacific, it appears AAIW did not carry a highly C-14-depleted signal during the deglaciation. Another source of carbon is apparently required to explain the intermediate-depth Delta C-14 anomalies in the North Atlantic, Indian, and Pacific Oceans. (C) 2011 Elsevier B.V. All rights reserved.</t>
  </si>
  <si>
    <t>[Sortor, Rachel N.; Lund, David C.] Dept Earth &amp; Environm Sci, Ann Arbor, MI 48109 USA</t>
  </si>
  <si>
    <t>Lund, DC (corresponding author), Dept Earth &amp; Environm Sci, 2534 CC Little Bldg,1100 N Univ Ave, Ann Arbor, MI 48109 USA.</t>
  </si>
  <si>
    <t>Sortor, Rachel/0000-0002-8778-4383</t>
  </si>
  <si>
    <t>10.1016/j.epsl.2011.07.017</t>
  </si>
  <si>
    <t>854KJ</t>
  </si>
  <si>
    <t>WOS:000297493100007</t>
  </si>
  <si>
    <t>Saraux, C; Robinson-Laverick, SM; Le Maho, Y; Ropert-Coudert, Y; Chiaradia, A</t>
  </si>
  <si>
    <t>Saraux, Claire; Robinson-Laverick, Sarah M.; Le Maho, Yvon; Ropert-Coudert, Yan; Chiaradia, Andre</t>
  </si>
  <si>
    <t>Plasticity in foraging strategies of inshore birds: how Little Penguins maintain body reserves while feeding offspring</t>
  </si>
  <si>
    <t>bimodal trips; body condition; chick rearing; Eudyptula minor; foraging strategies; Little Penguin; parental investment; Phillip Island, Victoria, Australia; trip duration</t>
  </si>
  <si>
    <t>EUDYPTULA-MINOR; GEOGRAPHIC STRUCTURE; CHICK GROWTH; FOOD; ALBATROSSES; PATTERNS; PARENT; ISLAND; LONG; COMPETITION</t>
  </si>
  <si>
    <t>Breeding animals face important time and energy constraints when caring for themselves and their offspring. For long-lived species, life-history theory predicts that parents should favor survival over current reproductive attempts, thus investing more into their own maintenance than the provisioning of their young. In seabirds, provisioning strategies may additionally be influenced by the distance between breeding sites and foraging areas, and offshore and inshore species should thus exhibit different strategies. Here, we examine the provisioning strategies of an inshore seabird using a long-term data set on more than 200 Little Penguins, Eudyptula minor. They alternated between two consecutive long and several short foraging trips all along chick rearing, a strategy almost never observed for inshore animals. Short trips allowed for regular provisioning of the chicks (high feeding frequency and larger meals), whereas long trips were performed when parent body mass was low and enabled them to rebuild their reserves, suggesting that adult body condition may be a key factor in initiating long trips. Inshore seabirds do use dual strategies of alternating short and long trips, but from our data, on a simpler and less flexible way than for offshore birds.</t>
  </si>
  <si>
    <t>[Saraux, Claire; Le Maho, Yvon; Ropert-Coudert, Yan] Univ Strasbourg, IPHC, F-67087 Strasbourg, France; [Saraux, Claire; Le Maho, Yvon; Ropert-Coudert, Yan] CNRS, UMR 7178, F-67037 Strasbourg, France; [Saraux, Claire] AgroParisTech, ENGREF, F-75732 Paris, France; [Robinson-Laverick, Sarah M.] Australian Antarctic Div, Kingston, Tas 7050, Australia; [Chiaradia, Andre] Phillip Isl Nat Pk, Res Dept, Cowes, Vic 3922, Australia</t>
  </si>
  <si>
    <t>Universites de Strasbourg Etablissements Associes; Universite de Strasbourg; Centre National de la Recherche Scientifique (CNRS); CNRS - National Institute of Nuclear and Particle Physics (IN2P3); Universites de Strasbourg Etablissements Associes; Universite de Strasbourg; AgroParisTech; Australian Antarctic Division</t>
  </si>
  <si>
    <t>Saraux, C (corresponding author), Univ Strasbourg, IPHC, 23 Rue Becquerel, F-67087 Strasbourg, France.</t>
  </si>
  <si>
    <t>claire.saraux@iphc.cnrs.fr</t>
  </si>
  <si>
    <t>Chiaradia, Andre/AFK-6634-2022; Chiaradia, Andre/AAG-4928-2022; saraux, claire/AAX-8709-2020</t>
  </si>
  <si>
    <t>Chiaradia, Andre/0000-0002-6178-4211; Chiaradia, Andre/0000-0002-6178-4211; saraux, claire/0000-0001-5061-4009</t>
  </si>
  <si>
    <t>BHP-Billiton; Penguin Foundation; Australian Academy of Science</t>
  </si>
  <si>
    <t>We thank V. A. Viblanc for his great help and useful comments on the manuscript. We are especially grateful to T. Hart for his advice on statistics (especially the use of GLMM against use of Hidden Markov Models). We also thank two anonymous reviewers for very helpful suggestions. This study was based on data collected over several years; we are very grateful for all field assistance from several volunteers and students (in particular, J. Yorke, T. Daniel, P. Fallow, M. Salton, P. Wasiak, and R. Long) and the staff of the Phillip Island Nature Park (in particular, P. Dann, L. Renwick, and all field rangers). The Automated Penguin Monitoring System was kindly provided by the Australian Antarctic Division, with particular thanks to Knowles Kerry and Kym Newbery, as well as all engineers involved in the research and development of this system. We are also thankful for grants received from BHP-Billiton, Penguin Foundation, and the Australian Academy of Science.</t>
  </si>
  <si>
    <t>10.1890/11-0407.1</t>
  </si>
  <si>
    <t>834JI</t>
  </si>
  <si>
    <t>WOS:000295955200006</t>
  </si>
  <si>
    <t>Cowan, DA; Sohm, JA; Makhalanyane, TP; Capone, DG; Green, TGA; Cary, SC; Tuffin, IM</t>
  </si>
  <si>
    <t>Cowan, D. A.; Sohm, J. A.; Makhalanyane, T. P.; Capone, D. G.; Green, T. G. A.; Cary, S. C.; Tuffin, I. M.</t>
  </si>
  <si>
    <t>Hypolithic communities: important nitrogen sources in Antarctic desert soils</t>
  </si>
  <si>
    <t>DIVERSITY; BACTERIAL; FIXATION; CRUSTS; VALLEY</t>
  </si>
  <si>
    <t>Hypolithic microbial communities (i.e. cryptic microbial assemblages found on the undersides of translucent rocks) are major contributors of carbon input into the oligotrophic hyper-arid desert mineral soils of the Eastern Antarctic Dry Valleys. Here we demonstrate, for the first time, that hypolithic microbial communities possess both the genetic capacity for nitrogen fixation (i.e. the presence of nifH genes) and the ability to catalyse acetylene reduction, an accepted proxy for dinitrogen fixation. An estimate of the total contribution of these communities suggests that hypolithic communities are important contributors to fixed nitrogen budgets in Antarctic desert soils.</t>
  </si>
  <si>
    <t>[Cowan, D. A.; Makhalanyane, T. P.; Tuffin, I. M.] Univ Western Cape, Inst Microbial Biotechnol &amp; Metagenom, Cape Town, South Africa; [Sohm, J. A.; Capone, D. G.] Univ So Calif, Wrigley Inst Environm Studies, Los Angeles, CA USA; [Green, T. G. A.; Cary, S. C.] Univ Waikato, Dept Biol Sci, Hamilton, New Zealand; [Cary, S. C.] Univ Delaware, Coll Earth &amp; Ocean Sci, Lewes, DE 19958 USA</t>
  </si>
  <si>
    <t>University of the Western Cape; University of Southern California; University of Waikato; University of Delaware</t>
  </si>
  <si>
    <t>Cowan, DA (corresponding author), Univ Western Cape, Inst Microbial Biotechnol &amp; Metagenom, Cape Town, South Africa.</t>
  </si>
  <si>
    <t>Trindade, Marla/AAU-9730-2020; Makhalanyane, Thulani P./C-6815-2012; Cowan, Donald A/E-3991-2012</t>
  </si>
  <si>
    <t>Trindade, Marla/0000-0002-2478-0270; Makhalanyane, Thulani P./0000-0002-8173-1678; Cowan, Donald A/0000-0001-8059-861X; Cary, Stephen/0000-0002-2876-2387</t>
  </si>
  <si>
    <t>South African National Research Foundation; University of the Western Cape; Antarctica New Zealand; New Zealand Government; University of Waikato FRST; US National Science Foundation [ANT 0739640]; Directorate For Geosciences; Office of Polar Programs (OPP) [0739648, 0739640, 0739633] Funding Source: National Science Foundation</t>
  </si>
  <si>
    <t>South African National Research Foundation(National Research Foundation - South Africa); University of the Western Cape; Antarctica New Zealand; New Zealand Government; University of Waikato FRST; US National Science Foundation(National Science Foundation (NSF)); Directorate For Geosciences; Office of Polar Programs (OPP)(National Science Foundation (NSF)NSF - Directorate for Geosciences (GEO))</t>
  </si>
  <si>
    <t>The authors wish to thank the following organizations for financial support: the South African National Research Foundation and the University of the Western Cape (D. A. C., I. M. T., T. P. M.), Antarctica New Zealand, The New Zealand Government and the University of Waikato FRST research project (Understanding, valuing and protecting Antarctica's unique terrestrial ecosystems: Predicting biocomplexity in Dry Valley ecosystems) (S. C. C., T. G. A. G.) and the US National Science Foundation (Project ANT 0739640) (J.A.S., D.G.C.).</t>
  </si>
  <si>
    <t>10.1111/j.1758-2229.2011.00266.x</t>
  </si>
  <si>
    <t>849TR</t>
  </si>
  <si>
    <t>WOS:000297148600011</t>
  </si>
  <si>
    <t>Jerez, S; Motas, M; Palacios, MJ; Valera, F; Cuervo, JJ; Barbosa, A</t>
  </si>
  <si>
    <t>Jerez, Silvia; Motas, Miguel; Jose Palacios, Maria; Valera, Francisco; Javier Cuervo, Jose; Barbosa, Andres</t>
  </si>
  <si>
    <t>Concentration of trace elements in feathers of three Antarctic penguins: Geographical and interspecific differences</t>
  </si>
  <si>
    <t>Trace elements; Heavy metals; Pollution; Penguin feathers; Antarctic Peninsula</t>
  </si>
  <si>
    <t>KING GEORGE ISLAND; HEAVY-METALS; MARINE ORGANISMS; DECEPTION-ISLAND; LATERNULA-ELLIPTICA; ADELIE PENGUINS; BAY; SEDIMENTS; CONTAMINATION; CADMIUM</t>
  </si>
  <si>
    <t>Antarctica is often considered as one of the last pristine regions, but it could be affected by pollution at global and local scale. Concentrations of Al, Cr, Mn, Fe, Ni, Cu, Zn, As, Se, Cd and Pb were determinated by ICP-MS in feathers (n = 207 individuals) of gentoo, chinstrap and Adelie penguin collected in 8 locations throughout the Antarctic Peninsula (2006-2007). The highest levels of several elements were found in samples from King George Island (8.08, 20.29 and 1.76 mu g g(-1) dw for Cr, Cu and Pb, respectively) and Deception Island (203.13, 3.26 and 164.26 mu g g(-1) dw for Al, Mn and Fe, respectively), where probably human activities and large-scale transport of pollutants contribute to increase metal levels. Concentrations of Cr, Mn, Cu, Se or Pb, which are similar to others found in different regions of the world, show that some areas in Antarctica are not utterly pristine. (C) 2011 Elsevier Ltd. All rights reserved.</t>
  </si>
  <si>
    <t>[Jerez, Silvia; Motas, Miguel] Univ Murcia, Area Toxicol, Fac Vet, E-30100 Murcia, Spain; [Jose Palacios, Maria; Valera, Francisco; Javier Cuervo, Jose; Barbosa, Andres] CSIC, Estac Expt Zonas Aridas, Dept Ecol Func &amp; Evolut, La Canada De San Urbano 04120, Almeria, Spain; [Javier Cuervo, Jose; Barbosa, Andres] CSIC, Museo Nacl Ciencias Nat, Dept Ecol Evolut, E-28006 Madrid, Spain</t>
  </si>
  <si>
    <t>University of Murcia; Consejo Superior de Investigaciones Cientificas (CSIC); CSIC - Estacion Experimental de Zonas Aridas (EEZA); Consejo Superior de Investigaciones Cientificas (CSIC); CSIC - Museo Nacional de Ciencias Naturales (MNCN)</t>
  </si>
  <si>
    <t>Motas, M (corresponding author), Univ Murcia, Area Toxicol, Fac Vet, Campus Espinardo, E-30100 Murcia, Spain.</t>
  </si>
  <si>
    <t>motas@um.es</t>
  </si>
  <si>
    <t>Cuervo, José Javier/K-1646-2014; JEREZ, SILVIA/Q-8876-2016; Valera, Francisco/R-3437-2019; Barbosa, Andrés/C-3208-2008; Motas, Miguel/L-3061-2014</t>
  </si>
  <si>
    <t>Cuervo, José Javier/0000-0001-7943-7835; Valera, Francisco/0000-0003-2266-8899; Barbosa, Andrés/0000-0001-8434-3649; Motas Guzman, Miguel/0000-0002-2229-7779</t>
  </si>
  <si>
    <t>Spanish Ministry of Science and Innovation; European Regional Development Fund [CGL2004-01348, POL2006-05175, CGL2007-60369]; Caja Mediterraneo</t>
  </si>
  <si>
    <t>Spanish Ministry of Science and Innovation(Spanish Government); European Regional Development Fund(European Union (EU)); Caja Mediterraneo</t>
  </si>
  <si>
    <t>We thank the Spanish polar ship Las Palmas, the Spanish polar base Gabriel de Castilla, the Argentine polar base Teniente Jubany, the Marine Technology Unit (CSIC) and the Instituto Antartico Argentino for providing logistic support. We also thank Fernando Calvo Garnica and Joaquin Gonzalez del Castillo for fieldwork assistance, and the Scientific Instrumentation Service (University of Murcia) and the Technological Instrumentation Service (Technical University of Cartagena) for their analytical support. Permissions to work in the study area and for penguin handling were given by the Spanish Polar Committee. This study has been funded by the Spanish Ministry of Science and Innovation and European Regional Development Fund (grants CGL2004-01348, POL2006-05175 and CGL2007-60369). S.J. was supported by a grant from Caja Mediterraneo. This study is a contribution to the International Polar Year project Bird Health and to Pinguclim project. Finally, we thank the referees for helpful suggestions on an early version of this manuscript.</t>
  </si>
  <si>
    <t>10.1016/j.envpol.2011.06.036</t>
  </si>
  <si>
    <t>828HW</t>
  </si>
  <si>
    <t>WOS:000295493100026</t>
  </si>
  <si>
    <t>Johnson, DR; Lara, MJ; Shaver, GR; Batzli, GO; Shaw, JD; Tweedie, CE</t>
  </si>
  <si>
    <t>Johnson, D. R.; Lara, M. J.; Shaver, G. R.; Batzli, G. O.; Shaw, J. D.; Tweedie, C. E.</t>
  </si>
  <si>
    <t>Exclusion of brown lemmings reduces vascular plant cover and biomass in Arctic coastal tundra: resampling of a 50+ year herbivore exclosure experiment near Barrow, Alaska</t>
  </si>
  <si>
    <t>ENVIRONMENTAL RESEARCH LETTERS</t>
  </si>
  <si>
    <t>lemmings; Arctic warming; climate change; tundra greening; herbivory; Arctic plant communities</t>
  </si>
  <si>
    <t>MULTI-DECADAL CHANGES; POLAR YEAR-BACK; MICROTINE RODENTS; COMMUNITY RESPONSES; NUTRITIONAL ECOLOGY; SPECIES RICHNESS; ECOSYSTEMS; VEGETATION; ENVIRONMENTS; TRANSITION</t>
  </si>
  <si>
    <t>To determine the role lemmings play in structuring plant communities and their contribution to the 'greening of the Arctic', we measured plant cover and biomass in 50+ year old lemming exclosures and control plots in the coastal tundra near Barrow, Alaska. The response of plant functional types to herbivore exclusion varied among land cover types. In general, the abundance of lichens and bryophytes increased with the exclusion of lemmings, whereas graminoids decreased, although the magnitude of these responses varied among land cover types. These results suggest that sustained lemming activity promotes a higher biomass of vascular plant functional types than would be expected without their presence and highlights the importance of considering herbivory when interpreting patterns of greening in the Arctic. In light of the rapid environmental change ongoing in the Arctic and the potential regional to global implications of this change, further exploration regarding the long-term influence of arvicoline rodents on ecosystem function (e. g. carbon and energy balance) should be considered a research priority.</t>
  </si>
  <si>
    <t>[Johnson, D. R.; Lara, M. J.; Tweedie, C. E.] Univ Texas El Paso, Dept Biol, Syst Ecol Lab, El Paso, TX 79968 USA; [Shaver, G. R.] Marine Biol Lab, Ctr Ecosyst, Woods Hole, MA 02543 USA; [Batzli, G. O.] Univ Illinois, Dept Anim Biol, Urbana, IL 61801 USA; [Shaw, J. D.] Dept Sustainabil Environm Water Populat &amp; Communi, Australian Antarctic Div, Kingston, Tas 7050, Australia</t>
  </si>
  <si>
    <t>University of Texas System; University of Texas El Paso; Marine Biological Laboratory - Woods Hole; University of Illinois System; University of Illinois Urbana-Champaign; Australian Antarctic Division</t>
  </si>
  <si>
    <t>Johnson, DR (corresponding author), Univ Texas El Paso, Dept Biol, Syst Ecol Lab, 500 W Univ Ave, El Paso, TX 79968 USA.</t>
  </si>
  <si>
    <t>drjohnson2@utep.edu</t>
  </si>
  <si>
    <t>Lara, Mark J./I-6049-2019</t>
  </si>
  <si>
    <t>Lara, Mark J./0000-0002-4670-7031; Shaw, Justine/0000-0002-9603-2271</t>
  </si>
  <si>
    <t>National Science Foundation [NSF-ANS-0732885, OPP-9906692, GK-12]; Directorate For Geosciences; Office of Polar Programs (OPP) [0807639] Funding Source: National Science Foundation; Division Of Environmental Biology; Direct For Biological Sciences [1026843] Funding Source: National Science Foundation; Office of Polar Programs (OPP); Directorate For Geosciences [1107707, 0856853] Funding Source: National Science Foundation</t>
  </si>
  <si>
    <t>National Science Foundation(National Science Foundation (NSF)); Directorate For Geosciences; Office of Polar Programs (OPP)(National Science Foundation (NSF)NSF - Directorate for Geosciences (GEO)); Division Of Environmental Biology; Direct For Biological Sciences(National Science Foundation (NSF)NSF - Directorate for Biological Sciences (BIO)); Office of Polar Programs (OPP); Directorate For Geosciences(National Science Foundation (NSF)NSF - Directorate for Geosciences (GEO))</t>
  </si>
  <si>
    <t>We would like to thank Andrew Johnson and all the other 2002 biomass pluckers. Additionally, we are grateful to the Ukpeagvik Iupiat Corporation (UIC) for permitting land access and the Barrow Arctic Science Consortium for logistical support. This work was funded by grants from the National Science Foundation (NSF-ANS-0732885, OPP-9906692). M J Lara is partly supported through a NSF GK-12 student scholarship. Any opinions, findings, conclusions, or recommendations expressed in this material are those of the authors and do not necessarily reflect the views of the National Science Foundation.</t>
  </si>
  <si>
    <t>IOP Publishing Ltd</t>
  </si>
  <si>
    <t>1748-9326</t>
  </si>
  <si>
    <t>ENVIRON RES LETT</t>
  </si>
  <si>
    <t>Environ. Res. Lett.</t>
  </si>
  <si>
    <t>10.1088/1748-9326/6/4/045507</t>
  </si>
  <si>
    <t>870MX</t>
  </si>
  <si>
    <t>WOS:000298674700063</t>
  </si>
  <si>
    <t>Schiaffino, MR; Unrein, F; Gasol, JM; Massana, R; Balagué, V; Izaguirre, I</t>
  </si>
  <si>
    <t>Romina Schiaffino, M.; Unrein, Fernando; Gasol, Josep M.; Massana, Ramon; Balague, Vanessa; Izaguirre, Irina</t>
  </si>
  <si>
    <t>Bacterial community structure in a latitudinal gradient of lakes: the roles of spatial versus environmental factors</t>
  </si>
  <si>
    <t>FRESHWATER BIOLOGY</t>
  </si>
  <si>
    <t>Antarctica; bacterioplankton; biogeography; lakes; Patagonia</t>
  </si>
  <si>
    <t>GEL-ELECTROPHORESIS; TROPHIC STATUS; DIVERSITY; BACTERIOPLANKTON; BIOGEOGRAPHY; PATTERNS; ISLAND; SIZE; ASSEMBLAGES; POPULATIONS</t>
  </si>
  <si>
    <t>1. We analysed the latitudinal variation of bacterioplankton in 45 freshwater environments (lakes, shallow lakes and ponds) across a transect of more than 2100 km stretching from Argentinean Patagonia (45 degrees S) to Maritime Antarctica (63 degrees S), to determine the factors that mainly determine bacterioplankton community structure. 2. Bacterioplankton community composition (BCC) was assessed by a fingerprinting method (denaturing gradient gel electrophoresis) followed by band sequencing, whereas the abundances of total bacteria and picocyanobacteria were estimated by epifluorescence microscopy. 3. Bacterioplankton community composition was controlled by a combination of spatial (latitude and longitude) and environmental [e. g. phosphate, light diffuse attenuation coefficient (K-d) and dissolved organic carbon] factors. Total bacterioplankton abundance declined with latitude. A multiple regression analysis showed that phosphate, Kd and latitude had significant effects on total bacterioplankton abundance. 4. Of 76 operational taxonomic units identified in the studied lakes, 45 were shared between Patagonian and Antarctic water bodies, 28 were present only in Patagonian lakes and three were restricted to the Antarctic lakes. Significant differences were found in BCC between Patagonia and Antarctica. Among the sequences, 54% were similar (&gt;97% sequence similarity) to others reported from cold habitats elsewhere on the planet (glaciers, high mountain lakes, Arctic). 5. Our results provide new evidence that supports the hypotheses of biogeographic patterns of bacterial assemblages and suggest that both spatial and environmental factors control bacterioplankton community structure.</t>
  </si>
  <si>
    <t>[Romina Schiaffino, M.; Izaguirre, Irina] Univ Buenos Aires, Fac Ciencias Exactas &amp; Nat, Dept Ecol Genet &amp; Evoluc, Buenos Aires, DF, Argentina; [Romina Schiaffino, M.; Unrein, Fernando; Izaguirre, Irina] Consejo Nacl Invest Cient &amp; Tecn CONICET, Buenos Aires, DF, Argentina; [Unrein, Fernando] Inst Tecnol Chascomus IIB INTECH, Inst Invest Biotecnol, Chascomus, Argentina; [Gasol, Josep M.; Massana, Ramon; Balague, Vanessa] Inst Ciencies Mar CSIC, Dept Biol Marina &amp; Oceanog, Barcelona, Catalonia, Spain</t>
  </si>
  <si>
    <t>University of Buenos Aires; Consejo Nacional de Investigaciones Cientificas y Tecnicas (CONICET); Consejo Superior de Investigaciones Cientificas (CSIC); CSIC - Centro Mediterraneo de Investigaciones Marinas y Ambientales (CMIMA); CSIC - Instituto de Ciencias del Mar (ICM)</t>
  </si>
  <si>
    <t>Izaguirre, I (corresponding author), Univ Buenos Aires, Fac Ciencias Exactas &amp; Nat, Dept Ecol Genet &amp; Evoluc, Ciudad Univ,Pab 2,C1428EHA, Buenos Aires, DF, Argentina.</t>
  </si>
  <si>
    <t>iri@ege.fcen.uba.ar</t>
  </si>
  <si>
    <t>Massana, Ramon/F-4205-2016; Gasol, Josep M/B-1709-2008</t>
  </si>
  <si>
    <t>Gasol, Josep M/0000-0001-5238-2387; Unrein, Fernando/0000-0002-8592-1858; Massana, Ramon/0000-0001-9172-5418; Balague, Vanessa/0000-0001-6813-8207; Schiaffino, Maria Romina/0000-0002-9383-2003</t>
  </si>
  <si>
    <t>Instituto Antartico Argentino (DNA); FONCYT [PICT 32732]; Spanish Project MIXANTAR [REN 2002-11396-E/ANT]; CSIC-CONICET [2007AR0018]</t>
  </si>
  <si>
    <t>Instituto Antartico Argentino (DNA); FONCYT(FONCyT); Spanish Project MIXANTAR; CSIC-CONICET(Consejo Nacional de Investigaciones Cientificas y Tecnicas (CONICET))</t>
  </si>
  <si>
    <t>The Antarctic expeditions were supported by the 'Instituto Antartico Argentino (DNA)' in the framework of a cooperative project between this institution, UBA and ICM-CSIC. This work was financed by the Argentinean Funds for Technical and Scientific Investigation (FONCYT, PICT 32732), the Spanish Project MIXANTAR (REN 2002-11396-E/ANT) and the CSIC-CONICET joint project PROBA (2007AR0018, CSIC). We thank the members of the Antarctic Esperanza Station for logistic support and Dr A. Quesada and his team for providing the samples from the Byers Peninsula. We also thank Dr Guillermo Tell, Dr Rodrigo Sinistro, Lic. M. Laura Sanchez and Adrian Rua for their assistance in the Patagonian field campaigns. We acknowledge valuable comments by Isabel Reche on earlier drafts of this manuscript, and we thank the chief editor and the reviewers for their helpful suggestions to improve the manuscript.</t>
  </si>
  <si>
    <t>0046-5070</t>
  </si>
  <si>
    <t>1365-2427</t>
  </si>
  <si>
    <t>FRESHWATER BIOL</t>
  </si>
  <si>
    <t>Freshw. Biol.</t>
  </si>
  <si>
    <t>10.1111/j.1365-2427.2011.02628.x</t>
  </si>
  <si>
    <t>821ZU</t>
  </si>
  <si>
    <t>WOS:000295013800004</t>
  </si>
  <si>
    <t>Selbmann, L; Isola, D; Zucconi, L; Onofri, S</t>
  </si>
  <si>
    <t>Selbmann, Laura; Isola, Daniela; Zucconi, Laura; Onofri, Silvano</t>
  </si>
  <si>
    <t>Resistance to UV-B induced DNA damage in extreme-tolerant cryptoendolithic Antarctic fungi: detection by PCR assays</t>
  </si>
  <si>
    <t>FUNGAL BIOLOGY</t>
  </si>
  <si>
    <t>Black meristematic fungi; DNA damage; PCR; RAPD; UV-B resistance</t>
  </si>
  <si>
    <t>NUCLEOTIDE EXCISION-REPAIR; CELL GEL-ELECTROPHORESIS; RIBOSOMAL DNA; SACCHAROMYCES-CEREVISIAE; CYANOBACTERIUM; IDENTIFICATION; PHOTOLYASE; MODELS; SPORES; GROWTH</t>
  </si>
  <si>
    <t>Cryptoendolithic Antarctic black fungi are adapted to the harshest terrestrial conditions as in the ice-free area of the McMurdo Dry Valleys. Recently, surviving space simulated conditions proves their bewildering extremotolerance. In order to investigate the potential DNA damage and their response after UV-B exposition, two strains of Antarctic cryptoendolithic black fungi, Cryomyces antarcticus CCFEE 534 and Cryomyces minteri CCFEE 5187, were irradiated at different UV-B doses. Since conventional methods cannot be applied to these organisms, the effect on the genome was assessed by RAPD and rDNA amplification PCR based assays; the results were compared with the responses of Saccharomyces pastorianus DBVPG 6283 treated with the same conditions. Results showed that template activity was drastically inhibited in S. pastorianus after irradiation. Dramatic changes in the RAPD profiles showed after 30 min of exposure while the rDNA amplification of SSU, LSU, and ITS portions failed after 30, 60, and 90 min of exposure respectively. No alteration was detected in the templates of the Antarctic strains where both RAPD profiles and rDNA PCR amplifications were unaffected even after 240 min of exposure. The electroferograms of the rDNA portions of Cryomyces strains were perfectly readable and conserved whilst the analyses revealed a marked alteration in S. pastorianus confirming the high resistance of the Antarctic strains to UV-B exposure. (C) 2011 British Mycological Society. Published by Elsevier Ltd. All rights reserved.</t>
  </si>
  <si>
    <t>[Selbmann, Laura; Isola, Daniela; Zucconi, Laura; Onofri, Silvano] Univ Tuscia, Dept Ecol &amp; Sustainable Econ Dev DECOS, Largo Univ Snc, I-01100 Viterbo, Italy</t>
  </si>
  <si>
    <t>Tuscia University</t>
  </si>
  <si>
    <t>Selbmann, L (corresponding author), Univ Tuscia, Dept Ecol &amp; Sustainable Econ Dev DECOS, Largo Univ Snc, I-01100 Viterbo, Italy.</t>
  </si>
  <si>
    <t>selbmann@unitus.it; isola@unitus.it; zucconi@unitus.it; onofri@unitus.it</t>
  </si>
  <si>
    <t>Isola, Daniela/AAX-5814-2020; Selbmann, Laura/L-3056-2013; Zucconi, L./U-9781-2018</t>
  </si>
  <si>
    <t>Isola, Daniela/0000-0002-5069-6056; Selbmann, Laura/0000-0002-8967-3329; Zucconi, L./0000-0001-9793-2303; ONOFRI, Silvano/0000-0001-8872-1440</t>
  </si>
  <si>
    <t>Italian National Antarctic Museum Felice Ippolito; PNRA (Italian National Program for Antarctic Research)</t>
  </si>
  <si>
    <t>The authors thank the Italian National Antarctic Museum Felice Ippolito for funding CCFEE (Culture Collection of Fungi From Extreme Environments). PNRA (Italian National Program for Antarctic Research) is kindly acknowledged for funding the expeditions for samples collection. Professor M. Severini (Universita della Tuscia, Viterbo, I) is thanked for calculating of the UV emission of the lamp used for irradiation. Prof. M. Fenice is kindly acknowledged for the support in the statistical analyses.</t>
  </si>
  <si>
    <t>1878-6146</t>
  </si>
  <si>
    <t>1878-6162</t>
  </si>
  <si>
    <t>FUNGAL BIOL-UK</t>
  </si>
  <si>
    <t>Fungal Biol.</t>
  </si>
  <si>
    <t>10.1016/j.funbio.2011.02.016</t>
  </si>
  <si>
    <t>835ZR</t>
  </si>
  <si>
    <t>WOS:000296076300002</t>
  </si>
  <si>
    <t>Ross, N; Siegert, MJ; Woodward, J; Smith, AM; Corr, HFJ; Bentley, MJ; Hindmarsh, RCA; King, EC; Rivera, A</t>
  </si>
  <si>
    <t>Ross, N.; Siegert, M. J.; Woodward, J.; Smith, A. M.; Corr, H. F. J.; Bentley, M. J.; Hindmarsh, R. C. A.; King, E. C.; Rivera, A.</t>
  </si>
  <si>
    <t>Holocene stability of the Amundsen-Weddell ice divide, West Antarctica</t>
  </si>
  <si>
    <t>LAST GLACIAL MAXIMUM; FLOW DIRECTION; SHEET; STREAM; RETREAT; HISTORY</t>
  </si>
  <si>
    <t>We analyze Holocene ice flow using global positioning system and radio-echo sounding data acquired near the Amundsen-Weddell ice divide, between Pine Island Glacier and the Institute Ice Stream, West Antarctica. The data show that this part of the West Antarctic Ice Sheet (WAIS) has maintained a stable ice flow regime and ice divide position for similar to 7000 yr. Independent glacial geological data, in support of this assertion, suggest that the interior of the WAIS west of the Ellsworth Mountains has thinned by only a few hundred meters since the Last Glacial Maximum (LGM) and that the position of the ice divide may be recurrent over longer (more than 20 k.y., perhaps pre-Quaternary) time scales. We suggest that basal topography constrains ice flow in this sector of the WAIS, making the ice divide relatively insensitive to perturbations around the margins of the ice sheet compared with other ice divides. Large-scale forcing measured elsewhere in the WAIS as major reorganizations of the ice sheet surface and flowline pattern may be manifested only in simple vertical changes of the Amundsen-Weddell interior.</t>
  </si>
  <si>
    <t>[Ross, N.; Siegert, M. J.] Univ Edinburgh, Sch Geosci, Edinburgh EH8 9XP, Midlothian, Scotland; [Woodward, J.] Northumbria Univ, Sch Built &amp; Nat Environm, Newcastle Upon Tyne NE1 8ST, Tyne &amp; Wear, England; [Smith, A. M.; Corr, H. F. J.; Hindmarsh, R. C. A.; King, E. C.] British Antarctic Survey, NERC, Cambridge CB3 0ET, England; [Bentley, M. J.] Univ Durham, Dept Geog, Sci Labs, Durham DH1 3LE, England; [Rivera, A.] Ctr Estudios Cient, Valdivia, Chile</t>
  </si>
  <si>
    <t>University of Edinburgh; Northumbria University; UK Research &amp; Innovation (UKRI); Natural Environment Research Council (NERC); NERC British Antarctic Survey; Durham University</t>
  </si>
  <si>
    <t>Ross, N (corresponding author), Univ Edinburgh, Sch Geosci, Drummond St, Edinburgh EH8 9XP, Midlothian, Scotland.</t>
  </si>
  <si>
    <t>Woodward, John/I-1046-2013; Hindmarsh, Richard/N-1195-2019; Siegert, Martin/M-9939-2019; Facility, NERC Geophysical Equipment/G-5260-2010; Corr, Hugh/C-5398-2011; Bentley, Michael J/F-7386-2011; Siegert, Martin J/A-3826-2008</t>
  </si>
  <si>
    <t>Hindmarsh, Richard/0000-0003-1633-2416; Siegert, Martin/0000-0002-0090-4806; Bentley, Michael J/0000-0002-2048-0019; Siegert, Martin J/0000-0002-0090-4806; Rivera, Andres/0000-0002-2779-4192; Woodward, John/0000-0002-4980-4080</t>
  </si>
  <si>
    <t>Natural Environment Research Council (NERC)-AFI (Antarctic Funding Initiative) [NE/D008751/1, NE/D009200/1, NE/D008638/1]; NERC [NE/D009200/1, bas0100027, NE/D008638/1, NE/G013071/1, NE/F014260/1, NE/D008751/1] Funding Source: UKRI; Natural Environment Research Council [bas0100027, NE/F014260/1, NE/G013071/1, NE/D008751/1, NE/D009200/1, NE/D008638/1] Funding Source: researchfish</t>
  </si>
  <si>
    <t>Natural Environment Research Council (NERC)-AFI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</si>
  <si>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Natural Environment Research Council (NERC)-AFI (Antarctic Funding Initiative) grants NE/D008751/1, NE/D009200/1, and NE/D008638/1. We thank the British Antarctic Survey for logistics support, NERC Geophysical Equipment Facility for equipment (loans 838, 870), and Dan Fitzgerald and Dave Routledge for excellent field work support.</t>
  </si>
  <si>
    <t>10.1130/G31920.1</t>
  </si>
  <si>
    <t>819IN</t>
  </si>
  <si>
    <t>WOS:000294818700010</t>
  </si>
  <si>
    <t>Borisova, TD; Blagoveshchenskaya, NF; Kornienko, VA; Rietveld, MT</t>
  </si>
  <si>
    <t>Borisova, T. D.; Blagoveshchenskaya, N. F.; Kornienko, V. A.; Rietveld, M. T.</t>
  </si>
  <si>
    <t>Characteristics of Pc4-5 Pulsations Obtained Using the Method of Bistatic Backscatter of HF Radio Waves, the EISCAT HF Heating Facility, and Ground-Based Magnetometers</t>
  </si>
  <si>
    <t>AURORAL RADAR NETWORK; FIELD LINE RESONANCES; ULF WAVES; GEOMAGNETIC-PULSATIONS; TROMSO; MAGNETOSPHERE; IONOSPHERE; EXCITATION; FREQUENCY; REGION</t>
  </si>
  <si>
    <t>The results of studying the Pc4-5 pulsation parameters based on the method of bistatic backscatter of radio waves, using the EISCAT/Heating HF facility (Tromso, Norway) and IMAGE ground-based magnetometers (Scandinavia), are presented. The observations were performed during the morning hours on October 3, 2006, when a substorm developed on the nightside. An analysis of the observational data obtained from 1000 to 1020 UT indicated that wave-like disturbances with periods corresponding to Pc4-5 pulsations (80-240 s) existed at that time. The variations in the full vector of the ionospheric irregularity motion and the electric field strength in an artificially disturbed high-latitude ionospheric F region has been reconstructed based on simultaneous Doppler observations on two paths. A general conformity is observed among the time variations in Pc4-5 pulsations in the magnetic and ionospheric data: between the velocity amplitude (vertical bar V vertical bar) and the X component of the Earth's magnetic field and between the irregularity motion azimuth and the Y component. Large-scale waves, corresponding to the natural resonances of magnetic field lines (small values of the azimuthal number vertical bar m vertical bar similar to 2-4), and small-scale waves (large values vertical bar m vertical bar similar to 17-20) were simultaneously registered during the experiment based on magnetic data. It has been indicated that the periods of wave-like processes registered using the method of bistatic backscatter and ground-based magnetometers were in agreement with one another. The formation of wave-like processes is explained by the nonstationary impact of the solar wind and IMF on the Earth's magnetosphere. The variations in the IMF, according to the ACE satellite measurements, were characterized by a sharp increase in the solar wind plasma dynamic pressure that occurred at about 09 UT on October 3, 2006, and was accompanied by rapid polarity reversals of the north-ward-southward (B(z)) and transverse (B(y)) IMF components. DOI: 10.1134/S0016793211050033</t>
  </si>
  <si>
    <t>[Borisova, T. D.; Blagoveshchenskaya, N. F.; Kornienko, V. A.] Russian Acad Sci, Arctic &amp; Antarctic Res Inst, St Petersburg 199397, Russia; [Rietveld, M. T.] EISCAT, Tromso Div, Tromso, Norway</t>
  </si>
  <si>
    <t>Arctic &amp; Antarctic Research Institute; Russian Academy of Sciences</t>
  </si>
  <si>
    <t>Borisova, TD (corresponding author), Russian Acad Sci, Arctic &amp; Antarctic Res Inst, Ul Beringa 38, St Petersburg 199397, Russia.</t>
  </si>
  <si>
    <t>Borisova, Tatiana/AAK-7698-2020; Blagoveshchenskaya, Nataly F./S-4342-2017; Blagoveshchenskaya, Nataly/AAE-4093-2022</t>
  </si>
  <si>
    <t>Blagoveshchenskaya, Nataly F./0000-0003-1752-3273; Blagoveshchenskaya, Nataly/0000-0003-1752-3273; Borisova, Tatiana/0000-0003-1727-5310</t>
  </si>
  <si>
    <t>10.1134/S0016793211050033</t>
  </si>
  <si>
    <t>865ZD</t>
  </si>
  <si>
    <t>WOS:000298348500004</t>
  </si>
  <si>
    <t>Rückamp, M; Braun, M; Suckro, S; Blindow, N</t>
  </si>
  <si>
    <t>Rueckamp, M.; Braun, M.; Suckro, S.; Blindow, N.</t>
  </si>
  <si>
    <t>Observed glacial changes on the King George Island ice cap, Antarctica, in the last decade</t>
  </si>
  <si>
    <t>glacier retreat; DGPS; mass loss; elevation change; remote sensing; South Shetland Islands; Antarctic Peninsula; climate change</t>
  </si>
  <si>
    <t>SURFACE-ENERGY BALANCE; ATMOSPHERIC CIRCULATION; PENINSULA; PRECIPITATION; FIELD</t>
  </si>
  <si>
    <t>The Antarctic Peninsula has been identified as a region of rapid on-going climate change with impacts on the cryosphere. The knowledge of glacial changes and freshwater budgets resulting from intensified glacier melt is an important boundary condition for many biological and integrated earth system science approaches. We provide a case study on glacier and mass balance changes for the ice cap of King George Island. The area loss between 2000 and 2008 amounted to about 20 km(2) (about 1.6% of the island area) and compares to glacier retreat rates observed in previous years. Measured net accumulation rates for two years (2007 and 2008) show a strong interannual variability with maximum net accumulation rates of 4950 mm w.e. a(-1) and 3184 mm w.e. a(-1), respectively. These net accumulation rates are at least 4 times higher than reported mean values (1926-95) from an ice core. An elevation dependent precipitation rate of 343 mm w.e. a(-1) (2007) and 432 mm we. a(-1) (2008) per 100 m elevation increase was observed. Despite these rather high net accumulation rates on the main ice cap, consistent surface lowering was observed at elevations below 270 m above ellipsoid over an 11-year period. These DGPS records reveal a linear dependence of surface lowering with altitude with a maximum annual surface lowering rate of 1.44 ma(-1) at 40 m and -0.20 ma(-1) at 270 m above ellipsoid. These results fit well to observations by other authors and surface lowering rates derived from the ICESat laser altimeter. Assuming that climate conditions of the past 11 years continue, the small ice cap of Bellingshausen Dome will disappear in about 285 years. (C) 2011 Elsevier B.V. All rights reserved.</t>
  </si>
  <si>
    <t>[Rueckamp, M.; Suckro, S.; Blindow, N.] Univ Munster, Inst Geophys, D-48149 Munster, Germany; [Braun, M.] Univ Bonn, Ctr Remote Sensing Land Surfaces, D-53113 Bonn, Germany</t>
  </si>
  <si>
    <t>University of Munster; University of Bonn</t>
  </si>
  <si>
    <t>Rückamp, M (corresponding author), Univ Hamburg, Inst Geophys, KlimaCampus,Bundesstr 55, D-20146 Hamburg, Germany.</t>
  </si>
  <si>
    <t>martin.rueckamp@zmaw.de; mabra@gi.alaska.edu</t>
  </si>
  <si>
    <t>Braun, Matthias H/S-4693-2016; Braun, Matthias/A-4968-2009</t>
  </si>
  <si>
    <t>Braun, Matthias/0000-0001-5169-1567; Ruckamp, Martin/0000-0003-2512-7238</t>
  </si>
  <si>
    <t>German Research Foundation [BR 2105/4-1/2/3, BR 2105-8/1, BL307-1/2, SA 694-1/1]; ESF [03F0617B]</t>
  </si>
  <si>
    <t>German Research Foundation(German Research Foundation (DFG)); ESF</t>
  </si>
  <si>
    <t>We thank two anonymous reviewers for their helpful comments which improved this manuscript substantially. The authors would like to thank the Argentinian, Brazilian, Chilean, German, Russian and Uruguayan Antarctic Programs for their continuous logistic support over the years. The crews of Artigas and Bellingshausen station as well as the science group of the Universidad Federal do Rio Grande do Sul in Porto Alegre, Brazil provided a warm and pleasant environment during fieldwork The extensive fieldwork would have never been possible without the particular efforts and commitments by A. Lluberas, J.C. Simoes, F. Aquino and R. Jana. J. Arigony-Neto kindly provided the shape file with the 1956 coastline. The collaboration during and for fieldwork with J. Sobiech, T. Kleiner, B. Boemer, H. Knese, S. Ueding, (University of Munster) as well as A. Moll (University of Bonn) and H. Mayer and F. Fernandoy (AWI) is kindly acknowledged. TerraSAR-X data for this study was provided under DLR AO LAN-0013 and the Background Mission Antarctic Peninsula and Antarctic Ice Shelves. The German Research Foundation funded this study under grants BR 2105/4-1/2/3, BR 2105-8/1, BL307-1/2 and SA 694-1/1. M.B.'s contribution was also partially financed by the ESF project IMCOAST (BMBF contract 03F0617B).</t>
  </si>
  <si>
    <t>10.1016/j.gloplacha.2011.06.009</t>
  </si>
  <si>
    <t>WOS:000297428600009</t>
  </si>
  <si>
    <t>Carrión, O; Miñana-Galbis, D; Montes, MJ; Mercadé, E</t>
  </si>
  <si>
    <t>Carrion, Ornella; Minana-Galbis, David; Jesus Montes, Ma; Mercade, Elena</t>
  </si>
  <si>
    <t>Pseudomonas deceptionensis sp nov., a psychrotolerant bacterium from the Antarctic</t>
  </si>
  <si>
    <t>INTERNATIONAL JOURNAL OF SYSTEMATIC AND EVOLUTIONARY MICROBIOLOGY</t>
  </si>
  <si>
    <t>DEOXYRIBONUCLEIC-ACID; STRAINS; DNA; HYBRIDIZATION</t>
  </si>
  <si>
    <t>During the taxonomic investigation of cold-adapted bacteria from samples collected in the Antarctic area of the South Shetland Islands, one Gram-reaction-negative, psychrotolerant, aerobic bacterium, designated strain M1(T), was isolated from marine sediment collected on Deception Island. The organism was rod-shaped, catalase- and oxidase-positive and motile by means of a polar flagellum. This psychrotolerant strain grew at temperatures ranging from -4 degrees C to 34 degrees C. Phylogenetic studies based on 16S rRNA gene sequences confirmed that Antarctic isolate M1(T) was a member of the genus Pseudomonas and was located in the Pseudomonas fragi cluster. 16S rRNA gene sequence similarity values were &gt;98% between 13 type strains belonging to the Pseudomonas fluorescens lineage. However, phylogenetic analysis of rpoD gene sequences showed that strain M1(T) exhibited high sequence similarity only with respect to Pseudomonas psycrophila (97.42%) and P. fragi (96.40%) and DNA DNA hybridization experiments between the Antarctic isolate M1(T) and the type strains of these two closely related species revealed relatedness values of 58 and 57%, respectively. Several phenotypic characteristics, together with the results of polar lipid and cellular fatty acid analyses, were used to differentiate strain M1(T) from related pseudomonads. Based on the evidence of this polyphasic taxonomic study, strain M1(T) represents a novel species, for which the name Pseudomonas deceptionensis sp. nov. is proposed. The type strain is M1(T) (=LMG 25555(T) =CECT 7677(T)).</t>
  </si>
  <si>
    <t>[Carrion, Ornella; Minana-Galbis, David; Jesus Montes, Ma; Mercade, Elena] Univ Barcelona, Fac Farm, Microbiol Lab, E-08028 Barcelona, Spain</t>
  </si>
  <si>
    <t>University of Barcelona</t>
  </si>
  <si>
    <t>Mercadé, E (corresponding author), Univ Barcelona, Fac Farm, Microbiol Lab, Av Joan XXIII S-N, E-08028 Barcelona, Spain.</t>
  </si>
  <si>
    <t>mmercade@ub.edu</t>
  </si>
  <si>
    <t>Montes, Mª Jesús/L-6430-2014; Carrion, Ornella/AAS-5142-2021; Minana-Galbis, David/B-6991-2008; Mercade, Elena/L-5218-2014</t>
  </si>
  <si>
    <t>Carrion, Ornella/0000-0002-9959-7905; Minana-Galbis, David/0000-0003-2281-0402; Mercade, Elena/0000-0001-7828-2210</t>
  </si>
  <si>
    <t>Government of Spain (CICYT) [CTQ 2007-60749/PPQ]; Autonomous Government of Catalonia [2009SGR1212]</t>
  </si>
  <si>
    <t>Government of Spain (CICYT)(Consejo Interinstitucional de Ciencia y Tecnologia (CICYT)); Autonomous Government of Catalonia(Generalitat de Catalunya)</t>
  </si>
  <si>
    <t>We thank Dr E. Garcia-Valdes for her preliminary rpoD sequence analysis. We acknowledge the BCCM/LMG Identification Service (BCCM/LMG Bacteria Collection, Laboratorium voor Microbiologie, University Ghent, Ghent, Belgium) for performing DNA-DNA hybridization analyses, 16S rRNA gene sequence analyses and Biolog analysis. This research was supported by the Government of Spain (CICYT project CTQ 2007-60749/PPQ) and by the Autonomous Government of Catalonia (grant no. 2009SGR1212).</t>
  </si>
  <si>
    <t>MICROBIOLOGY SOC</t>
  </si>
  <si>
    <t>14-16 MEREDITH ST, LONDON, ENGLAND</t>
  </si>
  <si>
    <t>1466-5026</t>
  </si>
  <si>
    <t>1466-5034</t>
  </si>
  <si>
    <t>INT J SYST EVOL MICR</t>
  </si>
  <si>
    <t>Int. J. Syst. Evol. Microbiol.</t>
  </si>
  <si>
    <t>10.1099/ijs.0.024919-0</t>
  </si>
  <si>
    <t>839VY</t>
  </si>
  <si>
    <t>WOS:000296398800014</t>
  </si>
  <si>
    <t>Löwenberg-Neto, P; de Carvalho, CJB; Hawkins, BA</t>
  </si>
  <si>
    <t>Loewenberg-Neto, Peter; de Carvalho, Claudio J. B.; Hawkins, Bradford A.</t>
  </si>
  <si>
    <t>Tropical niche conservatism as a historical narrative hypothesis for the Neotropics: a case study using the fly family Muscidae</t>
  </si>
  <si>
    <t>JOURNAL OF BIOGEOGRAPHY</t>
  </si>
  <si>
    <t>Biogeographical regions; Cenozoic; Central America; climate change; Eocene; historical biogeography; MAXENT; Muscidae; South America; supertree</t>
  </si>
  <si>
    <t>SPECIES RICHNESS; PHYLOGENETIC INFERENCE; LATITUDINAL DIVERSITY; DISTRIBUTION MODELS; CLIMATE-CHANGE; RAIN-FOREST; DATA SETS; DIPTERA; GRADIENT; DIVERSIFICATION</t>
  </si>
  <si>
    <t>Aim We evaluate the extent to which the tropical conservatism hypothesis can explain the evolutionary development of the Muscidae. Furthermore, we compare the geographical patterns of muscid phylogenetic structure with biogeographical regions that have been identified for Neotropical insects. Location Central and South America. Methods We modelled the geographic distributions of 658 species using MAXENT and 19 environmental variables. A generic-level supertree of the Muscidae was assembled using matrix representation with parsimony and used to map the geographic pattern of mean root distance (MRD), a metric of the relative evolutionary development of assemblages. Regression models (ordinary least squares and regression trees) were used to examine temperature and other environmental correlates of MRD to explore potential environmental drivers of muscid diversification. We used the regression tree results to recognize variable intervals that best explained MRD, and these intervals were mapped to recognize and compare with biogeographical regions of Neotropical insects. Results The geographic pattern of MRD was consistent with the tropical conservatism hypothesis: species in genera that diversified relatively early, as measured by their distance from the tree root, dominate lowland tropical South America, whereas species in genera that diversified more recently occupy extra-tropical areas, sub-Antarctic areas and the Andean highlands. Temperature was the strongest correlate of MRD. Three biogeographical regions were recognized and they coincided with two regions known for insects. Main conclusions Evolutionary responses of muscid flies to post-Eocene climate change taking the form of an expansion of a tropical group into regions with colder climates may be fundamental to explaining their distribution in the Neotropics. Our biogeographical regions delimited by temperature and the phylogenetic metric, surrogates of the tropical conservatism hypothesis, were very similar to general insect patterns, supporting the 'tropical origin and evolutionary response to climate cooling' as a broadly based historical narrative for the Neotropics.</t>
  </si>
  <si>
    <t>[Loewenberg-Neto, Peter] Univ Fed Integracao Latino Amer, Foz Do Iguacu, PR, Brazil; [de Carvalho, Claudio J. B.] Univ Fed Parana, Dept Zool, SCB, BR-80060000 Curitiba, Parana, Brazil; [Hawkins, Bradford A.] Univ Calif Irvine, Dept Ecol &amp; Evolutionary Biol, Irvine, CA 92717 USA</t>
  </si>
  <si>
    <t>Universidade Federal da Integracao Latino-Americana; Universidade Federal do Parana; University of California System; University of California Irvine</t>
  </si>
  <si>
    <t>Löwenberg-Neto, P (corresponding author), UNILA, Av Tancredo Neves 6731,Caixa Postal 2064, BR-85867970 Foz Do Iguacu, PR, Brazil.</t>
  </si>
  <si>
    <t>peter.lowenberg@unila.edu.br</t>
  </si>
  <si>
    <t>Löwenberg-Neto, Peter/A-8248-2008; Hawkins, Bradford A/A-3510-2011; de Carvalho, Claudio J B/B-6386-2013</t>
  </si>
  <si>
    <t>de Carvalho, Claudio J B/0000-0002-3533-6853; Lowenberg Neto, Peter/0000-0001-5122-0247</t>
  </si>
  <si>
    <t>'Conselho Nacional de Desenvolvimento Cientifico e Tecnologico, CNPq - Brasil' [300873/2008-5]; 'Programa de Doutorado no Pais com Estagio no Exterior/Coordenacao de Aperfeicoamento de Pessoal de Nivel Superior (PDEE/CAPES) - Brasil' [4564/08-1]; University of California, Irvine; [140178/2007-4]</t>
  </si>
  <si>
    <t>'Conselho Nacional de Desenvolvimento Cientifico e Tecnologico, CNPq - Brasil'(Conselho Nacional de Desenvolvimento Cientifico e Tecnologico (CNPQ)); 'Programa de Doutorado no Pais com Estagio no Exterior/Coordenacao de Aperfeicoamento de Pessoal de Nivel Superior (PDEE/CAPES) - Brasil'(Coordenacao de Aperfeicoamento de Pessoal de Nivel Superior (CAPES)); University of California, Irvine(University of California System);</t>
  </si>
  <si>
    <t>We thank Carlos J.E. Lamas, Gabriel R. de Melo, Marcio R. Pie and Silvio S. Nihei for comments on a previous version, and J. Alexandre F. Diniz-Filho for comments on the final version of this paper. The authors are grateful to the 'Conselho Nacional de Desenvolvimento Cientifico e Tecnologico, CNPq - Brasil' for research grants to C.J.B.dC. (process number 300873/2008-5) and for a graduate scholarship for P.L.-N. (process number 140178/2007-4). We are also grateful to the 'Programa de Doutorado no Pais com Estagio no Exterior/Coordenacao de Aperfeicoamento de Pessoal de Nivel Superior (PDEE/CAPES) - Brasil' for financial support for P.L.-N. (process number 4564/08-1) at the University of California, Irvine.</t>
  </si>
  <si>
    <t>0305-0270</t>
  </si>
  <si>
    <t>1365-2699</t>
  </si>
  <si>
    <t>J BIOGEOGR</t>
  </si>
  <si>
    <t>J. Biogeogr.</t>
  </si>
  <si>
    <t>10.1111/j.1365-2699.2011.02540.x</t>
  </si>
  <si>
    <t>Ecology; Geography, Physical</t>
  </si>
  <si>
    <t>822MP</t>
  </si>
  <si>
    <t>WOS:000295052300008</t>
  </si>
  <si>
    <t>Romoli, R; Papaleo, MC; de Pascale, D; Tutino, ML; Michaud, L; LoGiudice, A; Fani, R; Bartolucci, G</t>
  </si>
  <si>
    <t>Romoli, Riccardo; Papaleo, Maria Cristiana; de Pascale, Donatella; Tutino, Maria Luisa; Michaud, Luigi; LoGiudice, Angelina; Fani, Renato; Bartolucci, Gianluca</t>
  </si>
  <si>
    <t>Characterization of the volatile profile of Antarctic bacteria by using solid-phase microextraction-gas chromatography-mass spectrometry</t>
  </si>
  <si>
    <t>JOURNAL OF MASS SPECTROMETRY</t>
  </si>
  <si>
    <t>Head Space (HS); Burkholderia cepacia complex; VOCs; Cystic Fibrosis (CF)</t>
  </si>
  <si>
    <t>PSYCHROTROPHIC BACTERIA; HEADSPACE</t>
  </si>
  <si>
    <t>Bacteria belonging to the Burkholderia cepacia complex (Bcc) are significant pathogens in Cystic Fibrosis (CF) patients and are resistant to a plethora of antibiotics. In this context, microorganisms from Antarctica are interesting because they produce antimicrobial compounds inhibiting the growth of other bacteria. This is particularly true for bacteria isolated from Antarctic sponges. The aim of this work was to characterize a set of Antarctic bacteria for their ability to produce new natural drugs that could be exploited in the control of infections in CF patients by Bcc bacteria. Hence, 11 bacterial strains allocated to different genera (e. g., Pseudoalteromonas, Arthrobacter and Psychrobacter) were tested for their ability to inhibit the growth of 21 Bcc strains and some other human pathogens. All these bacteria completely inhibited the growth of most, if not all, Bcc strains, suggesting a highly specific activity toward Bcc strains. Experimental evidences showed that the antimicrobial compounds are small volatile organic compounds, and are constitutively produced via an unknown pathway. The microbial volatile profile was obtained by SPME-GC-MS within them/z interval of 40-450. Solid phasemicro extraction technique affords the possibility to extract the volatile compounds in head space with a minimal sample perturbation. Principal component analysis and successive cluster discriminant analysis was applied to evaluate the relationships among the volatile organic compounds with the aim of classifying the microorganisms by their volatile profile. These data highlight the potentiality of Antarctic bacteria as novel sources of antibacterial substances to face Bcc infections in CF patients. Copyright (C) 2011 John Wiley &amp; Sons, Ltd.</t>
  </si>
  <si>
    <t>[Romoli, Riccardo] Univ Florence, Dipartimento Prod Vegetali Suolo &amp; Ambiente Agrof, I-50144 Florence, Italy; [Romoli, Riccardo; Bartolucci, Gianluca] Ctr Serv Spettrometria Massa CISM, I-50139 Florence, Italy; [Papaleo, Maria Cristiana; Fani, Renato] Univ Florence, Dept Evolutionary Biol, Lab Microbial &amp; Mol Evolut, I-50125 Florence, Italy; [de Pascale, Donatella] CNR, Inst Prot Biochem, Naples, Italy; [Tutino, Maria Luisa] Univ Naples Federico II, Dept Organ Chem &amp; Biochem, Naples, Italy; [Michaud, Luigi; LoGiudice, Angelina] Univ Messina, Dept Anim Biol &amp; Marine Ecol, Messina, Italy; [Bartolucci, Gianluca] Univ Florence, Dipartimento Sci Farmaceut, I-50121 Florence, Italy</t>
  </si>
  <si>
    <t>University of Florence; University of Florence; Consiglio Nazionale delle Ricerche (CNR); Istituto di Biochimica delle Proteine (IBP-CNR); University of Naples Federico II; University of Messina; University of Florence</t>
  </si>
  <si>
    <t>Romoli, R (corresponding author), Univ Florence, Dipartimento Prod Vegetali Suolo &amp; Ambiente Agrof, I-50144 Florence, Italy.</t>
  </si>
  <si>
    <t>riccardo.romoli@unifi.it</t>
  </si>
  <si>
    <t>Bartolucci, Gianluca/J-4545-2019; TUTINO, MARIA LUISA/L-1834-2013</t>
  </si>
  <si>
    <t>Bartolucci, Gianluca/0000-0002-5631-8769; Tutino, Maria Luisa/0000-0002-4978-6839</t>
  </si>
  <si>
    <t>Ente Cassa di Risparmio di Firenze [2008.1103]; Italian Cystic Fibrosis Research Foundation [12/2011]</t>
  </si>
  <si>
    <t>Ente Cassa di Risparmio di Firenze(Fondazione Cassa Risparmio Firenze); Italian Cystic Fibrosis Research Foundation(Ministry of Health, ItalyItalian Cystic Fibrosis Research Foundation)</t>
  </si>
  <si>
    <t>This work was supported by Ente Cassa di Risparmio di Firenze (Grant # 2008.1103) and Italian Cystic Fibrosis Research Foundation (Grant # 12/2011). A special thanks to Prof. Luca Calamai for his valuable scientific support too.</t>
  </si>
  <si>
    <t>1076-5174</t>
  </si>
  <si>
    <t>1096-9888</t>
  </si>
  <si>
    <t>J MASS SPECTROM</t>
  </si>
  <si>
    <t>J. Mass Spectrom.</t>
  </si>
  <si>
    <t>10.1002/jms.1987</t>
  </si>
  <si>
    <t>Biochemical Research Methods; Chemistry, Analytical; Spectroscopy</t>
  </si>
  <si>
    <t>Biochemistry &amp; Molecular Biology; Chemistry; Spectroscopy</t>
  </si>
  <si>
    <t>848DC</t>
  </si>
  <si>
    <t>WOS:000297028200011</t>
  </si>
  <si>
    <t>Nam, SI</t>
  </si>
  <si>
    <t>Nam, Seung-Il</t>
  </si>
  <si>
    <t>Current Research Issues on Paleoclimate and Paleoceanography in Korea: From Korean Peninsula to Antarctic-Arctic Polar Areas</t>
  </si>
  <si>
    <t>JOURNAL OF THE GEOLOGICAL SOCIETY OF KOREA</t>
  </si>
  <si>
    <t>Korean</t>
  </si>
  <si>
    <t>[Nam, Seung-Il] Korea Polar Res Inst, Div Polar Climate Res, Songdo Techno Pk,7-50 Songdo Dong, Incheon 406840, South Korea</t>
  </si>
  <si>
    <t>Korea Polar Research Institute (KOPRI)</t>
  </si>
  <si>
    <t>Nam, SI (corresponding author), Korea Polar Res Inst, Div Polar Climate Res, Songdo Techno Pk,7-50 Songdo Dong, Incheon 406840, South Korea.</t>
  </si>
  <si>
    <t>sinam@kopri.re.kr</t>
  </si>
  <si>
    <t>GEOLOGICAL SOC KOREA</t>
  </si>
  <si>
    <t>KOREA SCIENCE &amp; TECHNOLOGY CTR, RM 813, 7 GIL 22, TEHERAN- RO, GANGNAM-GUNA, SEOUL, 06130, SOUTH KOREA</t>
  </si>
  <si>
    <t>0435-4036</t>
  </si>
  <si>
    <t>2288-7377</t>
  </si>
  <si>
    <t>J GEOL SOC KOREA</t>
  </si>
  <si>
    <t>J. Geol. Soc. Korea</t>
  </si>
  <si>
    <t>VH7MK</t>
  </si>
  <si>
    <t>WOS:000454018200001</t>
  </si>
  <si>
    <t>Kim, SJ; Woo, EJ; Kim, BM</t>
  </si>
  <si>
    <t>Kim, Seong-Joong; Woo, Eun-Jin; Kim, Baek-Min</t>
  </si>
  <si>
    <t>Antarctic surface temperature change for the Last Glacial Maximum (LGM) reproduced in the second phase of the Paleoclimate Modelling Intercomparison Program (PMIP2)</t>
  </si>
  <si>
    <t>Last Glacial Maximum; Antarctic surface temperature; atmosphere-ocean-ice coupled model; Paleoclimate Modelling Intercomparion Program</t>
  </si>
  <si>
    <t>NORTH-ATLANTIC; OVERTURNING CIRCULATION; SOUTHERN-OCEAN; COUPLED MODEL; CLIMATE; SIMULATION; DELTA-O-18; VEGETATION; ISOTOPE; CYCLE</t>
  </si>
  <si>
    <t>The Antarctic surface temperature change for the Last Glacial Maximum (LGM) was investigated using the results of atmosphere-ocean-ice coupled models from the second phase of the Paleoclimate Modelling Intercomparison Program (P1VIP2). In the analysis, we used seven models; the NCAR CCSM of USA, ECHAM3-MPIOM of German Max-Plank Institute, HadCM3M2 of UK Met Office, IPSL-CM4 of France Laplace Institute, CNRM-CM3 of France Meteorological Institute, MIROC3.2 of Japan CCSR at University of Tokyo, and FGOALS of China Institute of Atmospheric Physics. All seven models tend to underestimate the present Antarctic temperatures in comparison to the observed. In the LGM simulations, the atmospheric CO2 concentration and other greenhouse gases were reduced to the LGM level, the 5-G ice sheet reconstruction data were implemented, and orbital parameters of 21,000 years BP were used. With the implemented LGM conditions, the temperature over Antarctica has simulated about 8-12 degrees C below compared to the present in austral winter, while in summer it is 6-9 degrees C below. Overall, the annual mean surface temperature is about 7 degrees C below the present climate which is slightly lower than the temperature change obtained in the proxy evidence (about 10 degrees C). The surface temperature reduction tends to bigger toward the high latitudes and biggest temperature reduction is found around the south pole. In austral winter, the surface temperature reduction is bigger around 65 degrees S than in 70 degrees S. This seems to be due to the increase in sea ice extent in the LGM in those latitudes.</t>
  </si>
  <si>
    <t>[Kim, Seong-Joong; Woo, Eun-Jin; Kim, Baek-Min] Korea Polar Res Inst, Div Polar Climate Res, Songdo Techno Pk,7-50 Songdo Dong, Incheon 406840, South Korea</t>
  </si>
  <si>
    <t>Kim, SJ (corresponding author), Korea Polar Res Inst, Div Polar Climate Res, Songdo Techno Pk,7-50 Songdo Dong, Incheon 406840, South Korea.</t>
  </si>
  <si>
    <t>seongjkim@kopri.re.kr</t>
  </si>
  <si>
    <t>Kim, Baek-Min/A-4634-2015</t>
  </si>
  <si>
    <t>WOS:000454018200002</t>
  </si>
  <si>
    <t>Seo, KW</t>
  </si>
  <si>
    <t>Seo, Ki-Weon</t>
  </si>
  <si>
    <t>Gravity Recovery and Climate Experiment (GRACE)</t>
  </si>
  <si>
    <t>JOURNAL OF THE KOREAN EARTH SCIENCE SOCIETY</t>
  </si>
  <si>
    <t>GRACE; gravity; climate change</t>
  </si>
  <si>
    <t>Gravity Recovery and Climate Experiment (GRACE), launched in April, 2002, makes it possible to monitor Earth's mass redistribution with its time-varying gravity observation. GRACE provides monthly gravity solutions as coefficients of spherical harmonics, and thus ones need to convert the gravity spectrum to gravity grids (or mass grids) via the spherical harmonics. GRACE gravity solutions, however, include spatial alias error as well as noise, which requires to suppress in order to enhance signal to noise ratio. In this study, we present the GRACE data processing procedures and introduce some applications of time-varying gravity, which are studies of terrestrial water storage changes, Antarctic and Greenland ice melting, and sea level rise. Satellite missions such as GRACE will continue up to early 2020, and they are expected to be an essential resource to understand the global climate changes.</t>
  </si>
  <si>
    <t>[Seo, Ki-Weon] Korea Polar Res Inst, Div Polar Earth Syst Sci, Incheon 406840, South Korea</t>
  </si>
  <si>
    <t>Seo, KW (corresponding author), Korea Polar Res Inst, Div Polar Earth Syst Sci, Incheon 406840, South Korea.</t>
  </si>
  <si>
    <t>seo.kiweon@kopri.re.kr</t>
  </si>
  <si>
    <t>Seo, Ki-weon/AAH-7729-2021</t>
  </si>
  <si>
    <t>Seo, Ki-weon/0000-0001-5523-4996</t>
  </si>
  <si>
    <t>KOREAN EARTH SCIENCE SOC</t>
  </si>
  <si>
    <t>CHEONG-WON-GUN</t>
  </si>
  <si>
    <t>KOREAN EARTH SCIENCE SOC, CHEONG-WON-GUN, 00000, SOUTH KOREA</t>
  </si>
  <si>
    <t>1225-6692</t>
  </si>
  <si>
    <t>2287-4518</t>
  </si>
  <si>
    <t>J KOR EARTH SCI SOC</t>
  </si>
  <si>
    <t>J. Kor. Earth Sci. Soc.</t>
  </si>
  <si>
    <t>10.5467/JKESS.2011.32.6.586</t>
  </si>
  <si>
    <t>VD8II</t>
  </si>
  <si>
    <t>WOS:000437647900006</t>
  </si>
  <si>
    <t>Oh, JW; Min, DJ; Lee, HY; Park, M</t>
  </si>
  <si>
    <t>Oh, Ju-Won; Min, Dong-Joo; Lee, Ho-Yong; Park, Minkyu</t>
  </si>
  <si>
    <t>Earthquake Wave Propagation Using Staggered-grid Finite-difference Method in the Model of the Antarctic Region</t>
  </si>
  <si>
    <t>time domain; staggered-grid finite-difference method; elastic wave modeling; earthquake source; Polar region</t>
  </si>
  <si>
    <t>We simulate the propagation of earthquake waves in the continental margin of Antarctica using the elastic wave modeling algorithm, which is modified to be suitable for acoustic-elastic coupled media and earthquake source. To simulate the various types of earthquake source, the staggered-grid finite-difference method, which is composed of velocity-stress formulae, can be more appropriate to use than the conventional, displacement-based, finite-difference method. We simulate the elastic wave propagation generated by earthquakes combining 3D staggered-grid finite-difference algorithm composed of displacement-velocity-stress formulae with double couple mechanisms for earthquake source. Through numerical tests for left-lateral strike-slip fault, normal fault and reverse fault, we could confirm that the first arrival of P waves at the surface is in a good agreement with the theoretically-predicted results based on the focal mechanism of an earthquake. Numerical results for a model made after the subduction zone in the continental margin of Antarctica showed that earthquake waves, generated by the reverse fault and propagating through the continental crust, the oceanic crust and the ocean, are accurately described.</t>
  </si>
  <si>
    <t>[Oh, Ju-Won; Min, Dong-Joo] Seoul Natl Univ, Dept Energy Syst Engn, Seoul 151744, South Korea; [Lee, Ho-Yong] Korean Ocean Oil Corp, New Ventures &amp; Explorat Grp, Gyeonggi 431711, South Korea; [Park, Minkyu] Korea Polar Res Inst, Div Polar Earth Syst Sci, Incheon 406840, South Korea</t>
  </si>
  <si>
    <t>Seoul National University (SNU); Korea Polar Research Institute (KOPRI)</t>
  </si>
  <si>
    <t>Min, DJ (corresponding author), Seoul Natl Univ, Dept Energy Syst Engn, Seoul 151744, South Korea.</t>
  </si>
  <si>
    <t>spoppy@snu.ac.kr</t>
  </si>
  <si>
    <t>Min, Dong-Joo/JXN-5688-2024</t>
  </si>
  <si>
    <t>10.5467/JKESS.2011.32.6.640</t>
  </si>
  <si>
    <t>WOS:000437647900011</t>
  </si>
  <si>
    <t>Han, H; Lee, H</t>
  </si>
  <si>
    <t>Han, Hyangsun; Lee, Hoonyol</t>
  </si>
  <si>
    <t>Microwave Radiation Characteristics of Glacial Ice in the AMSR-E NASA Team2 Algorithm</t>
  </si>
  <si>
    <t>KOREAN JOURNAL OF REMOTE SENSING</t>
  </si>
  <si>
    <t>glacial ice; sea ice; microwave radiation characteristics; AMSR-E; NASA Team2 algorithm</t>
  </si>
  <si>
    <t>Sea ice concentration calculated from the AMSR-E onboard Aqua satellite by using NASA Team2 sea ice algorithm has proven to be very accurate over sea ice in Antarctic Ocean. When glacial ice such as icebergs and ice shelves are dominant in an AMSR-E footprint, the accuracy of the ice concentration calculated from NASA Team2 algorithm is not well maintained due to the different microwave characteristics of the glacial ice from sea ice. We extracted the concentrations of sea ice and glacial ice from two ENVISAT ASAR images of George V coast in southern Antarctica, and compared them with NASA Team2 sea ice concentration. The result showed that the NASA Team2 algorithm underestimates the concentration of glacial ice. To interpret the large deviation of estimation over glacial ice, we analyzed the characteristics of microwave radiation of the glacial ice in PR (polarization ratio), GR(spectral gradient ratio), PRR (rotated PR), and. GR domain. We found that glacial ice occupies a unique region in the PR, GR, PRR, and. GR domain different from other types of ice such as ice type A, B, and C, and open water. This implies that glacial ice can be added as a new category of ice to the AMSR-E NASA Team2 sea ice algorithm.</t>
  </si>
  <si>
    <t>[Han, Hyangsun; Lee, Hoonyol] Kangwon Natl Univ, Dept Geophys, Chunchon, South Korea</t>
  </si>
  <si>
    <t>Kangwon National University</t>
  </si>
  <si>
    <t>Han, H (corresponding author), Kangwon Natl Univ, Dept Geophys, Chunchon, South Korea.</t>
  </si>
  <si>
    <t>hoonyol@kangwon.ac.kr</t>
  </si>
  <si>
    <t>Han, Hyangsun/AAE-7670-2022</t>
  </si>
  <si>
    <t>Han, Hyangsun/0000-0002-0414-519X</t>
  </si>
  <si>
    <t>KOREAN SOC REMOTE SENSING</t>
  </si>
  <si>
    <t>KOREAN SOC REMOTE SENSING, SEOUL, 00000, SOUTH KOREA</t>
  </si>
  <si>
    <t>1225-6161</t>
  </si>
  <si>
    <t>2287-9307</t>
  </si>
  <si>
    <t>KOREAN J REMOTE SENS</t>
  </si>
  <si>
    <t>Korean J. Remote Sensing</t>
  </si>
  <si>
    <t>10.7780/kjrs.2011.27.5.543</t>
  </si>
  <si>
    <t>VA6MR</t>
  </si>
  <si>
    <t>WOS:000410192900004</t>
  </si>
  <si>
    <t>Robertson, BC; Chilvers, BL</t>
  </si>
  <si>
    <t>Robertson, Bruce C.; Chilvers, B. Louise</t>
  </si>
  <si>
    <t>The population decline of the New Zealand sea lion Phocarctos hookeri: a review of possible causes</t>
  </si>
  <si>
    <t>MAMMAL REVIEW</t>
  </si>
  <si>
    <t>decline; fisheries by-catch; Pinnipedia; population trends; resource competition</t>
  </si>
  <si>
    <t>SOUTHERN ELEPHANT SEALS; AUCKLAND ISLANDS; LIFE-HISTORY; ENDERBY ISLAND; ZALOPHUS-CALIFORNIANUS; MICROSATELLITE MARKERS; FORAGING STRATEGIES; GENETIC DIVERSITY; MIROUNGA-LEONINA; DIVING BEHAVIOR</t>
  </si>
  <si>
    <t>1. The New Zealand (NZ) sea lion Phocarctos hookeri is NZ's only endemic pinniped and is listed as 'nationally critical'. The species breeds in the NZ sub-Antarctic: 71% of the population at the Auckland Islands (2010 pup production: 1814 +/- 39) and the remaining 29% on Campbell Island (726 pups in 2010). 2. Pup production at the Auckland Islands has declined by 40% since 1998 (1998: 3021 pups produced): only 1501 pups were born in 2009. This decline is directly linked to philopatric females not returning to breeding areas. While the Auckland Island population has declined, the Campbell Island population appears to be increasing slowly. 3. Potential reasons for the decline in the Auckland Island population, but not in the Campbell Island population, include non-anthropogenic factors: (i) disease epizootics, (ii) predation, (iii) permanent dispersal or migration, (iv) environmental change; and anthropogenic impacts: (v) population 'overshoot', (vi) genetic effects, (vii) effects of contaminants, (viii) indirect effects of fisheries (i.e. resource competition) and (ix) direct effects of fisheries (i.e. by-catch deaths). Of the nine potential reasons examined here, six can be discounted (ii-vii). Bacterial epizootics (i) occur in the NZ sea lion population, but their impact has predominantly increased pup mortality, which is unlikely to cause the severe decline observed, as pup mortality throughout the species is naturally high and variable. 4. The most plausible hypotheses, based on available evidence, are that the observed decline, in particular, the decreasing number of breeding females in the Auckland Island population, is caused by (viii) fisheries-induced resource competition and (ix) fisheries-related by-catch. By-catch is the main known anthropogenic cause of mortality in the species. Competition with fisheries resulting in resource competition, nutrient stress and decreased reproductive ability in NZ sea lions should be a priority area for future research.</t>
  </si>
  <si>
    <t>[Robertson, Bruce C.] Univ Otago, Dept Zool, Dunedin, New Zealand; [Chilvers, B. Louise] Dept Conservat, Aquat &amp; Threats Unit, Wellington 6011, New Zealand</t>
  </si>
  <si>
    <t>Robertson, BC (corresponding author), Univ Otago, Dept Zool, POB 56, Dunedin, New Zealand.</t>
  </si>
  <si>
    <t>bruce.robertson@otago.ac.nz; lchilvers@doc.govt.nz</t>
  </si>
  <si>
    <t>Chilvers, B. Louise/AAV-1965-2021</t>
  </si>
  <si>
    <t>Chilvers, B. Louise/0000-0002-7657-4217</t>
  </si>
  <si>
    <t>0305-1838</t>
  </si>
  <si>
    <t>1365-2907</t>
  </si>
  <si>
    <t>MAMMAL REV</t>
  </si>
  <si>
    <t>Mammal Rev.</t>
  </si>
  <si>
    <t>10.1111/j.1365-2907.2011.00186.x</t>
  </si>
  <si>
    <t>819KI</t>
  </si>
  <si>
    <t>WOS:000294823400002</t>
  </si>
  <si>
    <t>Phillips, RA; McGill, RAR; Dawson, DA; Bearhop, S</t>
  </si>
  <si>
    <t>Phillips, Richard A.; McGill, Rona A. R.; Dawson, Deborah A.; Bearhop, Stuart</t>
  </si>
  <si>
    <t>Sexual segregation in distribution, diet and trophic level of seabirds: insights from stable isotope analysis</t>
  </si>
  <si>
    <t>GIANT PETRELS MACRONECTES; WANDERING ALBATROSSES; FORAGING AREAS; BREEDING-SEASON; FEEDING ECOLOGY; CATHARACTA-SKUA; SOUTH-GEORGIA; AVIAN BLOOD; BROWN SKUAS; GREAT SKUAS</t>
  </si>
  <si>
    <t>Considerable attention has focused on inter- and intraspecific variation in trophic niches of marine predators. Although this has revealed evidence for sexual segregation in distribution in some species, few studies have been able to address sex-related dietary specialisation. Stable isotope analysis of blood cells collected from albatrosses and petrels at South Georgia during chick-rearing indicated a difference in delta C-13,suggesting that females fed to the north of males, only in two species with male-biased sexual size dimorphism; in no species did sexes differ in trophic level (delta N-15). Based on a wider review, significant differences between sexes in isotope signatures were much more common in seabirds during the pre-laying or breeding than the nonbreeding period, presumably reflecting greater between-sex partitioning of resources when foraging ranges are more constrained and competition is greater. Sex differences, or their absence, were usually consistent across successive stages during the pre-laying and breeding periods, but not necessarily year-round nor between populations. Significant differences in isotope signatures between males and females were extremely rare in monomorphic species, suggesting a link between sexual size dimorphism and segregation in diet or distribution. Among the Southern Ocean albatrosses, sex differences in delta C-13 suggested the underlying mechanism was related to habitat specialisation, whereas in other size-dimorphic taxa (both male-and female-biased), sex differences were more common in delta N-15 than delta C-13 and therefore more consistent with size-mediated competitive exclusion or dietary specialisation.</t>
  </si>
  <si>
    <t>[Phillips, Richard A.] British Antarctic Survey, NERC, Cambridge CB3 0ET, England; [McGill, Rona A. R.] Scottish Univ Environm Res Ctr, NERC Life Sci Mass Spectrometry Facil, E Kilbride G75 0QF, Lanark, Scotland; [Dawson, Deborah A.] Univ Sheffield, Dept Anim &amp; Plant Sci, NERC Biomol Anal Facil, Sheffield S10 2TN, S Yorkshire, England; [Bearhop, Stuart] Univ Exeter, Ctr Ecol &amp; Conservat, Sch Biosci, Penryn TR10 9EZ, England</t>
  </si>
  <si>
    <t>UK Research &amp; Innovation (UKRI); Natural Environment Research Council (NERC); NERC British Antarctic Survey; Scottish Universities Research &amp; Reactor Center; UK Research &amp; Innovation (UKRI); Natural Environment Research Council (NERC); University of Sheffield; UK Research &amp; Innovation (UKRI); Natural Environment Research Council (NERC); University of Exeter</t>
  </si>
  <si>
    <t>Phillips, RA (corresponding author), British Antarctic Survey, NERC, Madingley Rd, Cambridge CB3 0ET, England.</t>
  </si>
  <si>
    <t>raphil@bas.ac.uk</t>
  </si>
  <si>
    <t>McGill, Rona/JAC-6969-2023; McGill, Rona/F-1793-2010; Bearhop, Stuart/G-3105-2012</t>
  </si>
  <si>
    <t>McGill, Rona/0000-0003-0400-7288; Bearhop, Stuart/0000-0002-5864-0129</t>
  </si>
  <si>
    <t>Natural Environment Research Council; NERC [EK50-5/02]; NERC [bas0100025, NBAF010001] Funding Source: UKRI; Natural Environment Research Council [NBAF010001, bas0100025] Funding Source: researchfish</t>
  </si>
  <si>
    <t>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</si>
  <si>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are very grateful to the Bird Island Weld assistants, particularly Dafydd Roberts, Ben Phalan, Nicholas Warren and Jane Tanton for help with sampling, to Catarina Henriques for sample preparation and to Iain Staniland for useful discussions on fur seal ecology and distribution. Many thanks are also due to the three referees for their thoughtful comments. Robert Buckland and Douglas Ross performed the molecular sex-typing (http://www.shef.ac.uk/nbaf-s/birdsexing.html) at the NERC Biomolecular Analysis Facility - SheYeld (formerly the Molecular Genetics Facility), supported by the Natural Environment Research Council. The isotope analysis at the Life Sciences Mass Spectrometry Facility was funded by NERC award EK50-5/02. Capture and blood-sampling complied with the laws of the Government of South Georgia and the South Sandwich Islands. This study represents a contribution to the British Antarctic Survey Ecosystems Programme.</t>
  </si>
  <si>
    <t>10.1007/s00227-011-1725-4</t>
  </si>
  <si>
    <t>WOS:000296089900005</t>
  </si>
  <si>
    <t>López-Martínez, J; Muñoz, A; Dowdeswell, JA; Linés, C; Acosta, J</t>
  </si>
  <si>
    <t>Lopez-Martinez, Jeronimo; Munoz, Araceli; Dowdeswell, Julian A.; Lines, Clara; Acosta, Juan</t>
  </si>
  <si>
    <t>Relict sea-floor ploughmarks record deep-keeled Antarctic icebergs to 45°S on the Argentine margin</t>
  </si>
  <si>
    <t>icebergs; plough marks; Last Glacial Maximum; Argentine margin; Southern Atlantic; Antarctica</t>
  </si>
  <si>
    <t>LAST GLACIAL MAXIMUM; PALEO-ICE STREAM; PINE ISLAND BAY; SUBGLACIAL BEDFORMS; BELLINGSHAUSEN SEA; CONTINENTAL-MARGIN; SOUTHERN-OCEAN; SHEET; SHELF; WEDDELL</t>
  </si>
  <si>
    <t>This paper reports ploughmarks on the Argentine continental margin up to 44 degrees 50'S, the most northerly morphological evidence of giant icebergs in the southern Atlantic. More than 2500 ploughmarks up to 32 km long, 685 m wide and more than 20 m deep have been observed at modern water depths up to 646 m. Taking into account these iceberg sizes, and ocean current directions which appear to have remained similar from the last full-glacial to the present interglacial, the icebergs that produced the ploughmarks are interpreted to be calved from fast-flowing ice streams draining huge basins of the West Antarctic Ice Sheet and the western Antarctic Peninsula during the Last Glacial Maximum (LGM) about 20,000 years ago. Ploughmarks at the deepest water depths correspond to icebergs more than 500 m thick and at least 2 km wide, given a sea-level rise of 120 m since the LGM. The icebergs, after having drifted northeast in the Antarctic Circumpolar Current, were transported northward by the Falklands/Malvinas Current; a total distance of 2000 to 4000 km. The waters north of the Falkland Islands in particular were probably several degrees colder than today to prevent rapid iceberg melting and deterioration. (C) 2011 Elsevier B.V. All rights reserved.</t>
  </si>
  <si>
    <t>[Lopez-Martinez, Jeronimo; Lines, Clara] Univ Autonoma Madrid, Fac Ciencias, Dept Geol &amp; Geoquim, E-28049 Madrid, Spain; [Munoz, Araceli] TRAGSA SGM, Madrid 28006, Spain; [Dowdeswell, Julian A.] Univ Cambridge, Scott Polar Res Inst, Cambridge CB2 1ER, England; [Acosta, Juan] Inst Espanol Oceanog, Madrid 28002, Spain</t>
  </si>
  <si>
    <t>Autonomous University of Madrid; University of Cambridge; Spanish Institute of Oceanography</t>
  </si>
  <si>
    <t>López-Martínez, J (corresponding author), Univ Autonoma Madrid, Fac Ciencias, Dept Geol &amp; Geoquim, E-28049 Madrid, Spain.</t>
  </si>
  <si>
    <t>jeronimo.lopez@uam.es; amur@tragsa.es; jd16@cam.ac.uk; clara.lines@uam.es; juan.acostayepes@gmail.com</t>
  </si>
  <si>
    <t>Lopez-Martinez, Jeronimo/C-5744-2011; Munoz Recio, Araceli/M-2521-2014</t>
  </si>
  <si>
    <t>Lopez-Martinez, Jeronimo/0000-0002-1750-8287; Lines, Clara/0000-0003-3437-5145; Munoz Recio, Araceli/0000-0002-8994-3093; Dowdeswell, Julian/0000-0003-1369-9482</t>
  </si>
  <si>
    <t>Spanish General Secretariat of the Sea; Spanish Oceanographic Institute (IEO); National RD Plan</t>
  </si>
  <si>
    <t>This project was funded by the Spanish General Secretariat of the Sea and the Spanish Oceanographic Institute (IEO). Spanish Antarctic research is funded by the National R&amp;D Plan. We thank the officers, crew and operational personnel of the RV Miguel Oliver. The authors thank two anonymous referees and the Editor, D.J.W. Piper, for helpful comments that have contributed to improving this paper.</t>
  </si>
  <si>
    <t>10.1016/j.margeo.2011.08.002</t>
  </si>
  <si>
    <t>854HU</t>
  </si>
  <si>
    <t>WOS:000297486400004</t>
  </si>
  <si>
    <t>Tyagi, A; Singh, UP; Mohapatra, M</t>
  </si>
  <si>
    <t>Tyagi, Ajit; Singh, U. P.; Mohapatra, M.</t>
  </si>
  <si>
    <t>Weather &amp; weather systems at Schirmacher Oasis (Maitri) during recent two decades - A review</t>
  </si>
  <si>
    <t>Katabatic winds; Blizzards; Schirmacher Oasis; East Antarctica; Maitri; Drifting Snow; Advection Fog; Circumpolar trough</t>
  </si>
  <si>
    <t>EAST; CLIMATE; FOG</t>
  </si>
  <si>
    <t>Indian Antarctic station Maitri experiences varying external influences from interior of east Antarctica as well as moving depressions and cyclones along the coast. The relative position of circumpolar trough and strengthening of high pressure centre near pole influences variation of atmospheric pressure at Mann. The diurnal, daily and seasonal variation of temperature mainly depend upon moving pressure systems, katabatic winds, change of solar insulation with change of seasons, reflectivity from clouds and snow surface. The katabatic winds prevail over Maitri which is highly directional from South- East sector due to increase of slope towards south. The blizzards are main weather at Maitri, fog and white out are occasional phenomena. The precipitation is mostly in form of snowfall but rain is very rare at Maitri. Heavy or moderate snowfall indicative of active front leading edge of warm air masses being transported southwards. Strong temperature variant near Schirmacher oasis give precipitation in form of snow. Fog occurred due to slow movement of relatively warm air from lower latitude over the colder surface. Winter season witnessed more snowfall accumulation at Mann than other season. During summer rise of temperature accompanied with absorption of latent heat by ice pellets in low level of atmosphere results precipitation in form of water droplets. Highest number of blizzards occurs during winter season whereas lowest number of blizzards occurs during summer season. Normally due to cyclonic activities, warm air masses transported towards the Schirmacher oasis which causes rise of temperature at Mann. Longer duration of the blizzards over the station depends upon strength of slow moving blocking anticyclone situated east of Maitri at lower latitude. Tremendous fluctuation of atmospheric electric field observed before onset is a pre-indication of commencement of blizzards.</t>
  </si>
  <si>
    <t>[Tyagi, Ajit; Singh, U. P.; Mohapatra, M.] Indian Meteorol Dept, New Delhi 110003, India</t>
  </si>
  <si>
    <t>Tyagi, A (corresponding author), Indian Meteorol Dept, New Delhi 110003, India.</t>
  </si>
  <si>
    <t>ajit.tyagi@gmail.com</t>
  </si>
  <si>
    <t>Singh, Udai Pratap/ABI-3111-2020</t>
  </si>
  <si>
    <t>Singh, Udai Pratap/0000-0003-4328-8625</t>
  </si>
  <si>
    <t>WOS:000296935900003</t>
  </si>
  <si>
    <t>Smith, PJ; Steinke, D; McMillan, P; Stewart, A; Ward, RD</t>
  </si>
  <si>
    <t>Smith, Peter J.; Steinke, Dirk; McMillan, Peter; Stewart, Andrew; Ward, Robert D.</t>
  </si>
  <si>
    <t>DNA barcoding of morid cods reveals deep divergence in the antitropical Halargyreus johnsoni but little distinction between Antimora rostrata and Antimora microlepis</t>
  </si>
  <si>
    <t>MITOCHONDRIAL DNA</t>
  </si>
  <si>
    <t>Marine fish; Halargyreus; Antimora; COI; cryptic species</t>
  </si>
  <si>
    <t>NORTH-ATLANTIC; FISHES</t>
  </si>
  <si>
    <t>Background and aims: DNA barcoding strongly suggests that specimens of the slender codling (Halargyreus johnsonii) from New Zealand and Tasmania belong to a different species to H. johnsonii reported from other areas. Results: Sequence divergence between the two groups averaged 3.95%, much higher than within-group divergences of 0.03 and 0.02% for specimens, respectively, from New Zealand-Tasmania and from the North Pacific, Atlantic Ocean, and Southern Ocean. Conclusion: Meristic data for specimens from New Zealand and from the Southern Ocean north of the Ross Sea support the conclusion of two species. DNA barcodes for two sister taxa, Antimora rostrata and Antimora microlepis, show low intra-species (0.3-0.06%) and inter-species (0.23%) divergence.</t>
  </si>
  <si>
    <t>[Smith, Peter J.; McMillan, Peter] Natl Inst Water &amp; Atmospher Res Ltd, Wellington 6241, New Zealand; [Steinke, Dirk] Univ Guelph, Biodivers Inst Ontario, Canadian Ctr DNA Barcoding, Guelph, ON N1G 2W1, Canada; [Stewart, Andrew] Museum New Zealand Te Papa Tongarewa, Wellington 6011, New Zealand; [Ward, Robert D.] CSIRO Marine &amp; Atmospher Res, Wealth Oceans Flagship, Hobart, Tas 7001, Australia</t>
  </si>
  <si>
    <t>National Institute of Water &amp; Atmospheric Research (NIWA) - New Zealand; University of Guelph; Commonwealth Scientific &amp; Industrial Research Organisation (CSIRO)</t>
  </si>
  <si>
    <t>Smith, PJ (corresponding author), Natl Inst Water &amp; Atmospher Res Ltd, Private Bag 14901, Wellington 6241, New Zealand.</t>
  </si>
  <si>
    <t>p.smith@niwa.co.nz</t>
  </si>
  <si>
    <t>Ward, Robert D/A-2319-2012; Steinke, Dirk/D-4700-2009; Stewart, Andrew/HGC-0709-2022</t>
  </si>
  <si>
    <t>Steinke, Dirk/0000-0002-8992-575X; Stewart, Andrew/0000-0001-8354-3032</t>
  </si>
  <si>
    <t>New Zealand Government; Ministry of Fisheries [GDB200801]; Alfred P. Sloan Foundation; Genome Canada, through the Ontario Genomics Institute</t>
  </si>
  <si>
    <t>New Zealand Government; Ministry of Fisheries; Alfred P. Sloan Foundation(Alfred P. Sloan Foundation); Genome Canada, through the Ontario Genomics Institute(Genome Canada)</t>
  </si>
  <si>
    <t>New Zealand authors were supported by research funded by the New Zealand Government under the New Zealand International Polar Year-Census of Antarctic Marine Life Project, and by the Ministry of Fisheries (project GDB200801), and gratefully acknowledge the Ministry of Fisheries Science Team and Ocean Survey 20/20 CAML Advisory Group (Land Information New Zealand, Ministry of Fisheries, Antarctica New Zealand, Ministry of Foreign Affairs and Trade, and National Institute of Water and Atmospheric Research Ltd). D. S. was supported by funding from the Alfred P. Sloan Foundation to MarBOL and by Genome Canada, through the Ontario Genomics Institute.</t>
  </si>
  <si>
    <t>1940-1736</t>
  </si>
  <si>
    <t>1940-1744</t>
  </si>
  <si>
    <t>MITOCHONDR DNA</t>
  </si>
  <si>
    <t>Mitochondrial DNA</t>
  </si>
  <si>
    <t>10.3109/19401736.2010.532329</t>
  </si>
  <si>
    <t>Genetics &amp; Heredity</t>
  </si>
  <si>
    <t>831JJ</t>
  </si>
  <si>
    <t>WOS:000295726100005</t>
  </si>
  <si>
    <t>Hoffman, JI; Grant, SM; Forcada, J; Phillips, CD</t>
  </si>
  <si>
    <t>Hoffman, J. I.; Grant, S. M.; Forcada, J. .; Phillips, C. D.</t>
  </si>
  <si>
    <t>Bayesian inference of a historical bottleneck in a heavily exploited marine mammal</t>
  </si>
  <si>
    <t>Antarctic fur seal; Approximate Bayesian Computation (ABC); Bayesian Skyline Plot (BSP); bottleneck; conservation genetics; demographic history; heterozygosity excess; microsatellite; mtDNA; pinniped</t>
  </si>
  <si>
    <t>ANTARCTIC FUR SEALS; RECENT POPULATION BOTTLENECKS; ARCTOCEPHALUS-GAZELLA; MICROSATELLITE LOCI; MITOCHONDRIAL-DNA; TEMPORAL-CHANGES; ALLELE FREQUENCIES; GENETIC BOTTLENECK; COMPUTER-PROGRAM; MUTATION MODEL</t>
  </si>
  <si>
    <t>Emerging Bayesian analytical approaches offer increasingly sophisticated means of reconstructing historical population dynamics from genetic data, but have been little applied to scenarios involving demographic bottlenecks. Consequently, we analysed a large mitochondrial and microsatellite dataset from the Antarctic fur seal Arctocephalus gazella, a species subjected to one of the most extreme examples of uncontrolled exploitation in history when it was reduced to the brink of extinction by the sealing industry during the late eighteenth and nineteenth centuries. Classical bottleneck tests, which exploit the fact that rare alleles are rapidly lost during demographic reduction, yielded ambiguous results. In contrast, a strong signal of recent demographic decline was detected using both Bayesian skyline plots and Approximate Bayesian Computation, the latter also allowing derivation of posterior parameter estimates that were remarkably consistent with historical observations. This was achieved using only contemporary samples, further emphasizing the potential of Bayesian approaches to address important problems in conservation and evolutionary biology.</t>
  </si>
  <si>
    <t>[Hoffman, J. I.] Univ Bielefeld, Dept Anim Behav, D-33501 Bielefeld, Germany; [Grant, S. M.; Forcada, J. .] British Antarctic Survey, NERC, Cambridge CB3 0ET, England; [Phillips, C. D.] Texas Tech Univ, Dept Biol Sci, Lubbock, TX 79409 USA</t>
  </si>
  <si>
    <t>University of Bielefeld; UK Research &amp; Innovation (UKRI); Natural Environment Research Council (NERC); NERC British Antarctic Survey; Texas Tech University System; Texas Tech University</t>
  </si>
  <si>
    <t>Natural Environment Research Council; States of Jersey; Natural Environment Research Council [bas0100025] Funding Source: researchfish; NERC [bas0100025] Funding Source: UKRI</t>
  </si>
  <si>
    <t>Natural Environment Research Council(UK Research &amp; Innovation (UKRI)Natural Environment Research Council (NERC)); States of Jersey; Natural Environment Research Council(UK Research &amp; Innovation (UKRI)Natural Environment Research Council (NERC)); NERC(UK Research &amp; Innovation (UKRI)Natural Environment Research Council (NERC))</t>
  </si>
  <si>
    <t>We are extremely grateful to S. Poncet, D. Poncet, G. Robertson, C. Duck, E. Kraus and K. Cripps for collecting tissue samples from various sites around South Georgia, as well as D. Briggs, M. Jessop, K. Reid, R. Taylor, T. Walker and N. Warren for help with tissue sampling and logistical support at Bird Island. We also thank C. Garza for supplying us with an updated version of M_P_val, P. Fretwell for generating Fig. 1, R. Headland for advice on historical sealing records and K. Dasmahapatra and two anonymous referees for comments that helped improve the manuscript. This work was funded by a Natural Environment Research Council Strategic Alliance Fellowship awarded to JIH and a States of Jersey postgraduate scholarship awarded to SMG. Tissue samples were collected and retained under permits issued by the Department for Environment, Food and Rural Affairs and in accordance with the Convention on International Trade in Endangered Species of Wild Fauna and Flora. All field procedures were approved by the British Antarctic Survey (BAS). This work contributes to the BAS Dynamics and Management of Ocean Ecosystems (DYNAMOE) science programme.</t>
  </si>
  <si>
    <t>10.1111/j.1365-294X.2011.05248.x</t>
  </si>
  <si>
    <t>824VJ</t>
  </si>
  <si>
    <t>WOS:000295230000006</t>
  </si>
  <si>
    <t>Barnes, DKA; Souster, T</t>
  </si>
  <si>
    <t>Barnes, David K. A.; Souster, Terri</t>
  </si>
  <si>
    <t>Reduced survival of Antarctic benthos linked to climate-induced iceberg scouring</t>
  </si>
  <si>
    <t>NATURE CLIMATE CHANGE</t>
  </si>
  <si>
    <t>ICE; PENINSULA; VARIABILITY; COMMUNITY; GROWTH; IMPACT</t>
  </si>
  <si>
    <t>The West Antarctic Peninsula (WAP) is a hotspot of recent rapid regional warming and ice loss(1). The WAP sea surface freezes each winter to form a 'fast-ice' skin that can reduce iceberg drift and collisions between their keels and the sea bed, in what is termed scouring. Scouring disturbance is thus inversely correlated with fast-ice duration(2). We examined long-term records of fast ice, ice scour and mortality of benthos around Rothera research station (WAP) to determine whether there is a biological response from the sea bed coincident with fast-ice changes. Here we show that the duration of fast ice at Rothera has significantly decreased by &gt;5 d yr(-1) over 25 years and that this is strongly correlated with increased ice scour and mortality of benthos in the shallows. The number of experimental markers at Rothera crushed by iceberg scouring increased over the past decade. We found that survival of one of the most common shallow species(3), the bryozoan Fenestrulina rugula, is linked to ice-scour frequency and has markedly decreased over the past 12 years. The chance of colonies reaching two years old, the age at which they typically begin to sexually reproduce, has halved since 1997. These findings suggest that increased scouring of the sea bed has led to higher benthic mortality, with implications for the region's biodiversity.</t>
  </si>
  <si>
    <t>[Barnes, David K. A.; Souster, Terri] British Antarctic Survey, Nat Environm Res Council, Cambridge CB3 0ET, England</t>
  </si>
  <si>
    <t>Barnes, DKA (corresponding author), British Antarctic Survey, Nat Environm Res Council, Madingley Rd, Cambridge CB3 0ET, England.</t>
  </si>
  <si>
    <t>dkab@bas.ac.uk</t>
  </si>
  <si>
    <t>Souster, Terri/HJY-6034-2023</t>
  </si>
  <si>
    <t>Souster, Terri/0000-0002-7585-1999</t>
  </si>
  <si>
    <t>NERC [bas0100025, dml011000] Funding Source: UKRI; Natural Environment Research Council [dml011000, bas0100025] Funding Source: researchfish</t>
  </si>
  <si>
    <t>1758-678X</t>
  </si>
  <si>
    <t>NAT CLIM CHANGE</t>
  </si>
  <si>
    <t>Nat. Clim. Chang.</t>
  </si>
  <si>
    <t>10.1038/NCLIMATE1232</t>
  </si>
  <si>
    <t>Environmental Sciences; Environmental Studies; Meteorology &amp; Atmospheric Sciences</t>
  </si>
  <si>
    <t>836VG</t>
  </si>
  <si>
    <t>WOS:000296142400019</t>
  </si>
  <si>
    <t>Bokhorst, S; Huiskes, A; Convey, P; Sinclair, BJ; Lebouvier, M; Van de Vijver, B; Wall, DH</t>
  </si>
  <si>
    <t>Bokhorst, Stef; Huiskes, Ad; Convey, Peter; Sinclair, Brent J.; Lebouvier, Marc; Van de Vijver, Bart; Wall, Diana H.</t>
  </si>
  <si>
    <t>Microclimate impacts of passive warming methods in Antarctica: implications for climate change studies</t>
  </si>
  <si>
    <t>Antarctica; Climate change; Climate warming; Extreme event; Open top chamber; Passive warming chambers</t>
  </si>
  <si>
    <t>VASCULAR PLANTS; TERRESTRIAL INVERTEBRATES; NITROGEN MINERALIZATION; CRYPTOPYGUS-ANTARCTICUS; SOIL MICROARTHROPODS; ENVIRONMENTAL-CHANGE; DECOMPOSITION RATES; POLAR-REGIONS; ARCTIC TUNDRA; GLOBAL CHANGE</t>
  </si>
  <si>
    <t>Passive chambers are used to examine the impacts of summer warming in Antarctica but, so far, impacts occurring outside the growing season, or related to extreme temperatures, have not been reported, despite their potentially large biological significance. In this review, we synthesise and discuss the microclimate impacts of passive warming chambers (closed, ventilated and Open Top Chamber-OTC) commonly used in Antarctic terrestrial habitats, paying special attention to seasonal warming, during the growing season and outside, extreme temperatures and freeze-thaw events. Both temperature increases and decreases were recorded throughout the year. Closed chambers caused earlier spring soil thaw (8-28 days) while OTCs delayed soil thaw (3-13 days). Smaller closed chamber types recorded the largest temperature extremes (up to 20 degrees C higher than ambient) and longest periods (up to 11 h) of above ambient extreme temperatures, and even OTCs had above ambient temperature extremes over up to 5 consecutive hours. The frequency of freeze-thaw events was reduced by similar to 25%. All chamber types experienced extreme temperature ranges that could negatively affect biological responses, while warming during winter could result in depletion of limited metabolic resources. The effects outside the growing season could be as important in driving biological responses as the mean summer warming. We make suggestions for improving season-specific warming simulations and propose that seasonal and changed temperature patterns achieved under climate manipulations should be recognised explicitly in descriptions of treatment effects.</t>
  </si>
  <si>
    <t>[Bokhorst, Stef] Univ Sheffield, Dept Anim &amp; Plant Sci, Sheffield S10 2TN, S Yorkshire, England; [Huiskes, Ad] Netherlands Inst Ecol NIOO KNAW, Unit Polar Ecol, NL-4400 AC Yerseke, Netherlands; [Convey, Peter] British Antarctic Survey, Nat Environm Res Council, Cambridge CB3 0ET, England; [Sinclair, Brent J.] Univ Western Ontario, Dept Biol, London, ON N6A 5B7, Canada; [Lebouvier, Marc] Univ Rennes 1, UMR 6553 Ecobio CNRS, Biol Stn, F-35380 Paimpont, France; [Van de Vijver, Bart] Natl Bot Garden Belgium, Dept Cryptogamy Bryophyta &amp; Thallophyta, B-1860 Meise, Belgium; [Wall, Diana H.] Colorado State Univ, Dept Biol, Ft Collins, CO 80523 USA; [Wall, Diana H.] Colorado State Univ, Nat Resource Ecol Lab, Ft Collins, CO 80523 USA</t>
  </si>
  <si>
    <t>University of Sheffield; Royal Netherlands Academy of Arts &amp; Sciences; Netherlands Institute of Ecology (NIOO-KNAW); UK Research &amp; Innovation (UKRI); Natural Environment Research Council (NERC); NERC British Antarctic Survey; Western University (University of Western Ontario); Centre National de la Recherche Scientifique (CNRS); CNRS - Institute of Ecology &amp; Environment (INEE); Universite de Rennes; Colorado State University; Colorado State University</t>
  </si>
  <si>
    <t>Bokhorst, S (corresponding author), Univ Sheffield, Dept Anim &amp; Plant Sci, Sheffield S10 2TN, S Yorkshire, England.</t>
  </si>
  <si>
    <t>stefbokhorst@hotmail.com</t>
  </si>
  <si>
    <t>Bokhorst, Stef/D-1858-2009; Sinclair, Brent J/C-6133-2012; Convey, Peter/AAV-5728-2020; Wall, Diana H/F-5491-2011</t>
  </si>
  <si>
    <t>Convey, Peter/0000-0001-8497-9903; Bokhorst, Stef/0000-0003-0184-1162; Sinclair, Brent/0000-0002-8191-9910</t>
  </si>
  <si>
    <t>Netherlands Polar Programme [NPP-NWO 851.20.016]; BAS 'Polar Science for Planet Earth' core science programme, Antarctica, New Zealand; National Geographic Society's Committee for Research and Exploration; University of Otago; French Polar Institute [136, 405]; CNRS; NSF OPP; McMurdo LTER; NERC [bas0100025] Funding Source: UKRI; Natural Environment Research Council [bas0100025] Funding Source: researchfish</t>
  </si>
  <si>
    <t>Netherlands Polar Programme; BAS 'Polar Science for Planet Earth' core science programme, Antarctica, New Zealand; National Geographic Society's Committee for Research and Exploration(National Geographic Society); University of Otago; French Polar Institute; CNRS(Centre National de la Recherche Scientifique (CNRS)); NSF OPP(National Science Foundation (NSF)NSF - Directorate for Geosciences (GEO)); McMurdo LTER; NERC(UK Research &amp; Innovation (UKRI)Natural Environment Research Council (NERC)); Natural Environment Research Council(UK Research &amp; Innovation (UKRI)Natural Environment Research Council (NERC))</t>
  </si>
  <si>
    <t>This work is an output of the IPY project TARANTELLA (Rilland the Netherlands 2006). We thank these colleagues for their insights and access to data. Research was financially supported by the Netherlands Polar Programme (NPP-NWO 851.20.016), BAS 'Polar Science for Planet Earth' core science programme, Antarctica, New Zealand, the National Geographic Society's Committee for Research and Exploration, and the University of Otago, French Polar Institute (IPEV through Programmes 136 ECOBIO and 405 DIVCRO), the CNRS (Zone Atelier Recherche sur l'Environnement Antarctique et Subantarctique), the NSF OPP, and the McMurdo LTER. Thanks to many field assistants and David Wharton for support and discussion. Data from Signy and Alexander Island (closed and ventilated chambers) were provided by the British Antarctic Survey, Antarctic Microclimate Data (GB/NERC/BAS/AEDC/00002). This paper contributes to the SCAR 'Evolution and Biodiversity in Antarctica' scientific research programme.</t>
  </si>
  <si>
    <t>10.1007/s00300-011-0997-y</t>
  </si>
  <si>
    <t>WOS:000297202300001</t>
  </si>
  <si>
    <t>Xin, YJ; Kanagasabhapathy, M; Janussen, D; Xue, S; Zhang, W</t>
  </si>
  <si>
    <t>Xin, Yanjuan; Kanagasabhapathy, Manmadhan; Janussen, Dorte; Xue, Song; Zhang, Wei</t>
  </si>
  <si>
    <t>Phylogenetic diversity of Gram-positive bacteria cultured from Antarctic deep-sea sponges</t>
  </si>
  <si>
    <t>Gram-positive bacteria; PKS; Antarctic porifera; Siliceous sponges; 16S rRNA</t>
  </si>
  <si>
    <t>BARRIER-REEF SPONGE; ABYSSAL WEDDELL SEA; SOIL BACTERIA; PSEUDOCERATINA-CLAVATA; SELECTIVE ISOLATION; MARINE-SEDIMENTS; GENE-SEQUENCES; SOUTHERN-OCEAN; ACTINOBACTERIA; CULTIVATION</t>
  </si>
  <si>
    <t>Gram-positive bacteria, specifically actinobacteria and members of the order Bacillales, are well-known producers of important secondary metabolites. Little is known about the diversity of Gram-positive bacteria associated with Antarctic deep-sea sponges. In this study, cultivation-based approaches were applied to investigate the Gram-positive bacteria associated with the Antarctic sponges Rossella nuda, Rossella racovitzae (Porifera: Hexactinellida), and Myxilla mollis, Homaxinella balfourensis, Radiella antarctica (Porifera: Demospongiae). In total, 46 Gram-positive strains were cultured. Phylogenetic analysis revealed that 24 strains were affiliated with the Actinobacteria, including six genera Streptomyces, Nocardiopsis, Pseudonocardia, Dietzia, Brachybacterium, and Brevibacterium. The other 22 strains were affiliated with the Firmicutes, and among them two (V17-1 and V179-1) only shared 92-95% 16S rRNA gene sequence identity with the nearest type strain. To our knowledge, this is the first report on the isolation of strains belonging to genera Dietzia and Brevibacterium from Antarctic sponges. All of the 46 strains were PCR screened for genes encoding polyketide synthases (PKS), and a selection of 36 isolates were used in subsequent bioassay analyses. Eighty-eight percentage of the isolates that possess a PKS gene were active against at least one test organism. The study confirms the existence of diverse bacteria in Antarctic sponges and their potential for producing active compounds.</t>
  </si>
  <si>
    <t>[Xin, Yanjuan; Kanagasabhapathy, Manmadhan; Xue, Song; Zhang, Wei] Chinese Acad Sci, Dalian Inst Chem Phys, Marine Bioprod Engn Grp, Dalian 116023, Peoples R China; [Xin, Yanjuan] Chinese Acad Sci, Grad Sch, Beijing 100039, Peoples R China; [Zhang, Wei] Flinders Univ S Australia, Sch Med, Flinders Ctr Marine Bioproc &amp; Bioprod, Bedford Pk, SA 5042, Australia; [Zhang, Wei] Flinders Univ S Australia, Sch Med, Dept Med Biotechnol, Bedford Pk, SA 5042, Australia; [Janussen, Dorte] Senckenberg Res Inst, Sect Marine Invertebrates 1, D-60325 Frankfurt, Germany; [Janussen, Dorte] Natl Museum, D-60325 Frankfurt, Germany</t>
  </si>
  <si>
    <t>Chinese Academy of Sciences; Dalian Institute of Chemical Physics, CAS; Chinese Academy of Sciences; University of Chinese Academy of Sciences, CAS; Flinders University South Australia; Flinders University South Australia; Senckenberg Gesellschaft fur Naturforschung (SGN)</t>
  </si>
  <si>
    <t>Zhang, W (corresponding author), Chinese Acad Sci, Dalian Inst Chem Phys, Marine Bioprod Engn Grp, 457 Zhongshan Rd, Dalian 116023, Peoples R China.</t>
  </si>
  <si>
    <t>WeiZhang@dicp.ac.cn</t>
  </si>
  <si>
    <t>刘, 巍巍/E-5526-2016; Zhang, Wei/AAJ-9925-2020</t>
  </si>
  <si>
    <t>Zhang, Wei/0000-0002-5111-4097</t>
  </si>
  <si>
    <t>Deutsche Forschungsgemeinschaft (DFG) [JA 1063/14-1, JA 1063/14-2]</t>
  </si>
  <si>
    <t>Deutsche Forschungsgemeinschaft (DFG)(German Research Foundation (DFG))</t>
  </si>
  <si>
    <t>DJ thanks the Deutsche Forschungsgemeinschaft (DFG) for financial support to her research project on the Phylogeny and diversification history of Antarctic Porifera (JA 1063/14-1, 2).</t>
  </si>
  <si>
    <t>10.1007/s00300-011-1009-y</t>
  </si>
  <si>
    <t>WOS:000297202300008</t>
  </si>
  <si>
    <t>Krishnan, A; Alias, SA; Wong, CMVL; Pang, KL; Convey, P</t>
  </si>
  <si>
    <t>Krishnan, Abiramy; Alias, Siti Aisyah; Wong, Clemente Michael Vui Ling; Pang, Ka-Lai; Convey, Peter</t>
  </si>
  <si>
    <t>Extracellular hydrolase enzyme production by soil fungi from King George Island, Antarctica</t>
  </si>
  <si>
    <t>Warcup soil plating method; Extracellular enzymes; Psychrophilic; Psychrotolerant; Screening</t>
  </si>
  <si>
    <t>COLD; ECOSYSTEMS; PROTEASE; GROWTH</t>
  </si>
  <si>
    <t>Various microbial groups are well known to produce a range of extracellular enzymes and other secondary metabolites. However, the occurrence and importance of investment in such activities have received relatively limited attention in studies of Antarctic soil microbiota. In order to examine extracellular enzyme production in this chronically low-temperature environment, fungi were isolated from ornithogenic, pristine and human-impacted soils collected from the Fildes Peninsula, King George Island, Antarctica during the austral summer in February 2007. Twenty-eight isolates of psychrophilic and psychrotolerant fungi were obtained and screened at a culture temperature of 4 degrees C for activity of extracellular hydrolase enzymes (amylase, cellulase, protease), using R2A agar plates supplemented with (a) starch for amylase activity, (b) carboxymethyl cellulose and trypan blue for cellulase activity or (c) skim milk for protease activity. Sixteen isolates showed activity for amylase, 23 for cellulase and 21 for protease. One isolate showed significant activity across all three enzyme types, and a further 10 isolates showed significant activity for at least two of the enzymes. No clear associations were apparent between the fungal taxa isolated and the type of source soil, or in the balance of production of different extracellular enzymes between the different soil habitats sampled. Investment in extracellular enzyme production is clearly an important element of the survival strategy of these fungi in maritime Antarctic soils.</t>
  </si>
  <si>
    <t>[Krishnan, Abiramy; Alias, Siti Aisyah] Univ Malaya, Fac Sci, Inst Biol Sci, Kuala Lumpur 50603, Malaysia; [Wong, Clemente Michael Vui Ling] Univ Malaysia Sabah, Biotechnol Res Inst, Kota Kinabalu 88400, Sabah, Malaysia; [Pang, Ka-Lai] Natl Taiwan Ocean Univ, Inst Marine Biol, Chilung 20224, Taiwan; [Convey, Peter] British Antarctic Survey, Cambridge CB3 0ET, England</t>
  </si>
  <si>
    <t>Universiti Malaya; Universiti Malaysia Sabah; National Taiwan Ocean University; UK Research &amp; Innovation (UKRI); Natural Environment Research Council (NERC); NERC British Antarctic Survey</t>
  </si>
  <si>
    <t>Alias, SA (corresponding author), Univ Malaya, Fac Sci, Inst Biol Sci, Kuala Lumpur 50603, Malaysia.</t>
  </si>
  <si>
    <t>saa@um.edu.my</t>
  </si>
  <si>
    <t>FASc, SITI AISYAH A. HJ ALIAS/B-9785-2010; Krishnan, Abiramy/AAH-5411-2020; Pang, Ka-Lai/ABF-8500-2020; Convey, Peter/AAV-5728-2020; Wong, Clemente Michael Vui Ling/M-8372-2013</t>
  </si>
  <si>
    <t>FASc, SITI AISYAH A. HJ ALIAS/0000-0002-6759-5745; Pang, Ka-Lai/0000-0003-4403-925X; Convey, Peter/0000-0001-8497-9903; Wong, Clemente Michael Vui Ling/0000-0003-3431-8896</t>
  </si>
  <si>
    <t>Malaysian Antarctica Research Program; University of Malaya; Academy of Sciences Malaysia [PS175/2008, PS253/2009C]; Natural Environment Research Council [bas0100025] Funding Source: researchfish; NERC [bas0100025] Funding Source: UKRI</t>
  </si>
  <si>
    <t>Malaysian Antarctica Research Program; University of Malaya(Universiti Malaya); Academy of Sciences Malaysia; Natural Environment Research Council(UK Research &amp; Innovation (UKRI)Natural Environment Research Council (NERC)); NERC(UK Research &amp; Innovation (UKRI)Natural Environment Research Council (NERC))</t>
  </si>
  <si>
    <t>We thank the Malaysian Antarctica Research Program and the University of Malaya for support and the provision of research facilities, the Academy of Sciences Malaysia, Postgraduate Research Fund PS175/2008 and PS253/2009C, and the Instituto Antarctico Chileno for logistics and support of the fieldwork. We thank M. Bolter, A.J.S. Whalley and anonymous reviewers for helpful and constructive comments on earlier manuscript versions. Figure 1a was provided by P. Fretwell of the BAS Mapping and Geographic Information Centre. PC is a member of the BAS core 'Polar Science for Planet Earth' programme. This paper also contributes to the SCAR 'Evolution and Biodiversity in Antarctica' research programme.</t>
  </si>
  <si>
    <t>10.1007/s00300-011-1012-3</t>
  </si>
  <si>
    <t>WOS:000297202300011</t>
  </si>
  <si>
    <t>Casaux, R; Bertolin, ML; Carlini, A</t>
  </si>
  <si>
    <t>Casaux, R.; Bertolin, M. L.; Carlini, A.</t>
  </si>
  <si>
    <t>Feeding habits of three seal species at the Danco Coast, Antarctica: a re-assessment</t>
  </si>
  <si>
    <t>Prey overlap; Antarctic seals; Diet composition; Antarctic Peninsula</t>
  </si>
  <si>
    <t>SOUTH SHETLAND ISLANDS; FUR SEALS; ARCTOCEPHALUS-GAZELLA; LEPTONYCHOTES-WEDDELLII; DIET; PREY; PENINSULA; LEOPARD</t>
  </si>
  <si>
    <t>The analysis of prey overlap among Weddell, Antarctic fur and leopard seals was conducted using fecal samples collected at the Danco Coast, Antarctic Peninsula, in 1998 and 2000. The re-occurrence of prey species was moderate in samples collected in 1998, and low in 2000, and reflects resource partitioning among seal species. Prey species that mostly co-occurred in seals' diet were the Antarctic krill Euphausia superba, bivalves, and the myctophids Gymnoscopelus nicholsi and Electrona antarctica. A dietary similarity index of prey overlap has been calculated and demonstrates evident fluctuations in pairwise comparisons between the seal species. The highest and lowest values of prey overlap were observed between Antarctic fur seals and leopard seals, and between Weddell seals and leopard seals, respectively. Prey overlap between Antarctic fur seals and Weddell seals was moderate in both seasons.</t>
  </si>
  <si>
    <t>[Casaux, R.; Bertolin, M. L.; Carlini, A.] Inst Antartico Argentino, RA-1010 Buenos Aires, DF, Argentina; [Casaux, R.; Bertolin, M. L.] Consejo Nacl Invest Cient &amp; Tecn CONICET, RA-1033 Buenos Aires, DF, Argentina</t>
  </si>
  <si>
    <t>Instituto Antartico Argentino; Consejo Nacional de Investigaciones Cientificas y Tecnicas (CONICET)</t>
  </si>
  <si>
    <t>Casaux, R (corresponding author), Inst Antartico Argentino, Cerrito 1248, RA-1010 Buenos Aires, DF, Argentina.</t>
  </si>
  <si>
    <t>rcasaux@dna.gov.ar</t>
  </si>
  <si>
    <t>10.1007/s00300-011-0994-1</t>
  </si>
  <si>
    <t>WOS:000297202300019</t>
  </si>
  <si>
    <t>Barbosa, A; Benzal, J; Vidal, V; D'Amico, V; Coria, N; Diaz, J; Motas, M; Palacios, MJ; Cuervo, JJ; Ortiz, J; Chitimia, L</t>
  </si>
  <si>
    <t>Barbosa, Andres; Benzal, Jesus; Vidal, Virginia; D'Amico, Veronica; Coria, Nestor; Diaz, Julia; Motas, Miguel; Jose Palacios, Maria; Javier Cuervo, Jose; Ortiz, Juana; Chitimia, Lidia</t>
  </si>
  <si>
    <t>Seabird ticks (Ixodes uriae) distribution along the Antarctic Peninsula</t>
  </si>
  <si>
    <t>Antarctic Peninsula; Distribution; Ixodes uriae; Penguins; Ticks; South Shetlands</t>
  </si>
  <si>
    <t>PENGUIN APTENODYTES-PATAGONICUS; LYME-DISEASE; HYPERINFESTATION; INFESTATION; KITTIWAKE; ABUNDANCE; COLONIES; VECTOR; CYCLE</t>
  </si>
  <si>
    <t>The distribution of the tick Ixodes uriae is studied in the South Shetlands and different locations along the Antarctic Peninsula. Ticks were found beneath stones close to penguin rookeries of chinstrap, gentoo and adelie penguin, although no individuals were found parasitized. Our results showed that ticks are not distributed evenly along the Antarctic Peninsula being more common and abundant in the northern part with relative abundances of ticks ranging from 1 to 57 individuals per stone and from 2 to 26% of the stone inspected. Ticks are probably absent in the south.</t>
  </si>
  <si>
    <t>[Barbosa, Andres] Museo Nacl Ciencias Nat, CSIC, Dept Ecol Evolut, Madrid 28006, Spain; [Benzal, Jesus; Jose Palacios, Maria; Javier Cuervo, Jose] CSIC, Dept Ecol Func &amp; Evolut, Estac Expt Zonas Aridas, La Canada De San Urbano 04120, Almeria, Spain; [Vidal, Virginia; Ortiz, Juana; Chitimia, Lidia] Univ Murcia, Dept Parasitol, Fac Vet, Murcia, Spain; [D'Amico, Veronica] Consejo Nacl Invest Cient &amp; Tecn, Ctr Nacl Patagon, Puerto Madryn, Chubut, Argentina; [Coria, Nestor] Inst Antrtico Argentino, Dept Aves Marinas, Buenos Aires, DF, Argentina; [Diaz, Julia] Univ Nacl La Plata, CONICET, Ctr Estudios Parasitol &amp; Vectores, Buenos Aires, DF, Argentina; [Motas, Miguel] Univ Murcia, Fac Vet, Dept Toxicol, E-30100 Murcia, Spain; [Chitimia, Lidia] Inst Diag &amp; Anim Hlth, Bucharest 050557, Romania</t>
  </si>
  <si>
    <t>Consejo Superior de Investigaciones Cientificas (CSIC); CSIC - Museo Nacional de Ciencias Naturales (MNCN); Consejo Superior de Investigaciones Cientificas (CSIC); CSIC - Estacion Experimental de Zonas Aridas (EEZA); University of Murcia; Consejo Nacional de Investigaciones Cientificas y Tecnicas (CONICET); Centro Nacional Patagonico (CENPAT); National University of La Plata; Consejo Nacional de Investigaciones Cientificas y Tecnicas (CONICET); University of Murcia</t>
  </si>
  <si>
    <t>Barbosa, A (corresponding author), Museo Nacl Ciencias Nat, CSIC, Dept Ecol Evolut, C Jose Gutierrez Abascal 2, Madrid 28006, Spain.</t>
  </si>
  <si>
    <t>barbosa@mncn.csic.es</t>
  </si>
  <si>
    <t>Ortiz, Juana/AAA-4874-2019; Benzal, Jesús/T-4555-2017; Cuervo, José Javier/K-1646-2014; Barbosa, Andrés/C-3208-2008; Motas, Miguel/L-3061-2014</t>
  </si>
  <si>
    <t>Ortiz, Juana/0000-0002-0889-2985; Cuervo, José Javier/0000-0001-7943-7835; Barbosa, Andrés/0000-0001-8434-3649; Motas Guzman, Miguel/0000-0002-2229-7779; Chitimia-Dobler, Lidia/0000-0001-8544-1945</t>
  </si>
  <si>
    <t>Spanish Ministry of Science and Innovation [CGL2004-01348, POL2006-05175, POL2006-06635, CGL2007-60369, BES2005-8465]; European Regional Development Fund; Spanish Council for Scientific Research [JAEPre08-01053]</t>
  </si>
  <si>
    <t>Spanish Ministry of Science and Innovation(Spanish Government); European Regional Development Fund(European Union (EU)); Spanish Council for Scientific Research(Spanish Government)</t>
  </si>
  <si>
    <t>This study was funded by the Spanish Ministry of Science and Innovation projects CGL2004-01348, POL2006-05175, POL2006-06635, CGL2007-60369 and by the European Regional Development Fund. MJP was supported by a PhD grant from the Spanish Ministry of Science and Innovation (BES2005-8465). VV was supported by a PhD grant from the Spanish Council for Scientific Research (JAEPre08-01053). We thank the Spanish Antarctic base Gabriel de Castilla, the Argentinean Antarctic base Teniente Jubany, the Spanish polar ship Las Palmas and the Maritime Logistic Unit (CSIC) for logistic support and transport. Permission to work in the study area was given by the Spanish Polar Committee. This is a contribution to the International Polar Year project 172 BIRD-HEALTH and to PINGUCLIM project. We thank an anonymous referee for helpful suggestions on an early version of this manuscript.</t>
  </si>
  <si>
    <t>10.1007/s00300-011-1000-7</t>
  </si>
  <si>
    <t>WOS:000297202300020</t>
  </si>
  <si>
    <t>Burton, R</t>
  </si>
  <si>
    <t>Burton, Robert</t>
  </si>
  <si>
    <t>The meridian transit beacons: a Shackleton legacy on South Georgia</t>
  </si>
  <si>
    <t>The construction and history of meridian transit beacons erected by members of the Imperial Trans-Antarctic Expedition at King Edward Cove, South Georgia, in 1914 are described.</t>
  </si>
  <si>
    <t>Hemingford Abbots, Huntingdon PE28 9AW, England</t>
  </si>
  <si>
    <t>Burton, R (corresponding author), Hemingford Abbots, 63 Common Lane, Huntingdon PE28 9AW, England.</t>
  </si>
  <si>
    <t>robert@burton41.co.uk</t>
  </si>
  <si>
    <t>10.1017/S003224741100009X</t>
  </si>
  <si>
    <t>WOS:000295364900008</t>
  </si>
  <si>
    <t>Delanoë, J; Hogan, RJ; Forbes, RM; Bodas-Salcedo, A; Stein, THM</t>
  </si>
  <si>
    <t>Delanoe, Julien; Hogan, Robin J.; Forbes, Richard M.; Bodas-Salcedo, Alejandro; Stein, Thorwald H. M.</t>
  </si>
  <si>
    <t>Evaluation of ice cloud representation in the ECMWF and UK Met Office models using CloudSat and CALIPSO data</t>
  </si>
  <si>
    <t>model comparison; A-Train; ice cloud properties</t>
  </si>
  <si>
    <t>WATER-CONTENT; RADAR REFLECTIVITY; SCHEME; LIDAR; RETRIEVALS; PARAMETERIZATION; TEMPERATURE; FRACTION; MISSION</t>
  </si>
  <si>
    <t>Ice cloud representation in general circulation models remains a challenging task, due to the lack of accurate observations and the complexity of microphysical processes. In this article, we evaluate the ice water content (IWC) and ice cloud fraction statistical distributions from the numerical weather prediction models of the European Centre for Medium-Range Weather Forecasts (ECMWF) and the UK Met Office, exploiting the synergy between the CloudSat radar and CALIPSO lidar. Using the last three weeks of July 2006, we analyse the global ice cloud occurrence as a function of temperature and latitude and show that the models capture the main geographical and temperature-dependent distributions, but overestimate the ice cloud occurrence in the Tropics in the temperature range from -60 degrees C to -20 degrees C and in the Antarctic for temperatures higher than -20 degrees C, but underestimate ice cloud occurrence at very low temperatures. A global statistical comparison of the occurrence of grid-box mean IWC at different temperatures shows that both the mean and range of IWC increases with increasing temperature. Globally, the models capture most of the IWC variability in the temperature range between -60 degrees C and -5 degrees C, and also reproduce the observed latitudinal dependencies in the IWC distribution due to different meteorological regimes. Two versions of the ECMWF model are assessed. The recent operational version with a diagnostic representation of precipitating snow and mixed-phase ice cloud fails to represent the IWC distribution in the -20 degrees C to 0 degrees C range, but a new version with prognostic variables for liquid water, ice and snow is much closer to the observed distribution. The comparison of models and observations provides a much-needed analysis of the vertical distribution of IWC across the globe, highlighting the ability of the models to reproduce much of the observed variability as well as the deficiencies where further improvements are required. Copyright (C) 2011 Royal Meteorological Society and British Crown Copyright, the Met Office</t>
  </si>
  <si>
    <t>[Delanoe, Julien] CNRS, UVSQ, LATMOS, IPSL, F-78280 Guyancourt, France; [Delanoe, Julien; Hogan, Robin J.; Stein, Thorwald H. M.] Univ Reading, Dept Meteorol, Reading, Berks, England; [Forbes, Richard M.] European Ctr Medium Range Weather Forecasts, Reading RG2 9AX, Berks, England; [Bodas-Salcedo, Alejandro] Met Off, Exeter, Devon, England</t>
  </si>
  <si>
    <t>Centre National de la Recherche Scientifique (CNRS); Universite Paris Cite; Sorbonne Universite; Universite Paris Saclay; University of Reading; European Centre for Medium-Range Weather Forecasts (ECMWF); Met Office - UK</t>
  </si>
  <si>
    <t>Delanoë, J (corresponding author), CNRS, UVSQ, LATMOS, IPSL, 11 Blvd Alembert, F-78280 Guyancourt, France.</t>
  </si>
  <si>
    <t>julien.delanoe@latmos.ipsl.fr</t>
  </si>
  <si>
    <t>Stein, Thorwald/G-4740-2012; Hogan, Robin/M-6549-2016</t>
  </si>
  <si>
    <t>Stein, Thorwald/0000-0002-9215-5397; Bodas-Salcedo, Alejandro/0000-0002-7890-2536; Hogan, Robin/0000-0002-3180-5157</t>
  </si>
  <si>
    <t>NERC [NE/C5196971, NE/H003894/1]; DECC/Defra [GA01101]; NERC [NE/H003894/1, earth010002] Funding Source: UKRI; Natural Environment Research Council [earth010002, NE/H003894/1] Funding Source: researchfish</t>
  </si>
  <si>
    <t>NERC(UK Research &amp; Innovation (UKRI)Natural Environment Research Council (NERC)); DECC/Defra(Department for Environment, Food &amp; Rural Affairs (DEFRA)); NERC(UK Research &amp; Innovation (UKRI)Natural Environment Research Council (NERC)); Natural Environment Research Council(UK Research &amp; Innovation (UKRI)Natural Environment Research Council (NERC))</t>
  </si>
  <si>
    <t>This work was supported by NERC grants NE/C5196971 and NE/H003894/1. Dr A. Bodas-Salcedo was supported by the joint DECC and Defra Integrated Climate Programme, DECC/Defra (GA01101). Data were provided by NASA/CNES. We thank the ICARE Data and Services Center for providing access to the data used in this study, and for providing data processing.</t>
  </si>
  <si>
    <t>1477-870X</t>
  </si>
  <si>
    <t>10.1002/qj.882</t>
  </si>
  <si>
    <t>866OA</t>
  </si>
  <si>
    <t>WOS:000298389300012</t>
  </si>
  <si>
    <t>Klauenberg, K; Blackwell, PG; Buck, CE; Mulvaney, R; Röthlisberger, R; Wolff, EW</t>
  </si>
  <si>
    <t>Klauenberg, Katy; Blackwell, Paul G.; Buck, Caitlin E.; Mulvaney, Robert; Roethlisberger, Regine; Wolff, Eric W.</t>
  </si>
  <si>
    <t>Bayesian Glaciological Modelling to quantify uncertainties in ice core chronologies</t>
  </si>
  <si>
    <t>Ice core chronology; Glaciological modelling; Accumulation model; Layer counting; Volcanic eruptions; Automatic weather station; Dyer; (Dating) uncertainty; Bayesian approach; Prior information; Likelihood; Posterior distribution; (Hierarchical) linear modelling</t>
  </si>
  <si>
    <t>EAST ANTARCTICA; STABLE-ISOTOPES; BYRD-STATION; GREENLAND; DOME; SNOW; FIRN; GRIP</t>
  </si>
  <si>
    <t>Valuable information about the environment and climate of the past is preserved in ice cores which are drilled through ice sheets in polar and alpine regions. A pivotal part of interpreting the information held within the cores is to build ice core chronologies i.e. to relate time to depth. Existing dating methods can be categorised as follows: (1) layer counting using the seasonality in signals, (2) glaciological modelling describing processes such as snow accumulation and plastic deformation of ice, (3) comparison with other dated records, or (4) any combination of these. Conventionally, implementation of these approaches does not use statistical methods. In order to quantify dating uncertainties, in this paper we develop the approach of category (2) further. First, the sources of uncertainty involved in glaciological models are formalised. Feeding these into a statistical framework, that we call Bayesian Glaciological Modelling (BGM), allows us to demonstrate the effect that uncertainty in the glaciological model has on the chronology. BGM may also include additional information to constrain the resulting chronology, for example from layer counting or other dated records such as traces from volcanic eruptions. Our case study involves applying BGM to date an Antarctic ice core (a Dyer plateau core). Working through this example allows us to emphasise the importance of properly assessing uncertain elements in order to arrive at accurate chronologies, including valid dating uncertainties. Valid dating uncertainties, in turn, facilitate the interpretation of environmental and climatic conditions at the location of the ice core as well as the comparison and development of ice core chronologies from different locations. (C) 2011 Elsevier Ltd. All rights reserved.</t>
  </si>
  <si>
    <t>[Klauenberg, Katy; Blackwell, Paul G.; Buck, Caitlin E.] Univ Sheffield, Sch Math &amp; Stat, Sheffield S10 2TN, S Yorkshire, England; [Klauenberg, Katy] PTB, D-10587 Berlin, Germany; [Mulvaney, Robert; Roethlisberger, Regine; Wolff, Eric W.] British Antarctic Survey, Cambridge CB3 0ET, England; [Roethlisberger, Regine] Fed Off Environm, Bern, Switzerland</t>
  </si>
  <si>
    <t>University of Sheffield; Physikalisch-Technische Bundesanstalt (PTB); UK Research &amp; Innovation (UKRI); Natural Environment Research Council (NERC); NERC British Antarctic Survey</t>
  </si>
  <si>
    <t>Klauenberg, K (corresponding author), Abbestr 2-12, D-10587 Berlin, Germany.</t>
  </si>
  <si>
    <t>Katy.Klauenberg@Ptb.de</t>
  </si>
  <si>
    <t>Klauenberg, Katy/M-2528-2019; Blackwell, Paul/F-2885-2017; Wolff, Eric W/D-7925-2014; Klauenberg, Katy/A-1397-2011; Mulvaney, Robert/K-3929-2012</t>
  </si>
  <si>
    <t>Klauenberg, Katy/0000-0003-0746-3107; Wolff, Eric W/0000-0002-5914-8531; Buck, Caitlin Elisabeth/0000-0002-0872-9504; Mulvaney, Robert/0000-0002-5372-8148</t>
  </si>
  <si>
    <t>British Antarctic Survey, Cambridge, UK [BCF/CACHE/STAT]; University of Sheffield, UK [BCF/CACHE/STAT]; NERC [bas0100024] Funding Source: UKRI; Natural Environment Research Council [bas0100024] Funding Source: researchfish</t>
  </si>
  <si>
    <t>British Antarctic Survey, Cambridge, UK; University of Sheffield, UK; NERC(UK Research &amp; Innovation (UKRI)Natural Environment Research Council (NERC)); Natural Environment Research Council(UK Research &amp; Innovation (UKRI)Natural Environment Research Council (NERC))</t>
  </si>
  <si>
    <t>This work was funded by contract BCF/CACHE/STAT between the British Antarctic Survey, Cambridge, UK and the University of Sheffield, UK.</t>
  </si>
  <si>
    <t>10.1016/j.quascirev.2011.03.008</t>
  </si>
  <si>
    <t>830NK</t>
  </si>
  <si>
    <t>WOS:000295663500007</t>
  </si>
  <si>
    <t>Watcham, EP; Bentley, MJ; Hodgson, DA; Roberts, SJ; Fretwell, PT; Lloyd, JM; Larter, RD; Whitehouse, PL; Leng, MJ; Monien, P; Moreton, SG</t>
  </si>
  <si>
    <t>Watcham, E. P.; Bentley, M. J.; Hodgson, D. A.; Roberts, S. J.; Fretwell, P. T.; Lloyd, J. M.; Larter, R. D.; Whitehouse, P. L.; Leng, M. J.; Monien, P.; Moreton, S. G.</t>
  </si>
  <si>
    <t>A new Holocene relative sea level curve for the South Shetland Islands, Antarctica</t>
  </si>
  <si>
    <t>Relative sea level change; Antarctica; Isolation basins; South Shetland Islands; Glacial isostatic adjustment</t>
  </si>
  <si>
    <t>KING-GEORGE-ISLAND; TERRA-NOVA BAY; VICTORIA LAND; C/N RATIOS; PALEOSALINITY INDICATORS; GLACIAL HISTORY; LARSEMANN HILLS; PENGUIN ROOKERY; DIATOM FLORA; PENINSULA</t>
  </si>
  <si>
    <t>Precise relative sea level (RSL) data are important for inferring regional ice sheet histories, as well as helping to validate numerical models of ice sheet evolution and glacial isostatic adjustment. Here we develop a new RSL curve for Fildes Peninsula, South Shetland Islands (SSIs), a sub-Antarctic archipelago peripheral to the northern Antarctic Peninsula ice sheet, by integrating sedimentary evidence from isolation basins with geomorphological evidence from raised beaches. This combined approach yields not only a Holocene RSL curve, but also the spatial pattern of how RSL change varied across the archipelago. The curve shows a mid-Holocene RSL highstand on Fildes Peninsula at 15.5 m above mean sea level between 8000 and 7000 cal a BR Subsequently RSL gradually fell as a consequence of isostatic uplift in response to regional deglaciation. We propose that isostatic uplift occurred at a non-steady rate, with a temporary pause in ice retreat ca. 7200 cal a BP, leading to a short-lived RSL rise of similar to 1 m and forming a second peak to the mid-Holocene highstand. Two independent approaches were taken to constrain the long-term tectonic uplift rate of the SSIs at 0.22-0.48 m/ka, placing the tectonic contribution to the reconstructed RSL highstand between 1.4 and 2.9 m. Finally, we make comparisons to predictions from three global sea level models. (C) 2011 Elsevier Ltd. All rights reserved.</t>
  </si>
  <si>
    <t>[Watcham, E. P.; Bentley, M. J.; Lloyd, J. M.; Whitehouse, P. L.] Univ Durham, Dept Geog, Sci Labs, Durham DH1 3LE, England; [Bentley, M. J.; Hodgson, D. A.; Roberts, S. J.; Fretwell, P. T.; Larter, R. D.] British Antarctic Survey, Cambridge CB3 0ET, England; [Leng, M. J.] British Geol Survey, NERC Isotope Geosci Lab, Nottingham NG12 5GG, England; [Monien, P.] Carl von Ossietzky Univ Oldenburg, Inst Chem &amp; Biol Marine Environm, Dept Microbiogeochem, D-26111 Oldenburg, Germany; [Moreton, S. G.] NERC Radiocarbon Facil, Glasgow G75 0QF, Lanark, Scotland</t>
  </si>
  <si>
    <t>Durham University; UK Research &amp; Innovation (UKRI); Natural Environment Research Council (NERC); NERC British Antarctic Survey; UK Research &amp; Innovation (UKRI); Natural Environment Research Council (NERC); NERC British Geological Survey; Carl von Ossietzky Universitat Oldenburg; UK Research &amp; Innovation (UKRI); Natural Environment Research Council (NERC); NERC British Geological Survey</t>
  </si>
  <si>
    <t>Watcham, EP (corresponding author), Univ Durham, Dept Geog, Sci Labs, South Rd, Durham DH1 3LE, England.</t>
  </si>
  <si>
    <t>e.p.watcham@durham.ac.uk</t>
  </si>
  <si>
    <t>Facility, NERC Geophysical Equipment/G-5260-2010; Hocking, Emma/K-8292-2013; Moreton, Steven G/C-2373-2009; Bentley, Michael J/F-7386-2011; Hocking, Emma/Q-6241-2019; Monien, Patrick/K-8338-2017</t>
  </si>
  <si>
    <t>Hocking, Emma/0000-0002-8925-1695; Moreton, Steven G/0000-0002-8030-2433; Bentley, Michael J/0000-0002-2048-0019; Hocking, Emma/0000-0002-8925-1695; Monien, Patrick/0000-0002-4000-5362; Leng, Melanie/0000-0003-1115-5166; Whitehouse, Pippa/0000-0002-9092-3444; Roberts, Stephen/0000-0003-3407-9127; Larter, Robert/0000-0002-8414-7389</t>
  </si>
  <si>
    <t>Natural Environment Research Council (NERC); BAS Collaborative Fund; NERC [bas0100027, NRCF010001, bas0100024, nigl010001] Funding Source: UKRI; Natural Environment Research Council [nigl010001, bas0100024, bas0100027, NRCF010001] Funding Source: researchfish</t>
  </si>
  <si>
    <t>Natural Environment Research Council (NERC)(UK Research &amp; Innovation (UKRI)Natural Environment Research Council (NERC)); BAS Collaborative Fund; NERC(UK Research &amp; Innovation (UKRI)Natural Environment Research Council (NERC)); Natural Environment Research Council(UK Research &amp; Innovation (UKRI)Natural Environment Research Council (NERC))</t>
  </si>
  <si>
    <t>This project was funded by the Natural Environment Research Council (NERC) through the British Antarctic Survey (BAS), with EPW in receipt of a BAS Collaborative Fund studentship. Thanks to Bruce Maltmann and Liz Homer who assisted in the field, and the Captain and crew of HMS Endurance and BAS Field Operations staff for their invaluable logistic support. We are grateful for the generous hospitality from several nations and their stations in the SSIs, particularly to the Chinese Great Wall Station. We gratefully acknowledge Sheng Xu at the SUERC AMS Radiocarbon Facility and Beta Analytic for providing the radiocarbon dates, the NERC Geophysical Equipment Pool for the loan of the Leica GPS equipment, and Philippe Huybrechts for the use of his ice sheet model.</t>
  </si>
  <si>
    <t>10.1016/j.quascirev.2011.07.021</t>
  </si>
  <si>
    <t>WOS:000295663500021</t>
  </si>
  <si>
    <t>Bengtsson, L; Hodges, KI; Koumoutsaris, S; Zahn, M; Keenlyside, N</t>
  </si>
  <si>
    <t>Bengtsson, Lennart; Hodges, Kevin I.; Koumoutsaris, Symeon; Zahn, Matthias; Keenlyside, Noel</t>
  </si>
  <si>
    <t>The changing atmospheric water cycle in Polar Regions in a warmer climate</t>
  </si>
  <si>
    <t>HYDROLOGICAL CYCLE; MOISTURE BUDGET; NET TRANSPORT; STORM TRACKS; ARCTIC BASIN; LATENT-HEAT; REANALYSIS; ERA-40; VAPOR</t>
  </si>
  <si>
    <t>We have examined the atmospheric water cycle of both Polar Regions, polewards of 60 degrees N and 60 degrees S, using the ERA-Interim reanalysis and high-resolution simulations with the ECHAM5 model for both the present and future climate based on the IPCC, A1B scenario. The annual precipitation in ERA-Interim amounts to similar to 17000 km(3) and is more or less the same in the Arctic and the Antarctic, but it is composed differently. In the Arctic the annual evaporation is similar to 8000 km(3) but similar to 3000 km(3) less in the Antarctica where the net horizontal transport is correspondingly larger. The net water transport of the model is more intense than in ERA-Interim, in the Arctic the difference is 2.5% and in the Antarctic it is 6.2%. Precipitation and net horizontal transport in the Arctic has a maximum in August and September. Evaporation peaks in June and July. The seasonal cycle is similar in Antarctica with the highest precipitation in the austral autumn. The largest net transport occurs at the end of the major extra-tropical storm tracks in the Northern Hemisphere such as the eastern Pacific and eastern north Atlantic. The variability of the model is virtually identical to that of the re-analysis and there are no changes in variability between the present climate and the climate at the end of the 21st century when normalized with the higher level of moisture. The changes from year to year are substantial with the 20- and 30-year records being generally too short to identify robust trends in the hydrological cycle. In the A1B climate scenario the strength of the water cycle increases by some 25% in the Arctic and by 19% in the Antarctica, as measured by annual precipitation. The increase in the net horizontal transport is 29% and 22%, respectively, and the increase in evaporation correspondingly less. The net transport follows closely the Clausius-Clapeyron relation. There is a minor change in the annual cycle of the Arctic atmospheric water cycle with the maximum transport and precipitation occurring later in the year. There is a small imbalance of some 4-6% between the net transport and precipitation minus evaporation. We suggest that this is mainly due to the fact that the transport is calculated from instantaneous six hourly data while precipitation and evaporation is accumulated over a 6-h period. The residual difference is proportionally similar for all experiments and hardly varies from year to year.</t>
  </si>
  <si>
    <t>[Bengtsson, Lennart; Hodges, Kevin I.; Zahn, Matthias] Univ Reading, NERC Ctr Earth Observat NCEO, Reading RG6 6AL, Berks, England; [Bengtsson, Lennart; Koumoutsaris, Symeon] Int Space Sci Inst ISSI, CH-3012 Bern, Switzerland; [Keenlyside, Noel] IFM GEOMAR, Leibniz Inst Marine Sci, D-24105 Kiel, Germany</t>
  </si>
  <si>
    <t>UK Research &amp; Innovation (UKRI); Natural Environment Research Council (NERC); NERC National Centre for Earth Observation; University of Reading; Helmholtz Association; GEOMAR Helmholtz Center for Ocean Research Kiel</t>
  </si>
  <si>
    <t>Bengtsson, L (corresponding author), Univ Reading, NERC Ctr Earth Observat NCEO, POB 238, Reading RG6 6AL, Berks, England.</t>
  </si>
  <si>
    <t>lennart.bengtsson@zmaw.de</t>
  </si>
  <si>
    <t>Keenlyside, Noel S/E-8303-2013</t>
  </si>
  <si>
    <t>Keenlyside, Noel S/0000-0002-8708-6868; Zahn, Matthias/0000-0003-0137-2853</t>
  </si>
  <si>
    <t>NERC [earth010005, NE/G015708/1] Funding Source: UKRI; Natural Environment Research Council [earth010005, NE/G015708/1] Funding Source: researchfish</t>
  </si>
  <si>
    <t>Tellus Ser. A-Dyn. Meteorol. Oceanol.</t>
  </si>
  <si>
    <t>10.1111/j.1600-0870.2011.00534.x</t>
  </si>
  <si>
    <t>Green Accepted, hybrid</t>
  </si>
  <si>
    <t>WOS:000295466600006</t>
  </si>
  <si>
    <t>Polanowski, AM; Schmitt, NT; Double, MC; Gales, NJ; Jarman, SN</t>
  </si>
  <si>
    <t>Polanowski, A. M.; Schmitt, N. T.; Double, M. C.; Gales, N. J.; Jarman, S. N.</t>
  </si>
  <si>
    <t>TaqMan assays for genotyping 45 single nucleotide polymorphisms in the humpback whale nuclear genome</t>
  </si>
  <si>
    <t>CONSERVATION GENETICS RESOURCES</t>
  </si>
  <si>
    <t>Whale; SNP; Genotype; Population</t>
  </si>
  <si>
    <t>The humpback whale, Megaptera novaeangliae, migrates along coastal routes between high latitude summer feeding areas and low latitude winter breeding areas in both hemispheres. The coastal migrations and frequent surfacing behaviour make it easy to take biopsy samples from its skin and blubber and it is consequently the most intensely studied of the great whales. Microsatellite markers have been developed for population genetics and kinship studies of this species, but these show poor genotyping reproducibility among laboratories and scientists. We describe 45 TaqMan(A (R)) single nucleotide polymorphism markers for a highly reproducable alternative genotyping system for M. novaeangliae.</t>
  </si>
  <si>
    <t>[Polanowski, A. M.; Schmitt, N. T.; Double, M. C.; Gales, N. J.; Jarman, S. N.] Australian Marine Mammal Ctr, Australian Antarctic Div, Kingston, Tas 7050, Australia</t>
  </si>
  <si>
    <t>Jarman, SN (corresponding author), Australian Marine Mammal Ctr, Australian Antarctic Div, 203 Channel Highway, Kingston, Tas 7050, Australia.</t>
  </si>
  <si>
    <t>simon.jarman@aad.gov.au</t>
  </si>
  <si>
    <t>; Jarman, Simon/H-9265-2016</t>
  </si>
  <si>
    <t>Polanowski, Andrea/0000-0002-9612-220X; Jarman, Simon/0000-0002-0792-9686</t>
  </si>
  <si>
    <t>1877-7252</t>
  </si>
  <si>
    <t>1877-7260</t>
  </si>
  <si>
    <t>CONSERV GENET RESOUR</t>
  </si>
  <si>
    <t>Conserv. Genet. Resour.</t>
  </si>
  <si>
    <t>10.1007/s12686-011-9424-5</t>
  </si>
  <si>
    <t>817NX</t>
  </si>
  <si>
    <t>WOS:000294682100012</t>
  </si>
  <si>
    <t>Ceballos, SG; Victorio, MF; Lyra, ML; Fernández, DA</t>
  </si>
  <si>
    <t>Ceballos, S. G.; Victorio, M. F.; Lyra, M. L.; Fernandez, D. A.</t>
  </si>
  <si>
    <t>Isolation and characterization of ten microsatellite loci from the Patagonian notothenioid fish Eleginops maclovinus</t>
  </si>
  <si>
    <t>Eleginops maclovinus; Enriched genomic library; Microsatellite; Polymorphic loci; Robalo</t>
  </si>
  <si>
    <t>VALENCIENNES; VALDIVIA</t>
  </si>
  <si>
    <t>Eleginops maclovinus, the Patagonian blennie, is a notothenioid (Perciformes) endemic to South American temperate and sub-Antarctic waters. Here, we report ten polymorphic microsatellite loci isolated from a dinucleotide-enriched E. maclovinus genomic library. Among 48 individuals, the number of alleles per locus ranged from eight to 41, and the observed and expected heterozygosity ranged from 0.688 to 0.938 and from 0.695 to 0.968, respectively. No locus significantly deviated from Hardy-Weinberg equilibrium, and no significant linkage disequilibrium between pairs of loci was found. These polymorphic microsatellite loci will be useful for investigating genetic population structure and connectivity among natural populations.</t>
  </si>
  <si>
    <t>[Ceballos, S. G.; Victorio, M. F.; Fernandez, D. A.] CADIC, RA-9410 Ushuaia, Tierra Fuego, Argentina; [Lyra, M. L.] Univ Estadual Paulista, Dept Zool, Inst Biociencias, BR-13506900 Sao Paulo, Brazil</t>
  </si>
  <si>
    <t>Universidade de Sao Paulo; Universidade Estadual Paulista</t>
  </si>
  <si>
    <t>Ceballos, SG (corresponding author), CADIC, Bernardo A Houssay 200, RA-9410 Ushuaia, Tierra Fuego, Argentina.</t>
  </si>
  <si>
    <t>sgceballos@gmail.com</t>
  </si>
  <si>
    <t>Lyra, Mariana Lucio/O-6405-2014</t>
  </si>
  <si>
    <t>Lyra, Mariana Lucio/0000-0002-7863-4965; Fernandez, Daniel Alfredo/0000-0002-3367-4138</t>
  </si>
  <si>
    <t>Agencia Nacional de Promocion Cientifica y Tecnologica [PICT906]; Proyectos Federales de Innovacion Productiva [1622/07]</t>
  </si>
  <si>
    <t>Agencia Nacional de Promocion Cientifica y Tecnologica(ANPCyTSpanish Government); Proyectos Federales de Innovacion Productiva</t>
  </si>
  <si>
    <t>This work was made possible by Ceballos's participation in the course Microssatelites para estudos geneticos de eucariotos: um curso teorico e practico at the Universidad de Campinas (UNICAMP) San Pablo, Brasil, in February 2009, and was founded by grants from the Agencia Nacional de Promocion Cientifica y Tecnologica (PICT906) and Proyectos Federales de Innovacion Productiva 2007 (1622/07). We thank Anete Pereira de Souza and Gustavo Mori from UNICAMP and Alejandor D'Anatro and Enrique Lessa from Universidad de la Republica, Montevideo, Ururguay, for their constant technical support and advice.</t>
  </si>
  <si>
    <t>10.1007/s12686-011-9434-3</t>
  </si>
  <si>
    <t>WOS:000294682100022</t>
  </si>
  <si>
    <t>Zakharov, YD; Shigeta, Y; Nagendra, R; Safronov, PP; Smyshlyaeva, OP; Popov, AM; Velivetskaya, TA; Afanasyeva, TB</t>
  </si>
  <si>
    <t>Zakharov, Yuri D.; Shigeta, Yasunari; Nagendra, Raghavendramurthy; Safronov, Peter P.; Smyshlyaeva, Olga P.; Popov, Alexander M.; Velivetskaya, Tatiana A.; Afanasyeva, Tamara B.</t>
  </si>
  <si>
    <t>Cretaceous climate oscillations in the southern palaeolatitudes: New stable isotope evidence from India and Madagascar</t>
  </si>
  <si>
    <t>Cretaceous; Oxygen isotopes; Carbon isotopes; Seasonal palaeotemperatures; Invertebrates; India; Madagascar</t>
  </si>
  <si>
    <t>JAMES-ROSS-ISLAND; CAUVERY-BASIN; OXYGEN-ISOTOPE; NAUTILUS-POMPILIUS; BELEMNITE ROSTRA; HIGH-LATITUDES; PALEOTEMPERATURES; STRATIGRAPHY; BIOSTRATIGRAPHY; RECONSTRUCTIONS</t>
  </si>
  <si>
    <t>Palaeotemperatures for the Cretaceous of India and Madagascar have been determined on the basis of oxygen isotopic analysis of well-preserved Albian belemnite rostra and Maastrichtian bivalve shells of from the Trichinopoly district, southern India, and Albian nautiloid and ammonoid cephalopods from the Mahajang Province, Madagascar. The Albian (possibly late Albian) palaeotemperatures for Trichinopoly district are inferred to range from 14.9 degrees C to 18.5 degrees C for the epipelagic zone, and from 14.3 degrees C to 15.9 degrees C for the mesopelagic zone, based on analyses of 65 samples; isotopic palaeotemperatures interpreted as summer and winter values for near-bottom shelf waters in this area fluctuate from 16.3 to 18.5 degrees C and from 14.9 to 16.1 degrees C, respectively. The mentioned palaeotemperatures are very similar to those calculated from isotopic composition of middle Albian belemnites of the middle latitude area of Pas-de-Calais in Northern hemisphere but significantly higher than those calculated from isotopic composition of Albian belemnites from southern Argentina and the Antarctic and middle Albian belemnites of Australia located within the warm-temperate climatic zone. Isotopic analysis of early Albian cephalopods from Madagascar shows somewhat higher palaeotemperatures for summer near-bottom shelf waters in this area (20.2-21.6 degrees C) in comparison with late Albian palaeotemperatures calculated from southern India fossils, but similar winter values (13.3-16.4 degrees C); however, the latter values are somewhat higher than those calculated from early Albian ammonoids of the tropical subtropical climatic zone of the high latitude area of southern Alaska and the Koryak Upland. The new isotopic palaeotemperature data suggest that southern India and Madagascar were located apparently in middle latitudes (within the tropical subtropical climatic zone) during Albian time. In contrast to the Albian fossils, isotope results of well-preserved early Maastrichtian bivalve shells from the Ariyalur Group. Trichinopoly district, are characterised by lower delta O-18 values (up to 5.8 parts per thousand) but normal delta C-13 values, which might be a result local freshwater input into the marine environment. Our data suggest that the early Maastrichtian palaeotemperature of the southern Indian near-bottom shelf waters was probably about 21.2 degrees C, and that this middle latitude region continued to be a part of tropical subtropical climatic zone, but with tendency of increasing of humidity at the end of Cretaceous time. (C) 2011 Elsevier Ltd. All rights reserved.</t>
  </si>
  <si>
    <t>[Zakharov, Yuri D.; Safronov, Peter P.; Smyshlyaeva, Olga P.; Popov, Alexander M.; Velivetskaya, Tatiana A.; Afanasyeva, Tamara B.] Russian Acad Sci, Far Eastern Geol Inst, Far Eastern Branch, Vladivostok 690022, Russia; [Shigeta, Yasunari] Natl Museum Nat &amp; Sci, Shinjuku Ku, Tokyo 1690073, Japan; [Nagendra, Raghavendramurthy] Anna Univ, Dept Geol, Chennai 600025, Tamil Nadu, India</t>
  </si>
  <si>
    <t>Russian Academy of Sciences; National Museum of Nature and Science; Anna University; Anna University Chennai</t>
  </si>
  <si>
    <t>Zakharov, YD (corresponding author), Russian Acad Sci, Far Eastern Geol Inst, Far Eastern Branch, Stoletiya Prospect 159, Vladivostok 690022, Russia.</t>
  </si>
  <si>
    <t>yurizakh@mail.ru; shigeta@kahaku.go.jp; geonag@hotmail.com</t>
  </si>
  <si>
    <t>Velivetskaya, Tatiana/ABD-2143-2020; Nagendra, Raghavendramurthy/ABG-7796-2021</t>
  </si>
  <si>
    <t>RFBR [09-III-A-08-402]</t>
  </si>
  <si>
    <t>RFBR(Russian Foundation for Basic Research (RFBR))</t>
  </si>
  <si>
    <t>Our cordial thanks are due to Prof. Vivi Vajda (Lund University, Sweden) and Prof. Malcolm B. Hart (Plymouth University, UK) for providing valuable editorial comments, Dr. Sunil Bajapai (Indian Institute of Technology, India) and Dr. James Hendry (University of Portsmouth, UK) and anonymous reviewer for stimulating remarks that substantially improved this paper and Dr. Larisa Doguzhaeva (Swedish Museum of Natural History, Sweden) for help in finding references. This work is a contribution to UNESCO-IUGS IGCP Project 555 and financially supported by the Russian grant RFBR (09-III-A-08-402).</t>
  </si>
  <si>
    <t>1095-998X</t>
  </si>
  <si>
    <t>10.1016/j.cretres.2011.04.007</t>
  </si>
  <si>
    <t>813UT</t>
  </si>
  <si>
    <t>WOS:000294396400007</t>
  </si>
  <si>
    <t>Khare, N; Govil, P; Kumar, P; Mazumder, A; Chopra, S; Pattanaik, JK; Balakrishnan, S; Roonwal, GS</t>
  </si>
  <si>
    <t>Khare, N.; Govil, P.; Kumar, Pankaj; Mazumder, A.; Chopra, S.; Pattanaik, J. K.; Balakrishnan, S.; Roonwal, G. S.</t>
  </si>
  <si>
    <t>10Be as paleoclimatic tracer: initial results from south western Indian Ocean sediments</t>
  </si>
  <si>
    <t>Be-10; AMS; South western Indian Ocean; Palaeoclimate</t>
  </si>
  <si>
    <t>DEEP-SEA SEDIMENTS; MARINE-SEDIMENTS; ICE CORE; GREENLAND; RECORDS; BASIN</t>
  </si>
  <si>
    <t>The variations in the concentration of Be-10 in the core (SK 200/23) from south western Indian Ocean apparently illuminate past levels of Be-10. The level in the core where lower concentration of Be-10 (1.01 x 10(9) atoms/g) is encountered during the Late Holocene is not at tandem with the Late Holocene southern hemisphere temperature variation. The results further suggest that during last glacial maxima (LGM) the Be-10 concentration is higher (2.67 x 10(9) atoms/g) than the Late Holocene values. The present results, though preliminary, show that local bottom topography seems to have influenced the Be-10 concentration at core site. Many studies from different geographic regions need to be undertaken before we finally consider Be-10 as yet another strong proxy for palaeoclimatic reconstructions.</t>
  </si>
  <si>
    <t>[Khare, N.] Minist Earth Sci, New Delhi 110003, India; [Govil, P.; Mazumder, A.] Natl Ctr Antarctic &amp; Ocean Res, Vasco Da Gama 403804, Goa, India; [Kumar, Pankaj; Chopra, S.; Roonwal, G. S.] Interuniv Accelerator Ctr, New Delhi 110067, India; [Pattanaik, J. K.; Balakrishnan, S.] Pondicherry Univ, Dept Earth Sci, Pondicherry 605014, India</t>
  </si>
  <si>
    <t>Ministry of Earth Sciences (MoES) - India; Ministry of Earth Sciences (MoES) - India; National Centre for Polar and Ocean Research (NCPOR); Inter-University Accelerator Centre; Pondicherry University</t>
  </si>
  <si>
    <t>Khare, N (corresponding author), Minist Earth Sci, Block 12,CGO Complex,Lodhi Rd, New Delhi 110003, India.</t>
  </si>
  <si>
    <t>nkhare45@gmail.com</t>
  </si>
  <si>
    <t>Pattanaik, Jitendra Kumar/AHD-0074-2022; Kumar, Pankaj/M-8612-2015; Kumar, Pankaj/AAD-2135-2019; Srinivasan, Balakrishnan/E-3283-2018</t>
  </si>
  <si>
    <t>Pattanaik, Jitendra Kumar/0000-0002-3147-129X; Kumar, Pankaj/0000-0001-7050-582X; Kumar, Pankaj/0000-0001-7050-582X; Srinivasan, Balakrishnan/0000-0002-1586-8617; Mazumder, Abhijit/0000-0001-9944-5306</t>
  </si>
  <si>
    <t>Ministry of Earth Sciences, Govt. of India; Pondicherry University; IUAC-New Delhi; IISER-Kolkata; NCAOR-Goa</t>
  </si>
  <si>
    <t>Ministry of Earth Sciences, Govt. of India; Pondicherry University(Pondicherry University); IUAC-New Delhi; IISER-Kolkata; NCAOR-Goa</t>
  </si>
  <si>
    <t>Authors are grateful to the Secretary, Ministry of Earth Sciences, Govt. of India, Vice Chancellor, Pondicherry University, Director, IUAC-New Delhi, Director, IISER-Kolkata and Director, NCAOR-Goa for their support in the present study.</t>
  </si>
  <si>
    <t>10.1007/s10967-011-1218-4</t>
  </si>
  <si>
    <t>815OZ</t>
  </si>
  <si>
    <t>WOS:000294536200033</t>
  </si>
  <si>
    <t>Wang, W; Wang, F; Ji, XF; Liu, SH; Yuan, C; Sun, M</t>
  </si>
  <si>
    <t>Wang, Wei; Wang, Fang; Ji, Xiaofeng; Liu, Shanhong; Yuan, Cui; Sun, Mi</t>
  </si>
  <si>
    <t>Cloning and characterization of a psychrophilic catalase gene from an antarctic bacterium</t>
  </si>
  <si>
    <t>AFRICAN JOURNAL OF MICROBIOLOGY RESEARCH</t>
  </si>
  <si>
    <t>Antarctic Bacillus; monofunctional catalase; cold-adapted enzymes; gene cloning</t>
  </si>
  <si>
    <t>INITIATION; EXPRESSION; EVOLUTION; BACILLUS</t>
  </si>
  <si>
    <t>The gene of psychrophilic catalase BNC from Antarctic Bacillus sp. N2a was cloned by degenerate PCR and inverse PCR. BNC gene revealed a 1,461 bp open reading frame for a protein with 486 amino acids. The phylogenetic tree based on the amino acid sequences of BNC and representative psychrophilic microbial catalases manifested that BNC belonged to the Group III of the monofunctional catalase. The active-site residues of the structure-determined catalase were highly conserved in BNC. Comparison of the amino acid composition of BNC with its mesophilic homologue from Bacillus subtilis TE124 showed that BNC had properties of a cold-active enzyme.</t>
  </si>
  <si>
    <t>[Wang, Wei; Wang, Fang; Ji, Xiaofeng; Liu, Shanhong; Yuan, Cui; Sun, Mi] Yellow Sea Fisheries Res Inst, Marine Prod Resource &amp; Enzyme Engn Lab, Qingdao 266071, Shandong, Peoples R China</t>
  </si>
  <si>
    <t>Chinese Academy of Fishery Sciences; Yellow Sea Fisheries Research Institute, CAFS</t>
  </si>
  <si>
    <t>Sun, M (corresponding author), Yellow Sea Fisheries Res Inst, Marine Prod Resource &amp; Enzyme Engn Lab, 106 Nanjing Rd, Qingdao 266071, Shandong, Peoples R China.</t>
  </si>
  <si>
    <t>sunmi0532@yahoo.com</t>
  </si>
  <si>
    <t>wangwangwang, yuanyaunyuan/HHN-6432-2022</t>
  </si>
  <si>
    <t>National Natural Science Foundation of China [41006119]; Special Funds for the Basic R &amp; D Program in the Central Non-profit Research Institutes [2010-gy-01]; National High Technology Research and Development Program of China [2011AA090703]</t>
  </si>
  <si>
    <t>National Natural Science Foundation of China(National Natural Science Foundation of China (NSFC)); Special Funds for the Basic R &amp; D Program in the Central Non-profit Research Institutes; National High Technology Research and Development Program of China(National High Technology Research and Development Program of China)</t>
  </si>
  <si>
    <t>This work is supported by the National Natural Science Foundation of China (41006119), Special Funds for the Basic R &amp; D Program in the Central Non-profit Research Institutes (2010-gy-01) and the National High Technology Research and Development Program of China (2011AA090703).</t>
  </si>
  <si>
    <t>ACADEMIC JOURNALS</t>
  </si>
  <si>
    <t>VICTORIA ISLAND</t>
  </si>
  <si>
    <t>P O BOX 5170-00200 NAIROBI, VICTORIA ISLAND, LAGOS 73023, NIGERIA</t>
  </si>
  <si>
    <t>1996-0808</t>
  </si>
  <si>
    <t>AFR J MICROBIOL RES</t>
  </si>
  <si>
    <t>Afr. J. Microbiol. Res.</t>
  </si>
  <si>
    <t>SEP 30</t>
  </si>
  <si>
    <t>873ZU</t>
  </si>
  <si>
    <t>WOS:000298925600016</t>
  </si>
  <si>
    <t>Boelen, P; de Poll, WHV; van der Strate, HJ; Neven, IA; Beardall, J; Buma, AGJ</t>
  </si>
  <si>
    <t>Boelen, Peter; de Poll, Willem H. van; van der Strate, Han J.; Neven, Ika A.; Beardall, John; Buma, Anita G. J.</t>
  </si>
  <si>
    <t>Neither elevated nor reduced CO2 affects the photophysiological performance of the marine Antarctic diatom Chaetoceros brevis</t>
  </si>
  <si>
    <t>Climate change; Dynamic irradiance; Phytoplankton; Southern Ocean; Vertical mixing; Xanthophyll cycling</t>
  </si>
  <si>
    <t>CONCENTRATING MECHANISMS; CARBON ACQUISITION; EMILIANIA-HUXLEYI; GROWTH-RATE; PHYTOPLANKTON; OCEAN; PHOTOSYNTHESIS; RUBISCO; PHOTOACCLIMATION; PHOTOADAPTATION</t>
  </si>
  <si>
    <t>Enhanced or reduced pCO(2) (partial pressure of CO2) may affect the photosynthetic performance of marine microalgae since changes in pCO(2) can influence the activity of carbon concentrating mechanisms, modulate cellular RuBisCO levels or alter carbon uptake efficiency. In the present study we compared the photophysiology of the Antarctic diatom Chaetoceros brevis at two pCO(2) extremes: 750 ppmv (2x ambient) and 190 ppmv (0.5x ambient) CO2. Cultures were acclimated to four irradiance regimes: two regimes simulating deep or shallow vertical mixing, and two regimes mimicking limiting and saturating stable water column conditions. Then, growth rate, pigmentation, RuBisCO large subunit expression. RuBisCO activity, photosynthesis vs irradiance curves, effective quantum yield of PSII (F-v/F-m), and POC were measured. The four irradiance regimes induced a suite of photophysiological responses, ranging from low light acclimation to efficient photoprotection. Growth was reduced under the low constant and the deep mixing regime, compared to the shallow mixing and the stable saturating regime. Low stable irradiance resulted in higher light harvesting pigment concentrations, lower RuBisCO activity and a lower light saturation point (E-k) compared to the other irradiance regimes. Highest RuBisCO activity as well as P-max levels was measured in the shallow mixing regime, which received the highest total daily light dose. Photoprotection by xanthophyll cycling was observed under all irradiance regimes except the low stable irradiance regime, and xanthophyll cycle pool sizes were higher under the dynamic irradiance regimes. For the fluctuating irradiance regimes. E-v/E-m was hardly affected by previous excess irradiance exposure, suggesting minimal PSII damage. No significant differences between the two pCO(2) levels were found, with respect to growth, pigment content and composition, photosynthesis, photoprotection and RuBisCO activity, for all four irradiance regimes. Thus, within the range tested, pCO(2) does not significantly affect the photophysiological performance of C. brevis. (C) 2011 Elsevier B.V. All rights reserved.</t>
  </si>
  <si>
    <t>[Boelen, Peter; de Poll, Willem H. van; van der Strate, Han J.; Buma, Anita G. J.] Univ Groningen, ESRIG, Dept Ocean Ecosyst, NL-9700 CC Groningen, Netherlands; [Neven, Ika A.] Univ Groningen, CEES, Dept Plant Physiol, NL-9700 CC Groningen, Netherlands; [Beardall, John] Monash Univ, Sch Biol Sci, Clayton, Vic 3800, Australia</t>
  </si>
  <si>
    <t>University of Groningen; University of Groningen; Monash University</t>
  </si>
  <si>
    <t>Boelen, P (corresponding author), Univ Groningen, ESRIG, Dept Ocean Ecosyst, POB 11103, NL-9700 CC Groningen, Netherlands.</t>
  </si>
  <si>
    <t>p.boelen@rug.nl</t>
  </si>
  <si>
    <t>Buma, Anita GJ/E-8372-2015; Beardall, John/L-5262-2019</t>
  </si>
  <si>
    <t>Beardall, John/0000-0001-7684-446X; Boelen, Peter/0000-0001-7023-4986; van de Poll, Willem/0000-0003-4095-4338</t>
  </si>
  <si>
    <t>Dutch Council for Scientific Research [851.20.031]</t>
  </si>
  <si>
    <t>Dutch Council for Scientific Research(Netherlands Organization for Scientific Research (NWO))</t>
  </si>
  <si>
    <t>We thank Astrid Hoogstraten, Jacqueline Stefels and Ronald J.W. Visser for constructive suggestions and technical support. This work was funded by the Dutch Council for Scientific Research (Dutch Polar Program grant number 851.20.031). [SS]</t>
  </si>
  <si>
    <t>10.1016/j.jembe.2011.06.012</t>
  </si>
  <si>
    <t>810DI</t>
  </si>
  <si>
    <t>WOS:000294105200006</t>
  </si>
  <si>
    <t>Yu, LJ; Zhang, ZH; Zhou, MY; Zhong, SY; Lenschow, DH; Gao, ZQ; Wu, HD; Li, N; Sun, B</t>
  </si>
  <si>
    <t>Yu, Lejiang; Zhang, Zhanhai; Zhou, Mingyu; Zhong, Shiyuan; Lenschow, Donald H.; Gao, Zhiqiu; Wu, Huiding; Li, Na; Sun, Bo</t>
  </si>
  <si>
    <t>Interpretation of recent trends in Antarctic sea ice concentration</t>
  </si>
  <si>
    <t>JOURNAL OF APPLIED REMOTE SENSING</t>
  </si>
  <si>
    <t>Antarctic sea ice; Antarctic Oscillation; the Pacific-South American mode; El Nino-Southern Oscillation; variational trend; teleconnection</t>
  </si>
  <si>
    <t>SOUTHERN-OCEAN; VARIABILITY; ANOMALIES</t>
  </si>
  <si>
    <t>We investigate seasonal trends in sea ice concentration and the relative contributions of the Antarctic Oscillation (AAO), the Pacific-South American two modes (PSA1 and PSA2), and the El Nino-Southern Oscillation (ENSO). The summer range of the trend in the Antarctic sea ice is the largest, from -83.8% to 59.6% per 29 yr over the period of 1979 through 2007, while the autumn range is the least, from -49.7% to 39.6% per 29 yr for the period of 1979 through 2007. In autumn, among the four indices the largest contribution to the trend in sea ice is the AAO; in winter the ENSO and the PSA1 are better than the other two indices; during spring and summer a change of more than 15% per 29 yr is associated with PSA1. No matter the season, the spatial pattern of the residual trend is similar to that of the total trend; moreover, the combined trends of the four indices only explains less than one-third of the total trend. (C) 2011 Society of Photo-Optical Instrumentation Engineers (SPIE). [DOI: 10.1117/1.3643691]</t>
  </si>
  <si>
    <t>[Yu, Lejiang] Nanjing Univ Informat Sci &amp; Technol, Appl Hydrometeorol Res Inst, Nanjing 210044, Peoples R China; [Yu, Lejiang; Zhang, Zhanhai; Zhou, Mingyu; Wu, Huiding; Li, Na; Sun, Bo] Polar Res Inst China, Shanghai 200136, Peoples R China; [Zhong, Shiyuan] Michigan State Univ, E Lansing, MI 48824 USA; [Lenschow, Donald H.] Natl Ctr Atmospher Res, Boulder, CO 80305 USA; [Gao, Zhiqiu] Chinese Acad Sci, Inst Atmospher Phys, Beijing 100029, Peoples R China</t>
  </si>
  <si>
    <t>Nanjing University of Information Science &amp; Technology; Polar Research Institute of China; Michigan State University; National Center Atmospheric Research (NCAR) - USA; Chinese Academy of Sciences; Institute of Atmospheric Physics, CAS</t>
  </si>
  <si>
    <t>Yu, LJ (corresponding author), Nanjing Univ Informat Sci &amp; Technol, Appl Hydrometeorol Res Inst, Nanjing 210044, Peoples R China.</t>
  </si>
  <si>
    <t>yulegiang@gmail.com</t>
  </si>
  <si>
    <t>LIU, JIALIN/JXN-8034-2024; LAPC, IAP/AAI-6991-2020; sun, bo/JFA-9978-2023; Gao, Zhiqiu/AAJ-6362-2020</t>
  </si>
  <si>
    <t>LAPC, IAP/0000-0002-0025-3484; Gao, Zhiqiu/0000-0001-8256-005X; LENSCHOW, DONALD/0000-0003-4353-0098</t>
  </si>
  <si>
    <t>National Natural Science Foundation of China [40233032-40640420556, 41106164, 40706015]; Polar Science Strategy Research Foundation of China [20080218]; National High-Tech Research and Development Program of China (863 Plan) [2008AA09Z117]; Ministry of Science and Technology of China [2006BAB18B03, 2006BAB18B05]; National Science Foundation</t>
  </si>
  <si>
    <t>National Natural Science Foundation of China(National Natural Science Foundation of China (NSFC)); Polar Science Strategy Research Foundation of China; National High-Tech Research and Development Program of China (863 Plan)(National High Technology Research and Development Program of China); Ministry of Science and Technology of China(Ministry of Science and Technology, China); National Science Foundation(National Science Foundation (NSF))</t>
  </si>
  <si>
    <t>This study was supported by the National Natural Science Foundation of China (40233032-40640420556, 41106164 and 40706015), Polar Science Strategy Research Foundation of China (20080218), National High-Tech Research and Development Program of China (863 Plan) (2008AA09Z117), and Ministry of Science and Technology of China (2006BAB18B03 and 2006BAB18B05). The National Center for Atmospheric Research is sponsored by the National Science Foundation.</t>
  </si>
  <si>
    <t>SPIE-SOC PHOTO-OPTICAL INSTRUMENTATION ENGINEERS</t>
  </si>
  <si>
    <t>1000 20TH ST, PO BOX 10, BELLINGHAM, WA 98225 USA</t>
  </si>
  <si>
    <t>1931-3195</t>
  </si>
  <si>
    <t>J APPL REMOTE SENS</t>
  </si>
  <si>
    <t>J. Appl. Remote Sens.</t>
  </si>
  <si>
    <t>SEP 29</t>
  </si>
  <si>
    <t>10.1117/1.3643691</t>
  </si>
  <si>
    <t>Environmental Sciences; Remote Sensing; Imaging Science &amp; Photographic Technology</t>
  </si>
  <si>
    <t>Environmental Sciences &amp; Ecology; Remote Sensing; Imaging Science &amp; Photographic Technology</t>
  </si>
  <si>
    <t>841YX</t>
  </si>
  <si>
    <t>WOS:000296552200002</t>
  </si>
  <si>
    <t>Golledge, NR; Levy, RH</t>
  </si>
  <si>
    <t>Golledge, N. R.; Levy, R. H.</t>
  </si>
  <si>
    <t>Geometry and dynamics of an East Antarctic Ice Sheet outlet glacier, under past and present climates</t>
  </si>
  <si>
    <t>PLIOCENE SEA-LEVEL; ROSS EMBAYMENT; TAYLOR-DOME; WEST ANTARCTICA; SURFACE SLOPE; MCMURDO SOUND; WRIGHT VALLEY; MASS-BALANCE; NEW-ZEALAND; MODEL</t>
  </si>
  <si>
    <t>The behavior of East Antarctic Ice Sheet (EAIS) outlet glaciers both at present and during the recent geological past is of considerable interest both from the point of view of understanding the mechanics of contemporary glacier dynamics, and also with regard to epoch-scale ice sheet stability during Plio-Pleistocene climate transitions. Here we use a glacier flowline model that incorporates the effects of longitudinal stresses to numerically simulate Ferrar Glacier, first under present-day environmental conditions, and subsequently under both colder and warmer climate regimes representing the Last Glacial Maximum (LGM) and mid-Pliocene peak warmth respectively. Using airborne radar profiles, InSAR-derived surface velocities, ice core and geological data for empirical constraint, we present a diagnostic simulation that uses an iterative method to closely reproduce observed dynamics. Our model suggests that the glacier is largely cold-based under present conditions, flows predominantly by way of internal deformation, and 'cascades' over bedrock ridges due to the combined action of changes in cross-sectional valley geometry, local steepening of the glacier surface, and the non-local effects of longitudinal coupling. Time-dependent (evolutionary) simulation of a lower-profile glacier under a colder, drier, LGM climate, predicts flow velocities lower than present with minimal bedrock erosion or basal till flux. Conversely, the warmer-than-present mid-Pliocene climate produces a more dynamic glacier that is warm-based and sliding along much of its bed. We propose that EAIS outlet glaciers, such as the Ferrar, respond dynamically along their length in response to changing environmental forcings, with most significant changes taking place in their lower reaches. Adjustment to perturbations in upper catchments is more muted.</t>
  </si>
  <si>
    <t>[Golledge, N. R.] Victoria Univ Wellington, Antarctic Res Ctr, Wellington 6140, New Zealand; [Levy, R. H.] GNS Sci, Lower Hutt 5040, New Zealand</t>
  </si>
  <si>
    <t>Victoria University Wellington; GNS Science - New Zealand</t>
  </si>
  <si>
    <t>Golledge, NR (corresponding author), Victoria Univ Wellington, Antarctic Res Ctr, Wellington 6140, New Zealand.</t>
  </si>
  <si>
    <t>nick.golledge@vuw.ac.nz</t>
  </si>
  <si>
    <t>Levy, Richard H/E-2477-2011</t>
  </si>
  <si>
    <t>Golledge, Nicholas/0000-0001-7676-8970; Levy, Richard/0000-0002-8783-0167</t>
  </si>
  <si>
    <t>Alan Eggers postdoctoral fellowship; FRST; NSF [ANT-0733025]; NASA [NNX09AR52G]; NERC [NE/D003733/1]; NASA [NNX09AR52G, 106520] Funding Source: Federal RePORTER</t>
  </si>
  <si>
    <t>Alan Eggers postdoctoral fellowship; FRST(New Zealand Foundation for Research, Science and Technology); NSF(National Science Foundation (NSF)); NASA(National Aeronautics &amp; Space Administration (NASA)); NERC(UK Research &amp; Innovation (UKRI)Natural Environment Research Council (NERC)); NASA(National Aeronautics &amp; Space Administration (NASA))</t>
  </si>
  <si>
    <t>This work was supported by the Alan Eggers postdoctoral fellowship to N.G. and by FRST funding to R.L. The authors are particularly grateful to Brian Anderson, Frank Kane, Andrew Mackintosh, and Peter Barrett for useful discussions; to Kurt Cuffey and Andy Bliss for providing unpublished ablation data from Taylor Glacier; and to Dick Peltier and Rosemarie Drummond for LGM relative sea level data. We are also especially grateful to Duncan Young and Don Blankenship for providing unpublished radar data for a section of the lower Ferrar, arising from NSF grant ANT-0733025 to the University of Texas, NASA grant NNX09AR52G and NERC grant NE/D003733/1. Insightful and detailed comments from Kurt Cuffey and Associate Editor Martin Truffer, as well as those of the anonymous reviewers, significantly improved this paper.</t>
  </si>
  <si>
    <t>SEP 28</t>
  </si>
  <si>
    <t>F03025</t>
  </si>
  <si>
    <t>10.1029/2011JF002028</t>
  </si>
  <si>
    <t>828SZ</t>
  </si>
  <si>
    <t>WOS:000295524400001</t>
  </si>
  <si>
    <t>Melbourne-Thomas, J; Johnson, CR; Fulton, EA</t>
  </si>
  <si>
    <t>Melbourne-Thomas, J.; Johnson, C. R.; Fulton, E. A.</t>
  </si>
  <si>
    <t>Characterizing sensitivity and uncertainty in a multiscale model of a complex coral reef system</t>
  </si>
  <si>
    <t>ECOLOGICAL MODELLING</t>
  </si>
  <si>
    <t>Coral reefs; Ecosystem model; Spatially explicit; Sensitivity; Uncertainty</t>
  </si>
  <si>
    <t>URCHIN DIADEMA-ANTILLARUM; LIMITED GROWTH; NUTRIENT ENRICHMENT; RECRUITMENT; PHOSPHORUS; SIMULATION; NITROGEN; DENSITY; CONNECTIVITY; RESILIENCE</t>
  </si>
  <si>
    <t>Sensitivity and uncertainty are intrinsic properties of ecological models, and their characterization is an important step in the modelling process. We use a spatially explicit multi-scale model of a coral reef system to explore four aspects of model sensitivity and uncertainty: (i) sensitivity to initial conditions; (ii) sensitivity to parameter values; (iii) sensitivity to spatio-temporal resolution; and (iv) the effects of uncertainty about spatio-temporal variability of ecological processes on the shape of distributions of model predictions. We use reef community composition, visualized in multivariate space, as a response variable. This approach provides an easily interpretable representation of changes in reef community composition under different parameter conditions and spatio-temporal resolutions. It is also a useful means to visualize distributions of model outcomes under differing assumptions about the nature of variability in ecological processes in the real world. Our results indicate that reef state and recovery trajectories are particularly sensitive to parameters determining coral growth and mortality rates. Variability in model outcomes depends on assumptions about the way parameters vary in space and time, and is greater at local scales than at subregional and regional scales. We highlight the fact that predictions based on the kind of model presented here are likely to be more robust for subregions and regions than for particular reef localities. (C) 2011 Elsevier B.V. All rights reserved.</t>
  </si>
  <si>
    <t>[Melbourne-Thomas, J.; Johnson, C. R.] Univ Tasmania, Inst Marine &amp; Antarctic Studies, Hobart, Tas 7001, Australia; [Fulton, E. A.] CSIRO Wealth Oceans Flagship Marine &amp; Atmospher R, Hobart, Tas 7001, Australia</t>
  </si>
  <si>
    <t>Melbourne-Thomas, J (corresponding author), Univ Tasmania, Inst Marine &amp; Antarctic Studies, Hobart, Tas 7001, Australia.</t>
  </si>
  <si>
    <t>Jessica.MelbourneThomas@utas.edu.au</t>
  </si>
  <si>
    <t>Fulton, Beth/AAJ-1398-2021; Melbourne-Thomas, Jess/N-2437-2019; Fulton, Beth/A-2871-2008; Melbourne-Thomas, Jessica/G-7995-2012; Johnson, Craig/E-1788-2013</t>
  </si>
  <si>
    <t>Fulton, Beth/0000-0002-5904-7917; Melbourne-Thomas, Jess/0000-0001-6585-876X; Johnson, Craig/0000-0002-9511-905X</t>
  </si>
  <si>
    <t>Modelling and Decision Support (MDS) working group; CSIRO-UTAS; CSIRO</t>
  </si>
  <si>
    <t>Modelling and Decision Support (MDS) working group; CSIRO-UTAS(Commonwealth Scientific &amp; Industrial Research Organisation (CSIRO)); CSIRO(Commonwealth Scientific &amp; Industrial Research Organisation (CSIRO))</t>
  </si>
  <si>
    <t>This work has been supported by the Modelling and Decision Support (MDS) working group of the Coral Reef Targeted Research and Capacity Building for Management Program (CRTR-CBMP). The first author was supported by a joint CSIRO-UTAS PhD Scholarship in Quantitative Marine Science (QMS) and a CSIRO Fellowship in Marine Ecosystem Modelling.</t>
  </si>
  <si>
    <t>0304-3800</t>
  </si>
  <si>
    <t>1872-7026</t>
  </si>
  <si>
    <t>ECOL MODEL</t>
  </si>
  <si>
    <t>Ecol. Model.</t>
  </si>
  <si>
    <t>SEP 24</t>
  </si>
  <si>
    <t>10.1016/j.ecolmodel.2011.07.014</t>
  </si>
  <si>
    <t>836PU</t>
  </si>
  <si>
    <t>WOS:000296124400002</t>
  </si>
  <si>
    <t>Kuchiki, K; Aoki, T; Niwano, M; Motoyoshi, H; Iwabuchi, H</t>
  </si>
  <si>
    <t>Kuchiki, Katsuyuki; Aoki, Teruo; Niwano, Masashi; Motoyoshi, Hiroki; Iwabuchi, Hironobu</t>
  </si>
  <si>
    <t>Effect of sastrugi on snow bidirectional reflectance and its application to MODIS data</t>
  </si>
  <si>
    <t>SPECTRAL ALBEDO; GRAIN-SIZE; DIRECTIONAL REFLECTANCE; PHYSICAL PARAMETERS; OPTICAL-PROPERTIES; SURFACE-ROUGHNESS; PARTICLE SHAPES; ANTARCTICA; RETRIEVAL; GONIOMETER</t>
  </si>
  <si>
    <t>Snow surface roughness such as sastrugi on the Antarctic ice sheet can be a cause of error for remote sensing of snow parameters. The effect of sastrugi on snow bidirectional reflectance was assessed by a field experiment, model simulations, and satellite measurements. The hemispherical-directional reflectance factor (HDRF) of artificial sastrugi-like linear ridges measured at Nakasatsunai, Hokkaido, Japan, exhibited different patterns from that of a flat surface, with the difference of more than +/- 50% for some geometries. A 3-D Monte Carlo radiative transfer model (MC model) reproduced both the HDRF measurements for the artificial ideal sastrugi and previous measurements for natural sastrugi at the South Pole. Furthermore, the sastrugi effect was applied to remote sensing. Failure to include the surface roughness in models for developing snow-grain-size lookup tables can lead to order-of-magnitude retrieval errors. Using the MC model and multiangle data derived from the Moderate Resolution Imaging Spectrometer over the South Pole during the 2003-2004 summer, the sastrugi and snow parameters were retrieved. The height-to-width ratio of sastrugi reduced from 0.1 to 0.02, whereas the azimuth angle was nearly constant within the range of 0 degrees-30 degrees during the summer. The snow grain size showed a seasonal variation, which depended on the spectral channel. These retrieved parameters were consistent with existing ground measurements. The results suggest that a combination of multiangle data and a 3-D radiative transfer model can be used to quantitatively estimate surface roughness, along with snow grain size, on ice sheets.</t>
  </si>
  <si>
    <t>[Kuchiki, Katsuyuki; Aoki, Teruo; Niwano, Masashi; Iwabuchi, Hironobu] Meteorol Res Inst, Tsukuba, Ibaraki 3050052, Japan; [Motoyoshi, Hiroki] Natl Res Inst Earth Sci &amp; Disaster Prevent, Snow &amp; Ice Res Ctr, Nagaoka, Niigata 9400821, Japan; [Iwabuchi, Hironobu] Tohoku Univ, Ctr Atmospher &amp; Ocean Studies, Grad Sch Sci, Aoba Ku, Sendai, Miyagi 9808578, Japan</t>
  </si>
  <si>
    <t>Meteorological Research Institute - Japan; National Research Institute for Earth Science &amp; Disaster Resilience; Tohoku University</t>
  </si>
  <si>
    <t>Kuchiki, K (corresponding author), Meteorol Res Inst, 1-1 Nagamine, Tsukuba, Ibaraki 3050052, Japan.</t>
  </si>
  <si>
    <t>kkuchiki@mri-jma.go.jp</t>
  </si>
  <si>
    <t>Niwano, Masashi/N-6723-2016</t>
  </si>
  <si>
    <t>Niwano, Masashi/0000-0003-3121-3802; Iwabuchi, Hironobu/0000-0002-9311-8598</t>
  </si>
  <si>
    <t>Ministry of Education, Culture, Sports, Science and Technology [18340146]; Experimental Research Fund for Global Environment Conservation; Ministry of the Environment of Japan; GCOM-C/SGLI Mission, the Japan Aerospace Exploration Agency (JAXA); Grants-in-Aid for Scientific Research [18340146] Funding Source: KAKEN</t>
  </si>
  <si>
    <t>Ministry of Education, Culture, Sports, Science and Technology(Ministry of Education, Culture, Sports, Science and Technology, Japan (MEXT)); Experimental Research Fund for Global Environment Conservation; Ministry of the Environment of Japan(Ministry of the Environment, Japan); GCOM-C/SGLI Mission, the Japan Aerospace Exploration Agency (JAXA); Grants-in-Aid for Scientific Research(Ministry of Education, Culture, Sports, Science and Technology, Japan (MEXT)Japan Society for the Promotion of ScienceGrants-in-Aid for Scientific Research (KAKENHI))</t>
  </si>
  <si>
    <t>We thank Konosuke Sugiura and Akihiro Hachikubo for snow pit work and Ken Motoya and Tomonori Tanikawa for their help in the HDRF measurement at Nakasatsunai, Japan. We also thank Satoshi Tomioka of the Nakasatsunai Community Center and Kazuyoshi Fukuhara of Motosatsunai Farm Inc. for providing a favorable environment for the field experiment at Nakasatsunai, Japan. We appreciate Stephen Hudson and an anonymous reviewer for their useful comments. We used the radiation data at the South Pole acquired by the NOAA/ESRL/GMD Solar and Thermal Radiation (STAR) group. This study was supported in part by the Ministry of Education, Culture, Sports, Science and Technology, Grant-in-Aid for Science Research (B), 18340146, 2006; the Experimental Research Fund for Global Environment Conservation, the Ministry of the Environment of Japan; and the GCOM-C/SGLI Mission, the Japan Aerospace Exploration Agency (JAXA).</t>
  </si>
  <si>
    <t>D18110</t>
  </si>
  <si>
    <t>10.1029/2011JD016070</t>
  </si>
  <si>
    <t>825JL</t>
  </si>
  <si>
    <t>WOS:000295268500003</t>
  </si>
  <si>
    <t>Santee, ML; Manney, GL; Livesey, NJ; Froidevaux, L; Schwartz, MJ; Read, WG</t>
  </si>
  <si>
    <t>Santee, M. L.; Manney, G. L.; Livesey, N. J.; Froidevaux, L.; Schwartz, M. J.; Read, W. G.</t>
  </si>
  <si>
    <t>Trace gas evolution in the lowermost stratosphere from Aura Microwave Limb Sounder measurements</t>
  </si>
  <si>
    <t>CHEMISTRY-TRANSPORT MODEL; ARCTIC LOWER STRATOSPHERE; ANTARCTIC OZONE HOLE; IN-SITU MEASUREMENTS; AIRCRAFT MEASUREMENTS STREAM; CHEMICAL LAGRANGIAN MODEL; TOTAL REACTIVE NITROGEN; POLAR VORTEX; UPPER TROPOSPHERE; TROPICAL TROPOPAUSE</t>
  </si>
  <si>
    <t>Daily global measurements from NASA's Aura Microwave Limb Sounder (MLS) allow comprehensive investigation of interhemispheric and interannual variations in chemical and transport processes throughout the lowermost stratosphere (LMS). We analyze nearly seven years of MLS O-3, HNO3, HCl and ClO measurements along with meteorological analyses to place chemical processing in and dispersal of processed air from the winter polar lowermost vortex and subvortex in a global context. The MLS data, the first simultaneous observations of HCl and ClO covering much of the LMS, reveal that chlorine activation is widespread in the Antarctic subvortex and can occur to a significant degree in the Arctic subvortex. Unusually low temperatures and strong, prolonged chlorine activation in the lowermost vortex and subvortex promoted large ozone losses there in the 2006 (and 2008) Antarctic and 2004/2005 Arctic winters, consistent with reported record low column ozone. Processed air dispersing from the decaying vortex in spring induces rapid changes in extravortex trace gas abundances. After vortex breakdown, the subtropical jet/tropopause becomes the major transport barrier in the LMS. Quasi-isentropic transport of tropical tropospheric air into the LMS, associated with the summer monsoon circulations, leads to decreases in extratropical O-3, HNO3, and HCl in both hemispheres. Strong mixing in the summertime LMS homogenizes extratropical trace gas fields. MLS measurements in the tropics show signatures of monsoon-related cross-equatorial stratosphere-to-troposphere transport. Observed seasonal and interannual variations in trace gas abundances in the LMS are consistent with variations in the strength of transport barriers diagnosed from meteorological analyses.</t>
  </si>
  <si>
    <t>[Santee, M. L.; Manney, G. L.; Livesey, N. J.; Froidevaux, L.; Schwartz, M. J.; Read, W. G.] CALTECH, Jet Prop Lab, Pasadena, CA 91109 USA; [Manney, G. L.] New Mexico Inst Min &amp; Technol, Dept Phys, Workman Ctr, Socorro, NM 87801 USA</t>
  </si>
  <si>
    <t>California Institute of Technology; National Aeronautics &amp; Space Administration (NASA); NASA Jet Propulsion Laboratory (JPL); New Mexico Institute of Mining Technology</t>
  </si>
  <si>
    <t>Santee, ML (corresponding author), CALTECH, Jet Prop Lab, Mail Stop 183-701,4800 Oak Grove Dr, Pasadena, CA 91109 USA.</t>
  </si>
  <si>
    <t>Michelle.L.Santee@jpl.nasa.gov</t>
  </si>
  <si>
    <t>Santee, MIchelle/R-5762-2019; Livesey, Nathaniel/AGQ-7257-2022; Manney, Gloria/JED-7207-2023; Schwartz, Michael J/F-5172-2016; read, william/AAL-1895-2021</t>
  </si>
  <si>
    <t>NASA</t>
  </si>
  <si>
    <t>We thank Ryan Fuller, William Daffer, Bob Thurstans, Brian Knosp, and Brian Mills for programming, system administration, and data management support. Helpful discussions with Alyn Lambert, Karen Rosenlof, Emily Shuckburgh, Sean Davis, Michaela Hegglin, Ken Minschwaner, and Doug Allen are greatly appreciated. Comments from three anonymous reviewers improved the manuscript. Work at the Jet Propulsion Laboratory, California Institute of Technology, was done under contract with NASA.</t>
  </si>
  <si>
    <t>D18306</t>
  </si>
  <si>
    <t>10.1029/2011JD015590</t>
  </si>
  <si>
    <t>WOS:000295268500002</t>
  </si>
  <si>
    <t>Wiedenmann, J; Cresswell, KA; Goldbogen, J; Potvin, J; Mangel, M</t>
  </si>
  <si>
    <t>Wiedenmann, John; Cresswell, Katherine A.; Goldbogen, Jeremy; Potvin, Jean; Mangel, Marc</t>
  </si>
  <si>
    <t>Exploring the effects of reductions in krill biomass in the Southern Ocean on blue whales using a state-dependent foraging model</t>
  </si>
  <si>
    <t>Blue whales; Antarctic krill; Energetics; Climate change; Stochastic dynamic programming; Fishing impact</t>
  </si>
  <si>
    <t>ANTARCTIC KRILL; EUPHAUSIA-SUPERBA; MARINE MAMMALS; BALEEN WHALES; BODY CONDITION; FIN WHALES; SEA-ICE; BEHAVIOR; RECRUITMENT; STRATEGIES</t>
  </si>
  <si>
    <t>Many species of baleen whales were hunted to near extinction in the Southern Hemisphere. The recovery of these populations will be affected by the availability of krill, a major dietary component, in the Southern Ocean. We combine a novel energetics model for baleen whales with a state dependent foraging model to explore the impacts of an expanding krill fishery on baleen whales. We parameterize the model for blue whales, but with simple modifications it could be applied to most baleen whales. We predict that an expanding fishery will have a small but significant impact on the blue whale population through decreased birth rates. However, spreading the catch limit throughout the range of krill can reduce these effects. In addition, whales may be able to reduce these impacts through adaptive changes in foraging behavior. The relationship between krill abundance and blue whale foraging and reproductive success is nonlinear, such that larger reductions in krill biomass, potentially following a loss of sea ice due to climate change, could have a much larger negative impact on the recovery of blue whales. (C) 2011 Elsevier B.V. All rights reserved.</t>
  </si>
  <si>
    <t>[Wiedenmann, John] Univ Calif Santa Cruz, Dept Ocean Sci, Santa Cruz, CA 95064 USA; [Wiedenmann, John; Cresswell, Katherine A.; Mangel, Marc] Univ Calif Santa Cruz, Dept Appl Math &amp; Stat, Ctr Stock Assessment Res CSTAR, Santa Cruz, CA 95064 USA; [Goldbogen, Jeremy] Cascadia Res Collect, Olympia, WA 98501 USA; [Potvin, Jean] St Louis Univ, Dept Phys, St Louis, MO 63103 USA; [Mangel, Marc] Univ Bergen, Dept Biol, Bergen, Norway</t>
  </si>
  <si>
    <t>University of California System; University of California Santa Cruz; University of California System; University of California Santa Cruz; Saint Louis University; University of Bergen</t>
  </si>
  <si>
    <t>Wiedenmann, J (corresponding author), Univ Maryland, Chesapeake Biol Lab, Ctr Environm Sci, POB 38, Solomons, MD 20688 USA.</t>
  </si>
  <si>
    <t>john.wiedenmann@gmail.com</t>
  </si>
  <si>
    <t>Goldbogen, Jeremy A./H-4287-2019</t>
  </si>
  <si>
    <t>Goldbogen, Jeremy A./0000-0002-4170-7294; Cresswell, Katherine/0000-0003-1692-4964; Wiedenmann, John/0000-0001-7622-9053</t>
  </si>
  <si>
    <t>Lenfest Ocean Program; Center for Stock Assessment Research</t>
  </si>
  <si>
    <t>We are grateful to Don Croll, Chris Edwards and Sharon Stammerjohn for comments on an earlier draft, and two anonymous reviewers for comments on the current draft of this manuscript. This work was funded by the Lenfest Ocean Program, and the Center for Stock Assessment Research, a partnership between the Fisheries Ecology Division, NOAA Fisheries, Santa Cruz Laboratory and the University of California Santa Cruz.</t>
  </si>
  <si>
    <t>10.1016/j.ecolmodel.2011.07.013</t>
  </si>
  <si>
    <t>WOS:000296124400006</t>
  </si>
  <si>
    <t>Del Castillo, CE; Miller, RL</t>
  </si>
  <si>
    <t>Del Castillo, Carlos E.; Miller, Richard L.</t>
  </si>
  <si>
    <t>Horizontal and vertical distributions of colored dissolved organic matter during the Southern Ocean Gas Exchange Experiment</t>
  </si>
  <si>
    <t>SUB-ANTARCTIC ISLAND; AUSTRALASIAN SECTOR; OPTICAL-PROPERTIES; SARGASSO SEA; GEORGIA; NORTHWEST; DYNAMICS; WATERS; SHELF; EAST</t>
  </si>
  <si>
    <t>Field and remote sensing measurements of colored dissolved organic matter (CDOM) were acquired in the Southern Ocean during the 2008 Gas Exchange experiment. Values of CDOM absorption coefficient at 440 nm (a(g)440) ranged from similar to 0.02 to similar to 0.06 m(-1). In general, CDOM was higher in the region sampled during this study than in other regions of the Southern Ocean. CDOM showed an inverse correlation with salinity, and the spectral slope parameter S varied directly with salinity. These relationships, water circulation patterns, and characteristics of South Georgia Island suggested that runoff was a source of CDOM in the study site. Analysis of seasonal variability of ag440 using ocean color imagery of areas away from the effect of South Georgia Island showed seasonal fluctuations between similar to 0.02 to similar to 0.03 m(-1). CDOM production models showed that in situ production could also account for seasonal changes in CDOM.</t>
  </si>
  <si>
    <t>[Del Castillo, Carlos E.] Johns Hopkins Univ, Appl Phys Lab, Dept Space, Laurel, MD 20723 USA; [Miller, Richard L.] E Carolina Univ, Dept Geol Sci, Greenville, NC 27858 USA; [Miller, Richard L.] E Carolina Univ, Inst Coastal Sci &amp; Policy, Greenville, NC 27858 USA</t>
  </si>
  <si>
    <t>Johns Hopkins University; Johns Hopkins University Applied Physics Laboratory; University of North Carolina; East Carolina University; University of North Carolina; East Carolina University</t>
  </si>
  <si>
    <t>Del Castillo, CE (corresponding author), Johns Hopkins Univ, Appl Phys Lab, Dept Space, 11100 Johns Hopkins Rd, Laurel, MD 20723 USA.</t>
  </si>
  <si>
    <t>carlos.del.castillo@jhuapl.edu</t>
  </si>
  <si>
    <t>Del Castillo, Carlos/N-2601-2013</t>
  </si>
  <si>
    <t>NASA [NNX08AB09G]; NASA [103608, NNX08AB09G] Funding Source: Federal RePORTER</t>
  </si>
  <si>
    <t>We thank our colleagues who participated in the Southern Ocean GasEx expedition, in particular, Scott Friedman and Christopher Buonassissi for their help during the cruise. Norm Nelson, David Siegel, Neil Blough, and Rossana Del Vechio contributed with important discussions. We thank the CLIVAR and Carbon Hydrographic Data Office at Scripps for their excellent data service (http://whpo.ucsd.edu/). This project was supported by NASA grant NNX08AB09G. We thank NASA for their support. Satellite data products provided by NASA's Ocean Biology Processing Group are greatly appreciated.</t>
  </si>
  <si>
    <t>SEP 22</t>
  </si>
  <si>
    <t>C00F07</t>
  </si>
  <si>
    <t>10.1029/2010JC006781</t>
  </si>
  <si>
    <t>825GU</t>
  </si>
  <si>
    <t>WOS:000295260000001</t>
  </si>
  <si>
    <t>Maia, M; Pessanha, I; Courrèges, E; Patriat, M; Gente, P; Hémond, C; Janin, M; Johnson, K; Roest, W; Royer, JY; Vatteville, J</t>
  </si>
  <si>
    <t>Maia, Marcia; Pessanha, Ivo; Courreges, Esther; Patriat, Martin; Gente, Pascal; Hemond, Christophe; Janin, Myriam; Johnson, Kevin; Roest, Walter; Royer, Jean-Yves; Vatteville, Judith</t>
  </si>
  <si>
    <t>Building of the Amsterdam-Saint Paul plateau: A 10 Myr history of a ridge-hot spot interaction and variations in the strength of the hot spot source</t>
  </si>
  <si>
    <t>JOURNAL OF GEOPHYSICAL RESEARCH-SOLID EARTH</t>
  </si>
  <si>
    <t>SOUTHEAST INDIAN RIDGE; MID-ATLANTIC RIDGE; PACIFIC-ANTARCTIC RIDGE; HOTSPOT INTERACTIONS; CRUSTAL ACCRETION; GRAVITY-ANOMALIES; SPREADING-CENTER; MANTLE PLUMES; RIFT-VALLEY; HEAT-FLOW</t>
  </si>
  <si>
    <t>The Amsterdam-Saint Paul plateau results from a 10 Myr interaction between the South East Indian Ridge and the Amsterdam-Saint Paul hot spot. During this period of time, the structure of the plateau changed as a consequence of changes in both the ridge-hot spot relative distance and in the strength of the hot spot source. The joint analysis of gravity-derived crust thickness and bathymetry reveals that the plateau started to form at similar to 10 Ma by an increase of the crustal production at the ridge axis, due to the nearby hot spot. This phase, which lasted 3-4 Myr, corresponds to a period of a strong hot spot source, maybe due to a high temperature or material flux, and decreasing ridge-hot spot distance. A second phase, between similar to 6 and similar to 3 Ma, corresponds to a decrease in the ridge crustal production. During this period, the hot spot center was close to the ridge axis and this reduced magmatic activity suggests a weak hot spot source. At similar to 3 Ma, the ridge was located approximately above the hot spot center. An increase in the hot spot source strength then resulted in the building of the shallower part of the plateau. The variations of the melt production at the ridge axis through time resulted in variations in crustal thickness but also in changes in the ridge morphology. The two periods of increased melt production correspond to smooth ridge morphology, characterized by axial highs, while the intermediate period corresponds to a rougher, rift-valley morphology. These variations reveal changes in axial thermal structure due to higher melting production rates and temperatures.</t>
  </si>
  <si>
    <t>[Maia, Marcia; Pessanha, Ivo; Courreges, Esther; Gente, Pascal; Hemond, Christophe; Janin, Myriam; Royer, Jean-Yves] Univ Europeenne Bretagne, Rennes, France; [Maia, Marcia; Pessanha, Ivo; Gente, Pascal; Hemond, Christophe; Janin, Myriam; Royer, Jean-Yves] Univ Brest, Inst Univ Europeen Mer, Lab Domaines Ocean, CNRS, F-29280 Plouzane, France; [Courreges, Esther; Patriat, Martin; Roest, Walter] IFREMER, Ctr Brest, Dept Geosci Marines, F-29280 Plouzane, France; [Johnson, Kevin] Univ Hawaii Manoa, Dept Geol &amp; Geophys, Sch Ocean &amp; Earth Sci &amp; Technol, Honolulu, HI 96822 USA; [Vatteville, Judith] Inst Phys Globe, Lab Dynam Fluides Geol, F-75252 Paris, France</t>
  </si>
  <si>
    <t>Universite de Bretagne Occidentale; Centre National de la Recherche Scientifique (CNRS); Universite de Bretagne Occidentale; Institut Universitaire Europeen de la Mer (IUEM); Ifremer; University of Hawaii System; University of Hawaii Manoa; Universite Paris Cite</t>
  </si>
  <si>
    <t>Maia, M (corresponding author), Univ Europeenne Bretagne, Rennes, France.</t>
  </si>
  <si>
    <t>Marcia.Maia@univ-brest.fr</t>
  </si>
  <si>
    <t>Maia, Marcia/A-7076-2010; Royer, Jean-Yves/B-4312-2010; Pessanha, Ivo/AAP-2685-2020</t>
  </si>
  <si>
    <t>Royer, Jean-Yves/0000-0002-7653-7715; Roest, Walter/0000-0002-1071-8732; Patriat, Martin/0000-0002-3584-7952; Johnson, Kevin/0000-0002-5868-4973</t>
  </si>
  <si>
    <t>Ministere de l'Enseignement Superieur et de la Recherche through CNRS-INSU and IPEV; program EXTRAPLAC; CNRS-INSU</t>
  </si>
  <si>
    <t>Ministere de l'Enseignement Superieur et de la Recherche through CNRS-INSU and IPEV; program EXTRAPLAC; CNRS-INSU(Centre National de la Recherche Scientifique (CNRS))</t>
  </si>
  <si>
    <t>The PLURIEL cruise was funded by the Ministere de l'Enseignement Superieur et de la Recherche through CNRS-INSU and IPEV and by the program EXTRAPLAC. CNRS-INSU through the program SEDIT funded most of the work on the data presented here. We thank Captain F. Duchesne and the crew of RV Marion Dufresne II and the engineers of IPEV for their help with the acquisition of the data during the cruise. Bathymetric data treatment on board was carried on with the help of engineers and technicians of SHOM and IFREMER. We thank to the PLURIEL scientific team for their help with the acquisition and treatment of rock samples and data on board. We are indebted to D. Scheirer for kindly providing us with the data collected during the Boomerang cruise. We thank F. Frey, an anonymous reviewer, and the Associated Editor for comments that improved the quality of this work.</t>
  </si>
  <si>
    <t>2169-9313</t>
  </si>
  <si>
    <t>2169-9356</t>
  </si>
  <si>
    <t>J GEOPHYS RES-SOL EA</t>
  </si>
  <si>
    <t>J. Geophys. Res.-Solid Earth</t>
  </si>
  <si>
    <t>B09104</t>
  </si>
  <si>
    <t>10.1029/2010JB007768</t>
  </si>
  <si>
    <t>825GG</t>
  </si>
  <si>
    <t>WOS:000295258600001</t>
  </si>
  <si>
    <t>Foote, AD; Morin, PA; Durban, JW; Willerslev, E; Orlando, L; Gilbert, MTP</t>
  </si>
  <si>
    <t>Foote, Andrew D.; Morin, Phillip A.; Durban, John W.; Willerslev, Eske; Orlando, Ludovic; Gilbert, M. Thomas P.</t>
  </si>
  <si>
    <t>Out of the Pacific and Back Again: Insights into the Matrilineal History of Pacific Killer Whale Ecotypes</t>
  </si>
  <si>
    <t>EASTERN NORTH PACIFIC; ORCINUS-ORCA; SYMPATRIC SPECIATION; GENETIC DIFFERENTIATION; ECOLOGICAL SPECIATION; DIVERGENCE; ORIGIN; POPULATIONS; PHYLOGENIES; FLOW</t>
  </si>
  <si>
    <t>Killer whales (Orcinus orca) are the most widely distributed marine mammals and have radiated to occupy a range of ecological niches. Disparate sympatric types are found in the North Atlantic, Antarctic and North Pacific oceans, however, little is known about the underlying mechanisms driving divergence. Previous phylogeographic analysis using complete mitogenomes yielded a bifurcating tree of clades corresponding to described ecotypes. However, there was low support at two nodes at which two Pacific and two Atlantic clades diverged. Here we apply further phylogenetic and coalescent analyses to partitioned mitochondrial genome sequences to better resolve the pattern of past radiations in this species. Our phylogenetic reconstructions indicate that in the North Pacific, sympatry between the maternal lineages that make up each ecotype arises from secondary contact. Both the phylogenetic reconstructions and a clinal decrease in diversity suggest a North Pacific to North Atlantic founding event, and the later return of killer whales to the North Pacific. Therefore, ecological divergence could have occurred during the allopatric phase through drift or selection and/or may have either commenced or have been consolidated upon secondary contact due to resource competition. The estimated timing of bidirectional migration between the North Pacific and North Atlantic coincided with the previous inter-glacial when the leakage of fauna from the Indo-Pacific into the Atlantic via the Agulhas current was particularly vigorous.</t>
  </si>
  <si>
    <t>[Foote, Andrew D.; Willerslev, Eske; Orlando, Ludovic; Gilbert, M. Thomas P.] Univ Copenhagen, Ctr GeoGenet, Nat Hist Museum Denmark, Copenhagen, Denmark; [Morin, Phillip A.; Durban, John W.] Natl Marine Fisheries Serv, Protected Resources Div, SW Fisheries Sci Ctr, Natl Ocean &amp; Atmospher Adm, La Jolla, CA 92038 USA; [Durban, John W.] Natl Marine Fisheries Serv, Alaska Fisheries Sci Ctr, Natl Ocean &amp; Atmospher Adm, Seattle, WA USA</t>
  </si>
  <si>
    <t>University of Copenhagen; National Oceanic Atmospheric Admin (NOAA) - USA; National Oceanic Atmospheric Admin (NOAA) - USA</t>
  </si>
  <si>
    <t>Foote, AD (corresponding author), Univ Copenhagen, Ctr GeoGenet, Nat Hist Museum Denmark, Copenhagen, Denmark.</t>
  </si>
  <si>
    <t>FooteAD@gmail.com</t>
  </si>
  <si>
    <t>Gilbert, Thomas/JSK-2650-2023; Morin, Phillip A/E-9515-2010; Willerslev, Eske/AAA-5686-2019; Willerslev, Eske/A-9619-2011; ORLANDO, Ludovic/A-8932-2013; ORLANDO, Ludovic/JEP-5411-2023; Gilbert, Marcus/A-8936-2013</t>
  </si>
  <si>
    <t>Willerslev, Eske/0000-0002-7081-6748; ORLANDO, Ludovic/0000-0003-3936-1850; Gilbert, Marcus/0000-0002-5805-7195; Foote, Andrew/0000-0001-7384-1634; Morin, Phillip/0000-0002-3279-1519</t>
  </si>
  <si>
    <t>ERC FroSPECTS; EU</t>
  </si>
  <si>
    <t>ERC FroSPECTS(European Research Council (ERC)); EU(European Union (EU))</t>
  </si>
  <si>
    <t>Andrew Foote was supported by an ERC FroSPECTS exchange fellowship and an EU Marie Curie Intra-European Fellowship. The funders had no role in study design, data collection and analysis, decision to publish, or preparation of the manuscript.</t>
  </si>
  <si>
    <t>SEP 20</t>
  </si>
  <si>
    <t>e24980</t>
  </si>
  <si>
    <t>10.1371/journal.pone.0024980</t>
  </si>
  <si>
    <t>825GY</t>
  </si>
  <si>
    <t>WOS:000295260400028</t>
  </si>
  <si>
    <t>Velasquez, I; Nunn, BL; Ibisanmi, E; Goodlett, DR; Hunter, KA; Sander, SG</t>
  </si>
  <si>
    <t>Velasquez, Imelda; Nunn, Brook L.; Ibisanmi, Enitan; Goodlett, David R.; Hunter, Keith A.; Sander, Sylvia G.</t>
  </si>
  <si>
    <t>Detection of hydroxamate siderophores in coastal and Sub-Antarctic waters off the South Eastern Coast of New Zealand</t>
  </si>
  <si>
    <t>Iron; Siderophore; Iron-binding ligands; Hydroxamate; Coastal water; Sub-Antarctic water; New Zealand; Mass spectrometry; Natural iron-isotope pattern</t>
  </si>
  <si>
    <t>COLORIMETRIC DETERMINATION; ORGANIC COMPLEXATION; IRON BIOAVAILABILITY; MARINE-PHYTOPLANKTON; STABILITY-CONSTANTS; CONTINENTAL-SHELF; BINDING LIGANDS; OTAGO PENINSULA; SPECIATION; OCEAN</t>
  </si>
  <si>
    <t>In this study, we report siderophore-type compounds found in coastal and Sub-Antarctic waters within a 60 km transect off the south east coast of Otago Peninsula in New Zealand. The presence of siderophore activity was detected using chrome azurol S assay (CAS) from organic compounds extracted from similar to 200 to 480 L seawater by pre-concentration on XAD-16 resin. Csaky and Rioux assays indicated the presence of more than one functional type of siderophore or siderophore-like compound. Strong Fe-binding ligand (L-1) concentrations, the sum of ligands (Sigma L). and their stability constants were measured from ambient seawater samples using competing ligand equilibration-cathodic stripping voltammetry (CLE-CSV). In the study area L-1 ranged from 0.23 to 0.69 nM (logK'(FeL1.Fe3+) = 22.0-22.8), whereas Sigma L values ranged from 0.53 to 1.23 nM (logK'(Fe Sigma L.Fe3+) = 21.4-22.2). Dissolved Fe (DFe) concentrations were measured by CSV and ranged from 0.22 to 0.45 nM. This is the first application of a new liquid chromatography-tandem mass spectrometry method using the natural iron-isotope pattern to characterize siderophore-type compounds isolated from natural seawater. Altogether six siderophore-type compounds with hydroxamate functionality were detected in one coastal, as well as Sub-Antartic surface and subsurface samples. This new method and the derived results provide a foundation for future investigations of sources and structures of strong ligands in the Southern Ocean and elsewhere. (C) 2011 Elsevier B.V. All rights reserved.</t>
  </si>
  <si>
    <t>[Velasquez, Imelda; Ibisanmi, Enitan; Hunter, Keith A.; Sander, Sylvia G.] Univ Otago, Dept Chem, Dunedin 9054, New Zealand; [Nunn, Brook L.; Goodlett, David R.] Univ Washington, Dept Med Chem, Seattle, WA 98195 USA</t>
  </si>
  <si>
    <t>University of Otago; University of Washington; University of Washington Seattle</t>
  </si>
  <si>
    <t>Sander, SG (corresponding author), Univ Otago, Dept Chem, POB 56, Dunedin 9054, New Zealand.</t>
  </si>
  <si>
    <t>sylvia.sander@otago.ac.nz</t>
  </si>
  <si>
    <t>Sander, Sylvia/AAC-3559-2022</t>
  </si>
  <si>
    <t>Sander, Sylvia/0000-0001-9581-9737; Nunn, Brook/0000-0002-7361-4359</t>
  </si>
  <si>
    <t>University of Otago; National Science Foundation Division of Ocean Sciences [OCE0453737]; Northwest Regional Center of Excellence [5-U54-AIO57141-05]</t>
  </si>
  <si>
    <t>University of Otago; National Science Foundation Division of Ocean Sciences(National Science Foundation (NSF)); Northwest Regional Center of Excellence</t>
  </si>
  <si>
    <t>We would like to thank the crew of RV Polaris II, Marine Science Institute for the use of the research vessel and other students who helped during sample collection. We are also grateful to lain Lamont for the donation of pyoverdine. This study was supported financially by University of Otago. This work was supported by National Science Foundation Division of Ocean Sciences (B.L.N.: OCE0453737) and the Northwest Regional Center of Excellence (D.R.G.:5-U54-AIO57141-05). We are grateful to Dr. Martha Gledhill, an anonymous reviewer and the editors of Marine Chemistry for their comments which greatly improved this manuscript.</t>
  </si>
  <si>
    <t>10.1016/j.marchem.2011.04.003</t>
  </si>
  <si>
    <t>824IJ</t>
  </si>
  <si>
    <t>WOS:000295195300009</t>
  </si>
  <si>
    <t>Baeyens, W; Bowie, AR; Buesseler, K; Elskens, M; Gao, Y; Lamborg, C; Leermakers, M; Remenyi, T; Zhang, H</t>
  </si>
  <si>
    <t>Baeyens, W.; Bowie, A. R.; Buesseler, K.; Elskens, M.; Gao, Y.; Lamborg, C.; Leermakers, M.; Remenyi, T.; Zhang, H.</t>
  </si>
  <si>
    <t>Size-fractionated labile trace elements in the Northwest Pacific and Southern Oceans</t>
  </si>
  <si>
    <t>Trace elements; Speciation; Bioavailability; Pacific Ocean; Southern Ocean</t>
  </si>
  <si>
    <t>ATOMIC-ABSORPTION SPECTROMETRY; HIGH-RESOLUTION PROFILES; EXPORT PRODUCTION; PORE WATERS; PHYTOPLANKTON; IRON; COPPER; MANGANESE; METALS; CYCLES</t>
  </si>
  <si>
    <t>Photosynthesis by marine phytoplankton requires bioavailable forms of several trace elements that are found in extremely low concentrations in the open ocean. We have compared the concentration, lability and size distribution (&lt;1 nm and &lt;10 nm) of a suite of trace elements that are thought to be limiting to primary productivity as well as a toxic element (Pb) in two High Nutrient Low Chlorophyll (HNLC) regions using a new dynamic speciation technique, Diffusive Gradients in Thin-film (DGT). The labile species trapped within the DGT probes have a size that is smaller or similar than the pore size of algal cell walls and thus present a proxy for bioavailable species. Total Dissolvable trace element concentrations (TD concentration) varied between 0.05 nM (Co) and 4.0 nM (Ni) at K2 (Northwest Pacific Ocean) and between 0.026 nM (Co) and 4.7 nM (Ni) in the Southern Ocean. The smallest size fractionated labile concentrations (&lt;1 nm) observed at Southern Ocean sampling stations ranged between 0.002 nM (Co) and 2.1 nM (Ni). Moreover, large differences in bioavailable fractions (ratio of labile to TD concentration) were observed between the trace elements. In the Northwest Pacific Ocean Fe, Cu and Mn had lower labile fractions (between 10 and 44%) than Co, Cd, Ni and Pb (between 80 and 100%). In the Southern Ocean a similar trend was observed, and in addition: (1) Co, Cd, Ni and Pb have lower labile fractions in the Southern Ocean than in the Northwest Pacific and (2) the ratios of &lt;1 nm to dissolvable element concentrations at some Southern Ocean stations were very low and varied between 4 and16%. (C) 2011 Elsevier B.V. All rights reserved.</t>
  </si>
  <si>
    <t>[Baeyens, W.; Elskens, M.; Gao, Y.; Leermakers, M.] Vrije Univ Brussel, Dept Analyt &amp; Environm Chem ANCH, B-1050 Brussels, Belgium; [Bowie, A. R.; Remenyi, T.] Univ Tasmania, Antarctic Climate &amp; Ecosyst CRC, Hobart, Tas 7001, Australia; [Buesseler, K.; Lamborg, C.] Woods Hole Oceanog Inst, Dept Marine Chem &amp; Geochem, Woods Hole, MA 02543 USA; [Zhang, H.] Univ Lancaster, Lancaster Environm Ctr, Lancaster LA1 4YQ, England</t>
  </si>
  <si>
    <t>Vrije Universiteit Brussel; University of Tasmania; Woods Hole Oceanographic Institution; Lancaster University</t>
  </si>
  <si>
    <t>Baeyens, W (corresponding author), Vrije Univ Brussel, Dept Analyt &amp; Environm Chem ANCH, Pl Laan 2, B-1050 Brussels, Belgium.</t>
  </si>
  <si>
    <t>wbaeyens@vub.ac.be</t>
  </si>
  <si>
    <t>Zhang, Hao/HHM-1940-2022; GAO, Yue/AAE-2325-2022; Baeyens, Willy F/A-9366-2010; Zhang, Hao/E-5375-2010; Bowie, Andrew/C-8677-2013</t>
  </si>
  <si>
    <t>GAO, Yue/0000-0002-0582-395X; Baeyens, Willy/0000-0002-5281-903X; Bowie, Andrew/0000-0002-5144-7799; Elskens, Marc/0000-0002-8862-9422; Remenyi, Tomas/0000-0002-4145-9323</t>
  </si>
  <si>
    <t>Federal Science Policy Office, Brussels [EV/03/7A, SD/CA/03A]; Research Foundation Flanders [G.0021.04]; Vrije Universiteit Brussel [GOA 22]; US National Science Foundation; Australian Antarctic Scienceproject; Australian Antarctic Division; Australian Government Cooperative Research Centre through the Antarctic Climate and Ecosystems CRC (ACE CRC); Natural Environment Research Council [ceh010010] Funding Source: researchfish</t>
  </si>
  <si>
    <t>Federal Science Policy Office, Brussels(Belgian Federal Science Policy Office); Research Foundation Flanders(FWO); Vrije Universiteit Brussel; US National Science Foundation(National Science Foundation (NSF)); Australian Antarctic Scienceproject; Australian Antarctic Division; Australian Government Cooperative Research Centre through the Antarctic Climate and Ecosystems CRC (ACE CRC)(Australian GovernmentDepartment of Industry, Innovation and ScienceCooperative Research Centres (CRC) Programme); Natural Environment Research Council(UK Research &amp; Innovation (UKRI)Natural Environment Research Council (NERC))</t>
  </si>
  <si>
    <t>This research was supported by the Federal Science Policy Office, Brussels, through contracts EV/03/7A, SD/CA/03A, the Research Foundation Flanders through grant G.0021.04 and Vrije Universiteit Brussel via grant GOA 22, as well as for K2, the VERTIGO program funding primarily by the US National Science Foundation programs in Chemical and Biological Oceanography.; The research on SR3-GEOTRACES has been supported by the Australian Antarctic Scienceproject 2900, the Australian Antarctic Division, and by the Australian Government Cooperative Research Centres Programme through the Antarctic Climate and Ecosystems CRC (ACE CRC), as a part of the wider International Polar Year - GEOTRACES program.</t>
  </si>
  <si>
    <t>10.1016/j.marchem.2011.04.004</t>
  </si>
  <si>
    <t>WOS:000295195300010</t>
  </si>
  <si>
    <t>Thompson, AF; Richards, KJ</t>
  </si>
  <si>
    <t>Thompson, Andrew F.; Richards, Kelvin J.</t>
  </si>
  <si>
    <t>Low frequency variability of Southern Ocean jets</t>
  </si>
  <si>
    <t>ANTARCTIC CIRCUMPOLAR CURRENT; MEAN-FLOW; MULTIPLE JETS; POTENTIAL VORTICITY; TRANSPORT; FRONTS; EDDIES; BALANCE; DRIVEN; CIRCULATION</t>
  </si>
  <si>
    <t>Both observations and high resolution numerical models show that the Southern Ocean circumpolar flow is concentrated in a large number ( approximately 8 to 12) of narrow filamentary jets. It is shown here that coherent jets exhibit a range of low frequency variability, on timescales of months to years, that can lead to displacement and to intermittent formation and dissipation of jets. Using output from an eddy-resolving ocean general circulation model in local regions near topographic features, the impact of energy exchange between eddy and mean flow components on jet persistence and variability is examined. A novel approach that uses a time-dependent definition of the mean flow provides a clearer picture of eddy-mean flow interactions in regions with spatially and temporally varying flow structure. The dynamics are largely consistent with those in idealized quasi-geostrophic models, including topographically-organized and surface-enhanced Reynolds stress forcing of the mean flow. Jets form during periods of enhanced eddy activity, but may persist long after the eddy activity has decayed. Similarly, jets may evolve in a downstream sense, with jet formation localized near topography and undergoing modification in response to changing bathymetry. The evolution of both temperature and potential vorticity is used to show that the low-frequency variability of the jets impacts water mass structure and tracer transport. This study highlights various examples of Southern Ocean dynamics that will prove difficult to capture through parameterizations in coarser climate models.</t>
  </si>
  <si>
    <t>[Thompson, Andrew F.] British Antarctic Survey, Cambridge CB3 0ET, England; [Richards, Kelvin J.] Univ Hawaii Manoa, Int Pacific Res Ctr, Sch Ocean &amp; Earth Sci &amp; Technol, Honolulu, HI 96822 USA</t>
  </si>
  <si>
    <t>UK Research &amp; Innovation (UKRI); Natural Environment Research Council (NERC); NERC British Antarctic Survey; University of Hawaii System; University of Hawaii Manoa</t>
  </si>
  <si>
    <t>Thompson, AF (corresponding author), CALTECH, Div Geol &amp; Planetary Sci, Pasadena, CA 91125 USA.</t>
  </si>
  <si>
    <t>andrewt@caltech.edu</t>
  </si>
  <si>
    <t>NERC [NE/E013171/1]; Natural Environment Research Council [bas0100028, NE/E013171/1] Funding Source: researchfish; NERC [bas0100028, NE/E013171/1] Funding Source: UKRI</t>
  </si>
  <si>
    <t>The authors gratefully acknowledge the provision of OFES output by Hideharu Sasaki. We thank two reviewers for their comments, which significantly improved this manuscript. We also acknowledge helpful conversations with Chris Wilson. AFT was supported by a NERC postdoctoral fellowship, NE/E013171/1.</t>
  </si>
  <si>
    <t>C09022</t>
  </si>
  <si>
    <t>10.1029/2010JC006749</t>
  </si>
  <si>
    <t>825GQ</t>
  </si>
  <si>
    <t>WOS:000295259600002</t>
  </si>
  <si>
    <t>Bown, J; Boye, M; Baker, A; Duvieilbourg, E; Lacan, F; Le Moigne, F; Planchon, F; Speich, S; Nelson, DM</t>
  </si>
  <si>
    <t>Bown, Johann; Boye, Marie; Baker, Alexander; Duvieilbourg, Eric; Lacan, Francois; Le Moigne, Frederic; Planchon, Frederic; Speich, Sabrina; Nelson, David M.</t>
  </si>
  <si>
    <t>The biogeochemical cycle of dissolved cobalt in the Atlantic and the Southern Ocean south off the coast of South Africa</t>
  </si>
  <si>
    <t>Dissolved cobalt; Southeastern Atlantic; Southern Ocean; International Polar Year; GEOTRACES</t>
  </si>
  <si>
    <t>ANTARCTIC CIRCUMPOLAR CURRENT; FLOW-INJECTION; TRACE-ELEMENTS; SURFACE WATERS; ROSS SEA; IRON; ZINC; PHYTOPLANKTON; SEAWATER; CO</t>
  </si>
  <si>
    <t>The spatial distribution, biogeochemical cycle and external sources of dissolved cobalt (DCo) were investigated in the southeastern Atlantic and the Southern Ocean between 33 degrees 58'S and 57 degrees 33'S along the Greenwich Meridian during the austral summer 2008 in the framework of the International Polar Year. DCo concentrations were measured by flow-injection analysis and chemiluminescence detection in filtered (0.2 mu m), acidified and UV-digested samples at 12 deep stations in order to resolve the several biogeochemical provinces of the Antarctic Circumpolar Current and to assess the vertical and frontal structures in the Atlantic sector of the Southern Ocean. We measured DCo ranging from 5.73 +/- 1.15 pM to 72.9 +/- 4.51 pM. The distribution of DCo was nutrient-like in surface waters of the subtropical domain with low concentrations in the euphotic layer due to biological uptake. The biological utilization of dissolved cobalt was proportional to that of phosphate in the subtropical domain with a DCo:HPO42- depletion ratio of similar to 44 mu M M-1. In deeper waters the distribution indicated remineralization of DCo and inputs from the margins of South Africa with lateral advection of enriched intermediate and deep waters to the southeastern Atlantic Ocean. In contrast the vertical distribution of DCo changed southward, from a nutrient-like distribution in the subtropical domain to scavenged-type behavior in the domain of the Antarctic Circumpolar Current and conservative distribution in the Weddell Gyre. There the cycle of DCo featured low biological removal by Antarctic diatoms with input to surface waters by snow, removal in oxygenated surface waters, and dissolution and stabilization in the low-oxygenated Upper Circumpolar Deep Waters. DCo distributions and physical hydro-dynamics features also suggest inputs from the Drake Passage and the southwestern Atlantic to the 0 meridian along the eastward flow of the Antarctic Circumpolar Current. Bottom enrichment of DCo in the Antarctic Bottom Waters was also evident, together with increasing water-mass pathway and aging, possibly due to sediment resuspension and/or mixing with North Atlantic Deep waters in the Cape Basin. Overall atmospheric input of soluble Co by dry aerosols to the surface waters was low but higher in the ACC domain than in the northern part of the section. At the highest latitudes, it is possible that snowfall could be a source of DCo to surface waters. Tentative budgets for DCo in the mixed layer of the subtropical and the ACC domain; have been constructed for each biogeochemical region encountered during the cruise. The estimated DCo uptake flux was found to be the dominant cobalt flux along the section. This flux decreases southward, which is consistent with the observations that DCo shows a southward transition from nutrient-like towards conservative distribution in the mixed layer. (C) 2011 Elsevier B.V. All rights reserved.</t>
  </si>
  <si>
    <t>[Bown, Johann; Boye, Marie; Duvieilbourg, Eric; Le Moigne, Frederic; Planchon, Frederic; Nelson, David M.] Inst Univ Europeen Mer, Lab Sci Environm Marin UMR6539, F-29280 Plouzane, France; [Baker, Alexander] Univ E Anglia, Sch Environm Sci, Norwich NR4 7TJ, Norfolk, England; [Lacan, Francois] Observ Midi Pyrenees, LEGOS, F-31401 Toulouse 9, France; [Speich, Sabrina] Univ Bretagne Occidentale, UFR Sci, Lab Phys Oceans, F-29238 Brest 3, France</t>
  </si>
  <si>
    <t>Centre National de la Recherche Scientifique (CNRS); CNRS - Institute of Ecology &amp; Environment (INEE); Universite de Bretagne Occidentale; Institut Universitaire Europeen de la Mer (IUEM); University of East Anglia; Universite de Toulouse; Universite Toulouse III - Paul Sabatier; Centre National de la Recherche Scientifique (CNRS); Institut de Recherche pour le Developpement (IRD); Laboratoire d'Etudes en Geophysique et oceanographie spatiales; Universite de Bretagne Occidentale; Centre National de la Recherche Scientifique (CNRS); Ifremer; Institut de Recherche pour le Developpement (IRD)</t>
  </si>
  <si>
    <t>Bown, J (corresponding author), Inst Univ Europeen Mer, Lab Sci Environm Marin UMR6539, Technopole Brest Iroise,Pl Nicolas Copernic, F-29280 Plouzane, France.</t>
  </si>
  <si>
    <t>johann.bown@univ-brest.fr</t>
  </si>
  <si>
    <t>Lacan, Francois/B-8032-2009; Baker, Alex R/D-1233-2011; Le Moigne, Frederic/H-9410-2013; Frederic, Planchon A.M./A-8651-2010; Speich, Sabrina/L-3780-2014; Le Moigne, Frederic/O-9851-2014</t>
  </si>
  <si>
    <t>Lacan, Francois/0000-0001-6794-2279; Speich, Sabrina/0000-0002-5452-8287; Planchon, Frederic/0000-0003-1288-9698; Le Moigne, Frederic/0000-0001-7316-5111; Baker, Alex/0000-0002-8365-8953</t>
  </si>
  <si>
    <t>BONUS-GOODHOPE project; INSU; National Agency of French Research [ANR-07-BLAN-0146-01]; Paul Emile Victor Institut; European COST [ES801]; Region Bretagne; Agence Nationale de la Recherche (ANR) [ANR-07-BLAN-0146] Funding Source: Agence Nationale de la Recherche (ANR)</t>
  </si>
  <si>
    <t>BONUS-GOODHOPE project; INSU(Centre National de la Recherche Scientifique (CNRS)); National Agency of French Research; Paul Emile Victor Institut; European COST(European Cooperation in Science and Technology (COST)); Region Bretagne(Region Bretagne); Agence Nationale de la Recherche (ANR)(Agence Nationale de la Recherche (ANR))</t>
  </si>
  <si>
    <t>The Captain P. Courtes, the officers and the crew members of the French research vessel Marion Dufresne II are warmly acknowledged for their wonderful work at sea during the IPY MD166 BONUS-GOODHOPE cruise. S. Speich and M. Boye were co-chief scientists on the cruise, and we thank as well their collaborators M. Arhan (LPO, Brest, FR) and F. Dehairs (VUB, Brussels, Belgium). We are grateful to the colleagues of our GO-FLO sampling team (Fanny Chever, Bronwyn Wake, Eva Buciarrelli, Geraldine Sarthou, and Amandine Radic). We thank Beatriz Becker, Damien Cardinal, Frank Dehairs, Marie Labatut, Herve Claustre and Josephine Ras for providing access to their unpublished data on phytoplankton species composition, barite distributions, 234Th/238U, pigments and particulate cobalt, respectively. We also thank the two anonymous reviewers of this paper for constructive comments which significantly improve this manuscript. This investigation was supported by the BONUS-GOODHOPE project and cruise funded by the French LEFE National Program of INSU, the National Agency of French Research (ANR-07-BLAN-0146-01) and the Paul Emile Victor Institut. It is a contribution to the International Polar Year and the international GEOTRACES programs. We also thank the European COST Action ES801 for funding a Short Term Scientific Mission to J. Bown to be trained on the FIA cobalt manifold with the precious help of Rachel Shelley and Maeve Lohan (Plymouth University, U.K.). The Region Bretagne is supporting the PhD fellowship of J. Bown.</t>
  </si>
  <si>
    <t>10.1016/j.marchem.2011.03.008</t>
  </si>
  <si>
    <t>WOS:000295195300020</t>
  </si>
  <si>
    <t>Chase, Z; Paytan, A; Beck, A; Biller, D; Bruland, K; Measures, C; Sañudo-Wilhelmy, S</t>
  </si>
  <si>
    <t>Chase, Zanna; Paytan, Adina; Beck, Aaron; Biller, Dondra; Bruland, Kenneth; Measures, Chris; Sanudo-Wilhelmy, Sergio</t>
  </si>
  <si>
    <t>Evaluating the impact of atmospheric deposition on dissolved trace-metals in the Gulf of Aqaba, Red Sea</t>
  </si>
  <si>
    <t>Trace metals; Dry deposition; Cadmium; Oligotrophic; Gulf of Aqaba</t>
  </si>
  <si>
    <t>SAN-FRANCISCO BAY; PHOSPHORUS RATIO; NORTH-ATLANTIC; ELEMENTAL COMPOSITION; RELATIVE IMPORTANCE; IRON LIMITATION; PHYTOPLANKTON; CADMIUM; MANGANESE; SEAWATER</t>
  </si>
  <si>
    <t>Trace metals in the ocean act as both essential micro-nutrients and as toxins. There are relatively few multi-element studies of dissolved trace metals in the ocean, and none from the Gulf of Aqaba, Red Sea. This semi-enclosed basin surrounded by desert is a natural laboratory for studying the impact of atmospheric dry deposition of trace metals on the ocean surface. We have combined measurement of dissolved metals in seawater with measurements of the flux of metals associated with dry deposition. The total dissolved trace metal concentrations in Gulf of Aqaba water are generally higher (Fe, Cu, Zn, Co, Mn, Pb) or similar (Ni, Al, Cd, Mo) to those measured in the open North Atlantic Ocean. The concentrations of elements that are highly enriched in aerosols relative to Al (e.g. Cd, Pb, Zn and Cu) are not necessarily proportionally enriched in surface seawater when compared to Al, indicative of the high reactivity of these elements in seawater. Iron concentrations in the Gulf of Aqaba are high relative to Al, despite the fact that the aerosols are not more enriched in Fe relative to Al. There may be additional sources of dissolved iron to the Gulf of Aqaba. not associated with Al. Alternatively, intense photochemically-driven redox cycling may act to enhance Fe dissolution from aerosols, or may otherwise increase the lifetime of Fe in the water column, relative to Al. Copper concentrations in the Gulf of Aqaba are close to the value found to be a threshold for Cu toxicity in this region. A surface maximum in Cd:P is found in the Gulf of Aqaba, in contrast to the more typical surface minimum in this ratio observed in other locations. The surface maximum appears to be driven by atypically low uptake of Cd relative to P. A low Cd:P uptake ratio for this region is consistent with known environmental determinants of low Cd:P uptake, such as high concentrations of dissolved Zn and Fe, and a predominance of small phytoplankton including cyanobacteria. (C) 2011 Elsevier B.V. All rights reserved.</t>
  </si>
  <si>
    <t>[Chase, Zanna] Oregon State Univ, Coll Ocean &amp; Atmospher Sci, Corvallis, OR 97330 USA; [Paytan, Adina; Biller, Dondra; Bruland, Kenneth] Univ Calif Santa Cruz, Inst Marine Sci, Santa Cruz, CA 95064 USA; [Beck, Aaron; Sanudo-Wilhelmy, Sergio] SUNY Stony Brook, Marine Sci Res Ctr, Stony Brook, NY 11794 USA; [Measures, Chris] Univ Hawaii Manoa, Dept Oceanog, Honolulu, HI 96822 USA</t>
  </si>
  <si>
    <t>Oregon State University; University of California System; University of California Santa Cruz; State University of New York (SUNY) System; State University of New York (SUNY) Stony Brook; University of Hawaii System; University of Hawaii Manoa</t>
  </si>
  <si>
    <t>Chase, Z (corresponding author), Univ Tasmania, Inst Marine &amp; Antarctic Studies, Private Bag 129, Hobart, Tas 7001, Australia.</t>
  </si>
  <si>
    <t>zanna.chase@utas.edu.au; apaytan@ucsc.edu; abeck@vims.edu; dbiller@ucsc.edu; bruland@ucsc.edu; chrism@soest.hawaii.edu; sanudo@usc.edu</t>
  </si>
  <si>
    <t>Beck, Aaron/AAH-5687-2021; Chase, Zanna/E-9232-2013</t>
  </si>
  <si>
    <t>Chase, Zanna/0000-0001-5060-779X</t>
  </si>
  <si>
    <t>NATO Science for Peace SfP [982161]; NSF-OCE [0850467]; Division Of Ocean Sciences; Directorate For Geosciences [0850467] Funding Source: National Science Foundation</t>
  </si>
  <si>
    <t>NATO Science for Peace SfP(NATO (North Atlantic Treaty Organisation)); NSF-OCE(National Science Foundation (NSF)NSF - Directorate for Geosciences (GEO)); Division Of Ocean Sciences; Directorate For Geosciences(National Science Foundation (NSF)NSF - Directorate for Geosciences (GEO))</t>
  </si>
  <si>
    <t>We thank the staff at the Interuniversity Institute for Marine Science in Eilat. Israel for hospitality and assistance during field work. Particularly Asaph Rivlin for logistical assistance, Tanya Rivlin for nutrient analyses and Anton Post for the use of laboratory facilities. Joseph Street, Ying Chen and Chris Holm assisted with sample collection. Ying Chen, Clint Buck and Katherine Mackey shared unpublished data. Funding for this work was provided by the NATO Science for Peace SfP 982161 and NSF-OCE 0850467 to A.P.</t>
  </si>
  <si>
    <t>10.1016/j.marchem.2011.06.005</t>
  </si>
  <si>
    <t>WOS:000295195300025</t>
  </si>
  <si>
    <t>Head, JW; Kreslavsky, MA; Marchant, DR</t>
  </si>
  <si>
    <t>Head, James W.; Kreslavsky, Mikhail A.; Marchant, David R.</t>
  </si>
  <si>
    <t>Pitted rock surfaces on Mars: A mechanism of formation by transient melting of snow and ice</t>
  </si>
  <si>
    <t>SOUTHERN VICTORIA LAND; DRY VALLEYS; MERIDIANI-PLANUM; LIQUID WATER; TRANSANTARCTIC-MOUNTAINS; BASALTIC ROCKS; GUSEV CRATER; ANTARCTICA; DEPOSITS; RATES</t>
  </si>
  <si>
    <t>Pits in rocks on the surface of Mars have been observed at several locations. Similar pits are observed in rocks in the Mars-like hyperarid, hypothermal stable upland zone of the Antarctic Dry Valleys; these form by very localized chemical weathering due to transient melting of small amounts of snow on dark dolerite boulders preferentially heated above the melting point of water by sunlight. We examine the conditions under which a similar process might explain the pitted rocks seen on the surface of Mars (rock surface temperatures above the melting point; atmospheric pressure exceeding the triple point pressure of H2O; an available source of solid water to melt). We find that on Mars today each of these conditions is met locally and regionally, but that they do not occur together in such a way as to meet the stringent requirements for this process to operate. In the geological past, however, conditions favoring this process are highly likely to have been met. For example, increases in atmospheric water vapor content (due, for example, to the loss of the south perennial polar CO2 cap) could favor the deposition of snow, which if collected on rocks heated to above the melting temperature during favorable conditions (e. g., perihelion), could cause melting and the type of locally enhanced chemical weathering that can cause pits. Even when these conditions are met, however, the variation in heating of different rock facets under Martian conditions means that different parts of the rock may weather at different times, consistent with the very low weathering rates observed on Mars. Furthermore, as is the case in the stable upland zone of the Antarctic Dry Valleys, pit formation by transient melting of small amounts of snow readily occurs in the absence of subsurface active layer cryoturbation.</t>
  </si>
  <si>
    <t>[Head, James W.] Brown Univ, Dept Geol Sci, Providence, RI 02912 USA; [Kreslavsky, Mikhail A.] Univ Calif Santa Cruz, Santa Cruz, CA 95064 USA; [Marchant, David R.] Boston Univ, Dept Earth Sci, Boston, MA 02215 USA</t>
  </si>
  <si>
    <t>Brown University; University of California System; University of California Santa Cruz; Boston University</t>
  </si>
  <si>
    <t>Head, JW (corresponding author), Brown Univ, Dept Geol Sci, Box 1846, Providence, RI 02912 USA.</t>
  </si>
  <si>
    <t>james_head@brown.edu</t>
  </si>
  <si>
    <t>Kreslavsky, Mikhail/J-3425-2013</t>
  </si>
  <si>
    <t>Kreslavsky, Mikhail/0000-0002-1900-826X</t>
  </si>
  <si>
    <t>National Science Foundation Office of Polar Programs (NSF) [ANT-0944702]; National Aeronautics and Space Administration [NNX07AN95G]; Directorate For Geosciences; Division Of Polar Programs [0944702] Funding Source: National Science Foundation</t>
  </si>
  <si>
    <t>National Science Foundation Office of Polar Programs (NSF)(National Science Foundation (NSF)); National Aeronautics and Space Administration(National Aeronautics &amp; Space Administration (NASA)); Directorate For Geosciences; Division Of Polar Programs(National Science Foundation (NSF)NSF - Directorate for Geosciences (GEO))</t>
  </si>
  <si>
    <t>We gratefully acknowledge discussions with various individuals in the field in the Antarctic Dry Valleys and financial support from the National Science Foundation Office of Polar Programs (to D. R. M.) (NSF ANT-0944702) and the National Aeronautics and Space Administration Mars Data Analysis Program (to J.W.H.) (NNX07AN95G).</t>
  </si>
  <si>
    <t>SEP 17</t>
  </si>
  <si>
    <t>E09007</t>
  </si>
  <si>
    <t>10.1029/2011JE003826</t>
  </si>
  <si>
    <t>823OC</t>
  </si>
  <si>
    <t>WOS:000295130700002</t>
  </si>
  <si>
    <t>Abbot, DS; Voigt, A; Koll, D</t>
  </si>
  <si>
    <t>Abbot, Dorian S.; Voigt, Aiko; Koll, Daniel</t>
  </si>
  <si>
    <t>The Jormungand global climate state and implications for Neoproterozoic glaciations</t>
  </si>
  <si>
    <t>HARD SNOWBALL EARTH; GENERAL-CIRCULATION MODELS; FLOWING SEA GLACIERS; ICE CAP INSTABILITY; ANTARCTIC PENINSULA; HEAT-TRANSPORT; CO2 LEVELS; DEGLACIATION; FEEDBACK; OCEAN</t>
  </si>
  <si>
    <t>Geological and geochemical evidence can be interpreted as indicating strong hysteresis in global climate during the Neoproterozoic glacial events (similar to 630 Ma and similar to 715 Ma). Standard climate theory only allows such strong hysteresis if global climate enters a fully-glaciated Snowball state. However, the survival of photosynthetic, eukaryotic, marine species through these glaciations may indicate that there were large areas of open ocean. A previously-proposed Slushball model for Neoproterozoic glaciations could easily explain the survival of these organisms because it has open ocean throughout the tropics, but there is only a small amount of hysteresis associated with the Slushball state. In this paper a new state of global climate, the Jormungand state, is proposed. In this state the ocean is very nearly globally ice-covered, but a very small strip of the tropical ocean remains ice-free. The low ice latitude of the Jormungand state is a consequence of the low albedo of snow-free (bare) sea ice. If the ice latitude propagates into the subtropical desert zone, it can stabilize without collapsing to the equator because subtropical ice-covered regions have a relatively low top-of-atmosphere albedo as a result of the exposure of bare sea ice and relatively lower cloud cover. Moreover, there is strong hysteresis associated with the Jormungand state as greenhouse gas levels are varied because of the high albedo contrast between regions of bare and snow covered sea ice. The Jormungand state is illustrated here in two different atmospheric global climate models and in the Budyko-Sellers model. By offering a scenario that could explain both strong hysteresis in global climate and the survival of life, the Jormungand state represents a potential model for Neoproterozoic glaciations, although further study of this issue is needed.</t>
  </si>
  <si>
    <t>[Abbot, Dorian S.; Koll, Daniel] Univ Chicago, Dept Geophys Sci, Chicago, IL 60637 USA; [Voigt, Aiko] Max Planck Inst Meteorol, D-20146 Hamburg, Germany</t>
  </si>
  <si>
    <t>University of Chicago; Max Planck Society</t>
  </si>
  <si>
    <t>Abbot, DS (corresponding author), Univ Chicago, Dept Geophys Sci, 5734 S Ellis Ave, Chicago, IL 60637 USA.</t>
  </si>
  <si>
    <t>abbot@uchicago.edu</t>
  </si>
  <si>
    <t>Voigt, Aiko/H-4691-2012; Abbot, Dorian S/J-6352-2012</t>
  </si>
  <si>
    <t>Voigt, Aiko/0000-0002-7394-8252;</t>
  </si>
  <si>
    <t>University of Chicago; Canadian Institute for Advanced Research; Max Planck society</t>
  </si>
  <si>
    <t>University of Chicago(University of Chicago); Canadian Institute for Advanced Research(Canadian Institute for Advanced Research (CIFAR)); Max Planck society(Max Planck Society)</t>
  </si>
  <si>
    <t>We thank J. Amundson, P. Hoffman, F. MacDonald, D. Notz, R. Pierrehumbert, E. Sperling, M. Silber, and S. Warren for conversations or comments on early versions of this manuscript. We thank J. Kasting, G. North, B. Rose, and an anonymous reviewer for thoughtful reviews. D. S. A. was supported by the T. C. Chamberlin Fellowship of the University of Chicago and the Canadian Institute for Advanced Research. This work was supported in part by the Max Planck society. The ECHAM5 simulations were performed at the German Climate Computing Center (DKRZ) in Hamburg, Germany.</t>
  </si>
  <si>
    <t>D18103</t>
  </si>
  <si>
    <t>10.1029/2011JD015927</t>
  </si>
  <si>
    <t>823OL</t>
  </si>
  <si>
    <t>WOS:000295131700006</t>
  </si>
  <si>
    <t>Aksenov, Y; Ivanov, VV; Nurser, AJG; Bacon, S; Polyakov, IV; Coward, AC; Naveira-Garabato, AC; Beszczynska-Moeller, A</t>
  </si>
  <si>
    <t>Aksenov, Yevgeny; Ivanov, Vladimir V.; Nurser, A. J. George; Bacon, Sheldon; Polyakov, Igor V.; Coward, Andrew C.; Naveira-Garabato, Alberto C.; Beszczynska-Moeller, Agnieszka</t>
  </si>
  <si>
    <t>The Arctic Circumpolar Boundary Current</t>
  </si>
  <si>
    <t>NORTH-ATLANTIC OCEAN; POTENTIAL VORTICITY; CANADA BASIN; SEA-ICE; WATER; HALOCLINE; SURFACE; MODEL; VARIABILITY; TRANSPORT</t>
  </si>
  <si>
    <t>We present high-resolution simulations and observational data as evidence of a fast current flowing along the shelf break of the Siberian and Alaskan shelves in the Arctic Ocean. Thus far, the Arctic Circumpolar Boundary Current (ACBC) has been seen as comprising two branches: the Fram Strait and Barents Sea Branches (FSB and BSB, respectively). Here we describe a new third branch, the Arctic Shelf Break Branch (ASBB). We show that the forcing mechanism for the ASBB is a combination of buoyancy loss and non-local wind, creating high pressure upstream in the Barents Sea. The potential vorticity influx through the St. Anna Trough dictates the cyclonic direction of flow of the ASBB, which is the most energetic large-scale circulation structure in the Arctic Ocean. It plays a substantial role in transporting Arctic halocline waters and exhibits a robust seasonal cycle with a summer minimum and winter maximum. The simulations show the continuity of the FSB all the way around the Arctic shelves and the uninterrupted ASBB between the St. Anna Trough and the western Fram Strait. The BSB flows continuously along the Siberian shelf as far as the Chukchi Plateau, where it partly diverges from the continental slope into the ocean interior. The Alaskan Shelf break Current (ASC) is the analog of the ASBB in the Canadian Arctic. The ASC is forced by the local winds and high upstream pressure in Bering Strait, caused by the drop in sea surface height between the Pacific and Arctic Oceans.</t>
  </si>
  <si>
    <t>[Aksenov, Yevgeny; Nurser, A. J. George; Bacon, Sheldon; Coward, Andrew C.; Naveira-Garabato, Alberto C.] Natl Oceanog Ctr Southampton, Southampton SO14 3ZH, Hants, England; [Ivanov, Vladimir V.; Polyakov, Igor V.] Univ Alaska, Int Arctic Res Ctr, Fairbanks, AK 99701 USA; [Ivanov, Vladimir V.] Arctic &amp; Antarctic Res Inst, St Petersburg 199226, Russia; [Ivanov, Vladimir V.] Scottish Assoc Marine Sci, Scottish Marine Lab, Oban, Argyll, Scotland; [Beszczynska-Moeller, Agnieszka] Univ Southampton, Sch Ocean &amp; Earth Sci, Southampton, Hants, England; [Beszczynska-Moeller, Agnieszka] Alfred Wegener Inst Polar &amp; Marine Res, Bremerhaven, Germany</t>
  </si>
  <si>
    <t>NERC National Oceanography Centre; University of Southampton; University of Alaska System; University of Alaska Fairbanks; Arctic &amp; Antarctic Research Institute; UHI Millennium Institute; NERC National Oceanography Centre; University of Southampton; Helmholtz Association; Alfred Wegener Institute, Helmholtz Centre for Polar &amp; Marine Research</t>
  </si>
  <si>
    <t>Aksenov, Y (corresponding author), Natl Oceanog Ctr Southampton, Southampton SO14 3ZH, Hants, England.</t>
  </si>
  <si>
    <t>yka@noc.ac.uk</t>
  </si>
  <si>
    <t>Bacon, Sheldon/B-1519-2013; Ivanov, Vladimir/AAX-6830-2020; Garabato, Alberto Naveira/AAQ-1114-2020; Ivanov, Vladimir/J-5979-2014</t>
  </si>
  <si>
    <t>Bacon, Sheldon/0000-0002-2471-9373; Garabato, Alberto Naveira/0000-0001-6071-605X; Ivanov, Vladimir/0000-0003-2569-6027; Beszczynska-Moller, Agnieszka/0000-0002-8108-6306</t>
  </si>
  <si>
    <t>Arctic Synoptic Basin-wide Oceanography Consortium; Natural Environment Research Council (NERC), UK; NERC [NE/C517633/1]; NABOS; IARC; NASA; NOAA; NSF; JAMSTEC; EU; ACOBAR (Acoustic Technology for Observing the Interior of the Arctic Ocean) [212887]; NERC [noc010010, dml010007, NE/D006201/1, noc010005, NE/I028939/1, NE/I028947/1] Funding Source: UKRI; Natural Environment Research Council [dml010007, NE/D006201/1, NE/C517633/1, noc010005, noc010012, noc010010, NE/I028939/1, NE/I028947/1] Funding Source: researchfish</t>
  </si>
  <si>
    <t>Arctic Synoptic Basin-wide Oceanography Consortium; Natural Environment Research Council (NERC), UK(UK Research &amp; Innovation (UKRI)Natural Environment Research Council (NERC)); NERC(UK Research &amp; Innovation (UKRI)Natural Environment Research Council (NERC)); NABOS; IARC; NASA(National Aeronautics &amp; Space Administration (NASA)); NOAA(National Oceanic Atmospheric Admin (NOAA) - USA); NSF(National Science Foundation (NSF)); JAMSTEC; EU(European Union (EU)); ACOBAR (Acoustic Technology for Observing the Interior of the Arctic Ocean); NERC(UK Research &amp; Innovation (UKRI)Natural Environment Research Council (NERC)); Natural Environment Research Council(UK Research &amp; Innovation (UKRI)Natural Environment Research Council (NERC))</t>
  </si>
  <si>
    <t>We would like to acknowledge the use of the observations collected in the Beaufort Sea near Alaskan Shelf and kindly supplied by Robert Pickart and Wilken von Appen (Woods Hole Oceanographic Institution, USA) along with the plots of these observational results. We also would like to thank Robert Pickart and Wilken von Appen for providing invaluable comment on the manuscript. We are very grateful to Beverly de Cuevas (National Oceanography Centre Southampton, UK) for the extensive help with the model data analysis and to Martin Wadley (University of East Anglia, UK) for contributing Pacific Water tracer simulations. We would like to thank the anonymous reviewers for the thorough comments which helped to improve the manuscript. This research has been primarily supported by the Arctic Synoptic Basin-wide Oceanography Consortium, Natural Environment Research Council (NERC), UK, and by the Oceans 2025 Research Programme of the above research council. Alberto Naveira-Garabato was supported by NERC through an Advanced Research Fellowship (NE/C517633/1). Vladimir Ivanov acknowledges support from NABOS and IARC for this research and Igor Polyakov acknowledges support from NASA, NOAA, NSF, and JAMSTEC. Long-term observations in Fram Strait have been supported by the EU projects ASOF-N (Arctic-Subarctic Ocean Flux Array for European Climate: North), DAMOCLES IP (Developing Arctic Modeling and Observing Capabilities for Long-term Environment Studies), and currently by ACOBAR (Acoustic Technology for Observing the Interior of the Arctic Ocean, grant agreement 212887). We also acknowledge the use of UK National high performance computing resource.</t>
  </si>
  <si>
    <t>C09017</t>
  </si>
  <si>
    <t>10.1029/2010JC006637</t>
  </si>
  <si>
    <t>823OV</t>
  </si>
  <si>
    <t>WOS:000295132800002</t>
  </si>
  <si>
    <t>Alvarez, M; Tanhua, T; Brix, H; Lo Monaco, C; Metzl, N; McDonagh, EL; Bryden, HL</t>
  </si>
  <si>
    <t>Alvarez, M.; Tanhua, T.; Brix, H.; Lo Monaco, C.; Metzl, N.; McDonagh, E. L.; Bryden, H. L.</t>
  </si>
  <si>
    <t>Decadal biogeochemical changes in the subtropical Indian Ocean associated with Subantarctic Mode Water</t>
  </si>
  <si>
    <t>APPARENT OXYGEN UTILIZATION; ANTHROPOGENIC CO2; SOUTHERN-OCEAN; NORTH PACIFIC; HYDROGRAPHIC SECTIONS; GYRE CIRCULATION; REDFIELD RATIOS; TEMPORAL TRENDS; CLIMATE; CARBON</t>
  </si>
  <si>
    <t>Within the Subantarctic Mode Water (SAMW) density level, we study temporal changes in salinity, nutrients, oxygen and TTD (Transit Time Distribution) ages in the western (W) and eastern (E) subtropical gyre of the Indian Ocean (IO) from 1987 to 2002. Additionally, changes in Total Alkalinity (TA) and Dissolved Inorganic Carbon (DIC) are evaluated between 1995 and 2002. The mechanisms behind the detected changes are discussed along with the results from a hindcast model run (Community Climate System Model). The increasing salinity and decreasing oxygen trends from 1960 to 1987 reversed from 1987 to 2002 along the gyre. In the W-IO a decreasing trend in TTD ages points to a faster delivery of SAMW, thus less biogenic matter remineralization, explaining the oxygen increase and noisier nutrients decrease. In the E-IO SAMW, no change in TTD ages was detected, therefore the trends in oxygen and inorganic nutrients relate to changes in the Antarctic Surface Water transported into the E-IO SAMW formation area. In the W-IO between 1995 and 2002, the DIC increase is equal or even less than the anthropogenic input as the reduction in remineralization contributes to mask the increasing trend. In the E-IO between 1995 and 2002, DIC decreases slightly despite the increase in the anthropogenic input. Differences in the preformed E-IO SAMW conditions would explain this behavior. Trends in the W and E IO SAMW are decoupled and related to different forcing mechanisms in the two main sites of SAMW formation in the IO, at 40 degrees S-70 degrees E and 45 degrees S-90 degrees E, respectively.</t>
  </si>
  <si>
    <t>[Alvarez, M.] Inst Espanol Ocean, E-15008 La Coruna, Spain; [Brix, H.] Univ Calif Los Angeles, Dept Atmospher &amp; Ocean Sci, Los Angeles, CA 90095 USA; [McDonagh, E. L.; Bryden, H. L.] Univ Southampton, NOCS, Southampton SO14 3ZH, Hants, England; [Lo Monaco, C.; Metzl, N.] Univ Paris 06, LOCEAN IPSL, F-75252 Paris 05, France; [Tanhua, T.] IFM GEOMAR, D-24105 Kiel, Germany</t>
  </si>
  <si>
    <t>University of California System; University of California Los Angeles; University of Southampton; NERC National Oceanography Centre; Museum National d'Histoire Naturelle (MNHN); Sorbonne Universite; Helmholtz Association; GEOMAR Helmholtz Center for Ocean Research Kiel</t>
  </si>
  <si>
    <t>Alvarez, M (corresponding author), Inst Espanol Ocean, Apdo 130, E-15008 La Coruna, Spain.</t>
  </si>
  <si>
    <t>marta.alvarez@co.ieo.es</t>
  </si>
  <si>
    <t>Tanhua, Toste/HLX-5402-2023; Monaco, Claire Lo/E-1696-2012; Álvarez, Marta/D-4367-2009</t>
  </si>
  <si>
    <t>Álvarez, Marta/0000-0002-5075-9344; McDonagh, Elaine/0000-0002-8813-4585; Bryden, Harry/0000-0002-8216-6359; Brix, Holger/0000-0003-4229-6164; Lo Monaco, Claire/0000-0002-5653-5018; metzl, nicolas/0000-0002-1165-1074</t>
  </si>
  <si>
    <t>UK Natural Environment Research Council [NER/A/S/2000/00438]; [RYC-2006-001836]; Natural Environment Research Council [noc010012] Funding Source: researchfish</t>
  </si>
  <si>
    <t>UK Natural Environment Research Council(UK Research &amp; Innovation (UKRI)Natural Environment Research Council (NERC)); ; Natural Environment Research Council(UK Research &amp; Innovation (UKRI)Natural Environment Research Council (NERC))</t>
  </si>
  <si>
    <t>Our gratitude goes to the chief scientists, scientists, and crew who participated and put their effort in the oceanographic cruises utilized in this study, particularly to those responsible for the carbon, CFC, and nutrients measurements. The fieldwork aboard RRS Charles Darwin along 32 S in the Indian Ocean in 2002 was supported principally by the UK Natural Environment Research Council under Grant NER/A/S/2000/00438 and under the Core Strategic Research Project Ocean Variability and Climate. M. A. was funded by grant RYC-2006-001836. We would also like to thank Scott Doney and Ivan Lima of the Woods Hole Institution for Oceanography for making the model code available and their support during the execution of the model runs. This is a MALASPINA contribution (CONSOLIDER-Ingenio CSD2008-00077).</t>
  </si>
  <si>
    <t>C09016</t>
  </si>
  <si>
    <t>10.1029/2010JC006475</t>
  </si>
  <si>
    <t>WOS:000295132800001</t>
  </si>
  <si>
    <t>Garabato, ACN; Ferrari, R; Polzin, KL</t>
  </si>
  <si>
    <t>Garabato, A. C. Naveira; Ferrari, R.; Polzin, K. L.</t>
  </si>
  <si>
    <t>Eddy stirring in the Southern Ocean</t>
  </si>
  <si>
    <t>ANTARCTIC CIRCUMPOLAR CURRENT; GULF-STREAM; EFFECTIVE DIFFUSIVITY; WAVE CAPTURE; PART I; TRANSPORT; JETS; CIRCULATION; MODEL; DYNAMICS</t>
  </si>
  <si>
    <t>There is an ongoing debate concerning the distribution of eddy stirring across the Antarctic Circumpolar Current (ACC) and the nature of its controlling processes. The problem is addressed here by estimating the isentropic eddy diffusivity kappa from a collection of hydrographic and altimetric observations, analyzed in a mixing length theoretical framework. It is shown that, typically, kappa is suppressed by an order of magnitude in the upper kilometer of the ACC frontal jets relative to their surroundings, primarily as a result of a local reduction of the mixing length. This observation is reproduced by a quasi-geostrophic theory of eddy stirring across a broad barotropic jet based on the scaling law derived by Ferrari and Nikurashin (2010). The theory interprets the observed widespread suppression of the mixing length and kappa in the upper layers of frontal jets as the kinematic consequence of eddy propagation relative to the mean flow within jet cores. Deviations from the prevalent regime of mixing suppression in the core of upper-ocean jets are encountered in a few special sites. Such 'leaky jet' segments appear to be associated with sharp stationary meanders of the mean flow that are generated by the interaction of the ACC with major topographic features. It is contended that the characteristic thermohaline structure of the Southern Ocean, consisting of multiple upper-ocean thermohaline fronts separated and underlaid by regions of homogenized properties, is largely a result of the widespread suppression of eddy stirring by parallel jets.</t>
  </si>
  <si>
    <t>[Garabato, A. C. Naveira] Univ Southampton, Natl Oceanog Ctr, Southampton SO14 3ZH, Hants, England; [Ferrari, R.] MIT, Dept Earth Atmospher &amp; Planetary Sci, Cambridge, MA 02139 USA; [Polzin, K. L.] Woods Hole Oceanog Inst, Dept Phys Oceanog, Woods Hole, MA 02543 USA</t>
  </si>
  <si>
    <t>NERC National Oceanography Centre; University of Southampton; Massachusetts Institute of Technology (MIT); Woods Hole Oceanographic Institution</t>
  </si>
  <si>
    <t>Garabato, ACN (corresponding author), Univ Southampton, Natl Oceanog Ctr, European Way, Southampton SO14 3ZH, Hants, England.</t>
  </si>
  <si>
    <t>acng@noc.soton.ac.uk</t>
  </si>
  <si>
    <t>Ferrari, Raffaele/C-9337-2013; Garabato, Alberto Naveira/AAQ-1114-2020</t>
  </si>
  <si>
    <t>Ferrari, Raffaele/0000-0002-3736-1956; Garabato, Alberto Naveira/0000-0001-6071-605X</t>
  </si>
  <si>
    <t>MIT [NE/C517633/1]; U.K. Natural Environment Research Council (NERC) [NE/C517633/1]; NSF [OCE-0825376]; WHOI; Natural Environment Research Council [NE/G001510/1, NE/C517633/1] Funding Source: researchfish; Directorate For Geosciences; Division Of Ocean Sciences [0825376] Funding Source: National Science Foundation; NERC [NE/G001510/1] Funding Source: UKRI</t>
  </si>
  <si>
    <t>MIT; U.K. Natural Environment Research Council (NERC)(UK Research &amp; Innovation (UKRI)Natural Environment Research Council (NERC)); NSF(National Science Foundation (NSF)); WHOI; Natural Environment Research Council(UK Research &amp; Innovation (UKRI)Natural Environment Research Council (NERC)); Directorate For Geosciences; Division Of Ocean Sciences(National Science Foundation (NSF)NSF - Directorate for Geosciences (GEO)); NERC(UK Research &amp; Innovation (UKRI)Natural Environment Research Council (NERC))</t>
  </si>
  <si>
    <t>This study was conducted during A.C.N.G.'s stay at MIT, which was supported jointly by MIT and the U.K. Natural Environment Research Council (NERC) through a NERC Advanced Research Fellowship (NE/C517633/1). R.F. acknowledges the support of NSF award OCE-0825376. K.P.'s participation in this work was supported by WHOI bridge support funds. We are grateful to David Marshall, Alan Plumb, Peter Rhines, Bernadette Sloyan, Andy Thompson and Jan Zika for helpful discussions; Rob Scott for advice with the analysis of altimetric observations; and Chris Hughes for providing the altimetric estimate of zonal wave speed reproduced in Figure 2d.</t>
  </si>
  <si>
    <t>C09019</t>
  </si>
  <si>
    <t>10.1029/2010JC006818</t>
  </si>
  <si>
    <t>WOS:000295132800005</t>
  </si>
  <si>
    <t>Bortnik, J; Omidi, N; Chen, L; Thorne, RM; Horne, RB</t>
  </si>
  <si>
    <t>Bortnik, J.; Omidi, N.; Chen, L.; Thorne, R. M.; Horne, R. B.</t>
  </si>
  <si>
    <t>Saturation characteristics of electromagnetic ion cyclotron waves</t>
  </si>
  <si>
    <t>OUTER RADIATION BELT; 1-2 MAGNETIC PULSATIONS; PITCH-ANGLE SCATTERING; RING CURRENT; EQUATORIAL MAGNETOSPHERE; PARTICLE INTERACTIONS; EARTHS MAGNETOSPHERE; GEOMAGNETIC STORMS; SPACE PLASMAS; VLF EMISSIONS</t>
  </si>
  <si>
    <t>Electromagnetic ion cyclotron (EMIC) waves are an integral component of the Earth's dynamic space environment. In order to quantify their effect, it is necessary to know their saturation amplitude, but in modeling studies it is usually the linear growth rate that is calculated and various assumptions need to be made in order to relate this growth rate to the final amplitude of the wave. Here, we perform a comparison of the saturation characteristics of EMIC waves using a 2.5-D electromagnetic hybrid PIC code, with the corresponding linear growth rates calculated with the hot-plasma dispersion solver of the HOTRAY code. We choose a set of values consistent with satellite observations for our nominal case, and explore the parameter space in the neighborhood of this nominal case, by varying the hot proton density and thermal anisotropy. We find that the saturation amplitudes increase monotonically, and the times to saturation decrease monotonically with increasing growth rates, independent of the values of density and anisotropy. Both the saturation amplitude and time to saturation curves can be fit by simple two-parameter models with acceptable errors. This result implies that within the limitations and caveats of the present study, the saturation amplitudes and time to saturation can be predicted with good accuracy based on the linear growth rates alone, which can be used directly in conjunctions with global ring current simulations to model the resultant effects on magnetospheric particles.</t>
  </si>
  <si>
    <t>[Bortnik, J.; Chen, L.; Thorne, R. M.] Univ Calif Los Angeles, Dept Atmospher &amp; Ocean Sci, Los Angeles, CA 90095 USA; [Horne, R. B.] British Antarctic Survey, Cambridge CB3 0ET, England; [Omidi, N.] Solana Sci Inc, Solana Beach, CA 92075 USA</t>
  </si>
  <si>
    <t>University of California System; University of California Los Angeles; UK Research &amp; Innovation (UKRI); Natural Environment Research Council (NERC); NERC British Antarctic Survey; Solana Scientific Inc</t>
  </si>
  <si>
    <t>Bortnik, J (corresponding author), Univ Calif Los Angeles, Dept Atmospher &amp; Ocean Sci, Math Sci Bldg,Rm 7115, Los Angeles, CA 90095 USA.</t>
  </si>
  <si>
    <t>jbortnik@atmos.ucla.edu</t>
  </si>
  <si>
    <t>Horne, Richard B/U-3764-2019; Chen, Lunjin/L-1250-2013</t>
  </si>
  <si>
    <t>Horne, Richard B/0000-0002-0412-6407; Chen, Lunjin/0000-0003-2489-3571</t>
  </si>
  <si>
    <t>NASA [NNX08A135G, NNX08AM17G]; NASA [98710, NNX08AM17G] Funding Source: Federal RePORTER; Natural Environment Research Council [bas0100023] Funding Source: researchfish; NERC [bas0100023] Funding Source: UKRI</t>
  </si>
  <si>
    <t>NASA(National Aeronautics &amp; Space Administration (NASA)); NASA(National Aeronautics &amp; Space Administration (NASA)); Natural Environment Research Council(UK Research &amp; Innovation (UKRI)Natural Environment Research Council (NERC)); NERC(UK Research &amp; Innovation (UKRI)Natural Environment Research Council (NERC))</t>
  </si>
  <si>
    <t>The authors gratefully acknowledge the support of NASA through grants NNX08A135G and NNX08AM17G.</t>
  </si>
  <si>
    <t>A09219</t>
  </si>
  <si>
    <t>10.1029/2011JA016638</t>
  </si>
  <si>
    <t>823PF</t>
  </si>
  <si>
    <t>WOS:000295134200004</t>
  </si>
  <si>
    <t>Hendry, KR; Rickaby, REM; Allen, CS</t>
  </si>
  <si>
    <t>Hendry, Katharine R.; Rickaby, Rosalind E. M.; Allen, Claire S.</t>
  </si>
  <si>
    <t>Changes in micronutrient supply to the surface Southern Ocean (Atlantic sector) across the glacial termination</t>
  </si>
  <si>
    <t>deglaciation; diatom opal; westerlies; zinc</t>
  </si>
  <si>
    <t>NORTHERN MARGUERITE BAY; ANTARCTIC SEA-ICE; ATMOSPHERIC CO2; CLIMATE VARIABILITY; DISSOLVED IRON; PACIFIC SECTOR; SCOTIA SEA; WATERS; DEEP; OPAL</t>
  </si>
  <si>
    <t>Major deepwater masses upwell and reach the surface in the Southern Ocean, forming an important conduit supplying nutrients and micronutrients to the surface and playing a key role in the regulation of global climate through ocean-atmosphere gas exchange. Here, we reconstruct changes in micronutrient distribution in this region in response to past changes in upwelling, oceanic mixing, and sea-ice seasonality. We present two downcore (Zn/Si)(opal) records from the Scotia Sea and Drake Passage region, which we interpret in the context of micronutrient distribution in the Atlantic sector of the Southern Ocean over the last glacial termination. Previous work shows that micronutrient availability in the surface waters in the South Atlantic appear to be controlled dominantly by upwelling and mixing of micronutrient rich deepwaters, which are additionally fuelled by the terrestrial sediment sources of the Scotia Arc and South Georgia. This is supported by our reconstructions, which show micronutrient availability to the west of the Scotia Arc and South Georgia are consistently lower than to the east over the last glacial termination due to downstream transport and mixing into surface waters of continentally derived material in the Antarctic Circumpolar Current. Micronutrient availability in this region was at a minimum from 20 to 25 ky BP, coinciding with maximum sea-ice coverage, and increased due to an expansion of the seasonal sea-ice zone and increased mixing of subsurface waters. Our findings are consistent with largely diminished upwelling of micronutrients during the maximum glacial extent, and reduced mixing due to the presence of persistent sea-ice. During the deglacial there was an increase in micronutrient availability, as well as other nutrients and inorganic carbon, within the Antarctic Circumpolar Current as a result of an increase in deep oceanic upwelling, mixing and strengthened zonal transport. Components: 6800 words, 5 figures, 1 table.</t>
  </si>
  <si>
    <t>[Hendry, Katharine R.] Woods Hole Oceanog Inst, Dept Marine Chem &amp; Geochem, Woods Hole, MA 02543 USA; [Hendry, Katharine R.] Cardiff Univ, Sch Earth &amp; Ocean Sci, Cardiff CF10 3AT, S Glam, Wales; [Rickaby, Rosalind E. M.] Univ Oxford, Dept Earth Sci, Oxford OX1 3AN, England; [Allen, Claire S.] British Antarctic Survey, Cambridge CB3 0ET, England</t>
  </si>
  <si>
    <t>Woods Hole Oceanographic Institution; Cardiff University; University of Oxford; UK Research &amp; Innovation (UKRI); Natural Environment Research Council (NERC); NERC British Antarctic Survey</t>
  </si>
  <si>
    <t>Hendry, KR (corresponding author), Woods Hole Oceanog Inst, Dept Marine Chem &amp; Geochem, Woods Hole, MA 02543 USA.</t>
  </si>
  <si>
    <t>khendry@whoi.edu</t>
  </si>
  <si>
    <t>Hendry, Katharine/E-4793-2011</t>
  </si>
  <si>
    <t>Hendry, Katharine/0000-0002-0790-5895; Rickaby, Rosalind/0000-0002-6095-8419</t>
  </si>
  <si>
    <t>Antarctic Funding Initiative [AFI4-02]; [NERC/S/A/2004/12390]; Natural Environment Research Council [bas0100024, NE/F005296/1] Funding Source: researchfish; NERC [bas0100024, NE/F005296/1] Funding Source: UKRI</t>
  </si>
  <si>
    <t>Antarctic Funding Initiative; ; Natural Environment Research Council(UK Research &amp; Innovation (UKRI)Natural Environment Research Council (NERC)); NERC(UK Research &amp; Innovation (UKRI)Natural Environment Research Council (NERC))</t>
  </si>
  <si>
    <t>The authors would like to thank Claus-Dieter Hillenbrand (British Antarctic Survey) for assistance with core sampling; John Arden and David Harding for assistance in the laboratory; editor Louis Derry, an anonymous associate editor and two anonymous reviewers for constructive criticisms. This work was funded by NERC/S/A/2004/12390 and the Antarctic Funding Initiative grant AFI4-02.</t>
  </si>
  <si>
    <t>SEP 16</t>
  </si>
  <si>
    <t>Q09007</t>
  </si>
  <si>
    <t>10.1029/2011GC003691</t>
  </si>
  <si>
    <t>823PJ</t>
  </si>
  <si>
    <t>Bronze, Green Accepted, Green Published</t>
  </si>
  <si>
    <t>WOS:000295134600002</t>
  </si>
  <si>
    <t>Church, JA; White, NJ; Konikow, LF; Domingues, CM; Cogley, JG; Rignot, E; Gregory, JM; van den Broeke, MR; Monaghan, AJ; Velicogna, I</t>
  </si>
  <si>
    <t>Church, John A.; White, Neil J.; Konikow, Leonard F.; Domingues, Catia M.; Cogley, J. Graham; Rignot, Eric; Gregory, Jonathan M.; van den Broeke, Michiel R.; Monaghan, Andrew J.; Velicogna, Isabella</t>
  </si>
  <si>
    <t>Revisiting the Earth's sea-level and energy budgets from 1961 to 2008</t>
  </si>
  <si>
    <t>CLIMATE-CHANGE; MASS-BALANCE; LAND WATER; OCEAN; HEAT; TRENDS; TEMPERATURE; IMPACT</t>
  </si>
  <si>
    <t>We review the sea-level and energy budgets together from 1961, using recent and updated estimates of all terms. From 1972 to 2008, the observed sea-level rise (1.8 +/- 0.2 mm yr(-1) from tide gauges alone and 2.1 +/- 0.2 mm yr(-1) from a combination of tide gauges and altimeter observations) agrees well with the sum of contributions (1.8 +/- 0.4 mm yr(-1)) in magnitude and with both having similar increases in the rate of rise during the period. The largest contributions come from ocean thermal expansion (0.8 mm yr(-1)) and the melting of glaciers and ice caps (0.7 mm yr(-1)), with Greenland and Antarctica contributing about 0.4 mm yr(-1). The cryospheric contributions increase through the period (particularly in the 1990s) but the thermosteric contribution increases less rapidly. We include an improved estimate of aquifer depletion (0.3 mm yr(-1)), partially offsetting the retention of water in dams and giving a total terrestrial storage contribution of -0.1 mm yr(-1). Ocean warming (90% of the total of the Earth's energy increase) continues through to the end of the record, in agreement with continued greenhouse gas forcing. The aerosol forcing, inferred as a residual in the atmospheric energy balance, is estimated as -0.8 +/- 0.4 W m(-2) for the 1980s and early 1990s. It increases in the late 1990s, as is required for consistency with little surface warming over the last decade. This increase is likely at least partially related to substantial increases in aerosol emissions from developing nations and moderate volcanic activity. Citation: Church, J. A., N. J. White, L. F. Konikow, C. M. Domingues, J. G. Cogley, E. Rignot, J. M. Gregory, M. R. van den Broeke, A. J. Monaghan, and I. Velicogna (2011), Revisiting the Earth's sea-level and energy budgets from 1961 to 2008, Geophys. Res. Lett., 38, L18601, doi:10.1029/2011GL048794.</t>
  </si>
  <si>
    <t>[Church, John A.; White, Neil J.] CSIRO Marine &amp; Atmospher Res, Ctr Australian Weather &amp; Climate Res &amp; Wealth Oce, Hobart, Tas 7001, Australia; [Konikow, Leonard F.] US Geol Survey, Natl Ctr 431, Reston, VA 20192 USA; [Domingues, Catia M.] CSIRO Marine &amp; Atmospher Res, Antarctic Climate &amp; Ecosyst Cooperat Res Ctr, Aspendale, Vic 3195, Australia; [Cogley, J. Graham] Trent Univ, Dept Geog, Peterborough, ON K9J 7B8, Canada; [Rignot, Eric; Velicogna, Isabella] Univ Calif Irvine, Dept Earth Syst Sci, Irvine, CA 92697 USA; [Rignot, Eric; Velicogna, Isabella] CALTECH, Jet Prop Lab, Pasadena, CA USA; [Gregory, Jonathan M.] Univ Reading, Dept Meteorol, NCAS Climate, Reading RG6 6BB, Berks, England; [Gregory, Jonathan M.] Hadley Ctr, Met Off, Exeter, Devon, England; [van den Broeke, Michiel R.] Univ Utrecht, Inst Marine &amp; Atmospher Res, NL-3508 TA Utrecht, Netherlands; [Monaghan, Andrew J.] Natl Ctr Atmospher Res, Boulder, CO 80307 USA</t>
  </si>
  <si>
    <t>Commonwealth Scientific &amp; Industrial Research Organisation (CSIRO); United States Department of the Interior; United States Geological Survey; Commonwealth Scientific &amp; Industrial Research Organisation (CSIRO); Antarctic Climate &amp; Ecosystems Cooperative Research Centre (ACE CRC); Trent University; University of California System; University of California Irvine; National Aeronautics &amp; Space Administration (NASA); NASA Jet Propulsion Laboratory (JPL); California Institute of Technology; UK Research &amp; Innovation (UKRI); Natural Environment Research Council (NERC); NERC National Centre for Atmospheric Science; University of Reading; Met Office - UK; Hadley Centre; Utrecht University; National Center Atmospheric Research (NCAR) - USA</t>
  </si>
  <si>
    <t>Church, JA (corresponding author), CSIRO Marine &amp; Atmospher Res, Ctr Australian Weather &amp; Climate Res, GPO Box 1538, Hobart, Tas 7001, Australia.</t>
  </si>
  <si>
    <t>john.church@csiro.au</t>
  </si>
  <si>
    <t>Van den Broeke, Michiel R./F-7867-2011; White, Neil/B-2077-2013; Rignot, Eric/A-4560-2014; Church, John A/A-1541-2012; Gregory, Jonathan/J-2939-2016; Velicogna, Isabella/R-5561-2018; Domingues, Catia M./A-2901-2015</t>
  </si>
  <si>
    <t>Van den Broeke, Michiel R./0000-0003-4662-7565; Rignot, Eric/0000-0002-3366-0481; Church, John A/0000-0002-7037-8194; Gregory, Jonathan/0000-0003-1296-8644; Domingues, Catia M./0000-0001-5100-4595; Monaghan, Andrew/0000-0002-8170-2359</t>
  </si>
  <si>
    <t>Australian Climate Change Science Program; CSIRO Office of the Chief Executive (OCE); Natural Environment Research Council [ncas10009] Funding Source: researchfish</t>
  </si>
  <si>
    <t>Australian Climate Change Science Program; CSIRO Office of the Chief Executive (OCE); Natural Environment Research Council(UK Research &amp; Innovation (UKRI)Natural Environment Research Council (NERC))</t>
  </si>
  <si>
    <t>This paper is a contribution to the Common-wealth Scientific Industrial Research Organization (CSIRO) Climate Change Research Program. J.A.C., N.J.W. were partly funded by the Australian Climate Change Science Program C.M.D. was supported by a CSIRO Office of the Chief Executive (OCE) Postdoctoral Fellowship. The Centre for Australian Weather and Climate Research is a partnership between CSIRO and the Australian Bureau of Meteorology. National Aeronautics and Space Administration &amp; Centre National d'Etudes Spaciales provided the satellite altimeter data, Permanent Service for Meal Sea Level the tide-gauge data.</t>
  </si>
  <si>
    <t>L18601</t>
  </si>
  <si>
    <t>10.1029/2011GL048794</t>
  </si>
  <si>
    <t>823PQ</t>
  </si>
  <si>
    <t>WOS:000295135500005</t>
  </si>
  <si>
    <t>Noguchi, T; Nakamura, T; Ushikubo, T; Kita, NT; Valley, JW; Yamanaka, R; Kimoto, Y; Kitazawa, Y</t>
  </si>
  <si>
    <t>Noguchi, T.; Nakamura, T.; Ushikubo, T.; Kita, N. T.; Valley, J. W.; Yamanaka, R.; Kimoto, Y.; Kitazawa, Y.</t>
  </si>
  <si>
    <t>A chondrule-like object captured by space-exposed aerogel on the international space station</t>
  </si>
  <si>
    <t>micrometeoroid; hypervelocity capture; international space station; transmission electron microscopy; oxygen isotopic ratios; SIMS</t>
  </si>
  <si>
    <t>OXYGEN-ISOTOPIC COMPOSITIONS; PORPHYRITIC PYROXENE CHONDRULES; COMET 81P/WILD 2; ANTARCTIC MICROMETEORITES; IMPACT FEATURES; FEO-RICH; CHONDRITES; MINERALOGY; PETROLOGY; STARDUST</t>
  </si>
  <si>
    <t>Here we report on the mineralogy, petrography, and oxygen-isotope compositions of a micrometeoroid captured on the international space station. This micrometeoroid has the texture of a porphyritic olivine chondrule. Because hydrated phases were not identified in the micrometeoroid and because Ni-rich sulfide in it does not show exsolution of pentlandite on the TEM scale, the micrometeoroid probably escaped low temperature events such as aqueous alteration on its parent body. However, the mean value and standard deviation of Cr2O3 wt.% in olivine in the micrometeoroid suggest that the micrometeoroid experienced weak thermal metamorphism. Oxygen isotope ratios of pyroxene and olivine in the micrometeoroid are similar to those of chondrule-like objects in comet 81P/Wild2 and coarse-grained crystalline micrometeorites as well as those in chondrules in major types of carbonaceous chondrites. These data suggest that the micrometeoroid is a fragment of a chondrule-like object that was derived from a primitive parent body that experienced thermal metamorphism. (C) 2011 Elsevier B.V. All rights reserved.</t>
  </si>
  <si>
    <t>[Noguchi, T.] Ibaraki Univ, Coll Sci, Mito, Ibaraki 3108512, Japan; [Nakamura, T.] Tohoku Univ, Dept Earth Sci, Grad Sch Sci, Aoba Ku, Sendai, Miyagi 9808578, Japan; [Ushikubo, T.; Kita, N. T.; Valley, J. W.] Univ Wisconsin, WiscSIMS, Dept Geosci, Madison, WI 53706 USA; [Yamanaka, R.; Kimoto, Y.; Kitazawa, Y.] Japan Aerosp Explorat Agcy, Aerosp Res &amp; Dev Directorate, Tsukuba, Ibaraki 3058505, Japan; [Kitazawa, Y.] IHI Corp, Koto Ku, Tokyo 1358710, Japan</t>
  </si>
  <si>
    <t>Ibaraki University; Tohoku University; University of Wisconsin System; University of Wisconsin Madison; Japan Aerospace Exploration Agency (JAXA); IHI Corporation</t>
  </si>
  <si>
    <t>Noguchi, T (corresponding author), 2-1-1 Bunkyo, Mito, Ibaraki 3108512, Japan.</t>
  </si>
  <si>
    <t>tngc@mx.ibaraki.ac.jp</t>
  </si>
  <si>
    <t>Valley, John W./B-3466-2011; Kita, Noriko T./H-8035-2016; Noguchi, Takaaki/IWV-1123-2023</t>
  </si>
  <si>
    <t>Valley, John W./0000-0003-3530-2722; Kita, Noriko T./0000-0002-0204-0765; Noguchi, Takaaki/0000-0001-7211-2595; Ushikubo, Takayuki/0000-0002-5934-5076</t>
  </si>
  <si>
    <t>NASA [NNX07AI46G, NNX09AC30G]; Japan Ministry of Education, Culture, Sports, Science and Technology [17340157, 19104012]; NSF [EAR03-19230, EAR07-44079]; Directorate For Geosciences; Division Of Earth Sciences [1053466] Funding Source: National Science Foundation; Grants-in-Aid for Scientific Research [17340157, 22224010, 21340165] Funding Source: KAKEN; NASA [NNX09AC30G, 120663] Funding Source: Federal RePORTER</t>
  </si>
  <si>
    <t>NASA(National Aeronautics &amp; Space Administration (NASA)); Japan Ministry of Education, Culture, Sports, Science and Technology(Ministry of Education, Culture, Sports, Science and Technology, Japan (MEXT)); NSF(National Science Foundation (NSF)); Directorate For Geosciences; Division Of Earth Sciences(National Science Foundation (NSF)NSF - Directorate for Geosciences (GEO)); Grants-in-Aid for Scientific Research(Ministry of Education, Culture, Sports, Science and Technology, Japan (MEXT)Japan Society for the Promotion of ScienceGrants-in-Aid for Scientific Research (KAKENHI)); NASA(National Aeronautics &amp; Space Administration (NASA))</t>
  </si>
  <si>
    <t>We appreciate IHI Aerospace Co. Ltd., Advanced Engineering Services Co. Ltd., and Nissan Arc Co. Ltd. for supporting the optical inspection of the silica aerogel tiles. We thank H. Nagahara and H. Yoshida for permission to use FE-SEM and EPMA at University of Tokyo. We thank K. Shimada, K. Sakamoto and R. Okazaki, for making it possible for us to perform FE-EPMA analysis at Kyushu University. We appreciate M. Kimura's comments on opaque mineralogy of chondrules. Constructive comments by two anonymous reviewers helped to improve our manuscript considerably. This work is supported by NASA grants NNX07AI46G and NNX09AC30G (N.K.) and by a Grant-in-aid of the Japan Ministry of Education, Culture, Sports, Science and Technology (17340157) to T. Noguchi. WiscSIMS is supported partly by NSF (EAR03-19230 and EAR07-44079). The machine fee was supported by a Grant-in-aid of the Japan Ministry of Education, Culture, Sports, Science and Technology (19104012) to T. Nakamura.</t>
  </si>
  <si>
    <t>SEP 15</t>
  </si>
  <si>
    <t>10.1016/j.epsl.2011.06.032</t>
  </si>
  <si>
    <t>831CZ</t>
  </si>
  <si>
    <t>WOS:000295707600003</t>
  </si>
  <si>
    <t>De La Rocha, CL; Bescont, P; Croguennoc, A; Ponzevera, E</t>
  </si>
  <si>
    <t>De La Rocha, Christina L.; Bescont, Pierre; Croguennoc, Alice; Ponzevera, Emmanuel</t>
  </si>
  <si>
    <t>The silicon isotopic composition of surface waters in the Atlantic and Indian sectors of the Southern Ocean</t>
  </si>
  <si>
    <t>BIOGENIC SILICA; MASS SPECTROMETRY; MARINE DIATOMS; PACIFIC SECTOR; NATURAL-WATERS; IRON; SI; FRACTIONATION; PURIFICATION; PRODUCTIVITY</t>
  </si>
  <si>
    <t>We report here the silicon isotopic composition (delta Si-30) of dissolved silicon (DSi) from 42 surface water samples from the Drake Passage, the Weddell Gyre, other areas south of the Southern Boundary of the Antarctic Circumpolar Current (ACC), and the ACC near the Kerguelen Plateau, taken between the beginning of February and the end of March 2007. From the beginning to end of the cruise (ANTXXIII/9), DSi diminished in the Antarctic by 50 mu mol L-1 while concentrations of nitrate + nitrite and phosphate showed no net decline, indicating that the high seasonal Si/N removal ratios well known for the Southern Ocean may be more related to the strength of the silicate pump in the Southern Ocean than to the instantaneous Si/N uptake ratio of diatoms. The delta Si-30 of DSi in samples containing more than 20 mu M DSi were strongly negatively correlated to DSi concentrations, supporting the use of delta Si-30 as a proxy for DSi removal. The open system fractionation observed, epsilon = -1.2 +/- 0.11 parts per thousand, agrees well with results from previous work in other areas, and the estimate of the initial delta Si-30 of DSi of + 1.4 parts per thousand is not far off observations of the delta Si-30 of DSi in Winter Water (WW) in this area. Results were used to model DSi draw down in the past from the delta Si-30 of sediment cores, although isotopic fractionation during silica dissolution appeared to influence the d 30 Si of some surface water samples, inviting further study of this phenomenon. (C) 2011 Elsevier Ltd. All rights reserved.</t>
  </si>
  <si>
    <t>[De La Rocha, Christina L.; Bescont, Pierre; Croguennoc, Alice] Univ Bretagne Occidentale, IUEM, LEMAR, UMR 6539, F-29280 Plouzane, France; [Ponzevera, Emmanuel] IFREMER, Dept Geosci Marines, Plouzane, France</t>
  </si>
  <si>
    <t>Universite de Bretagne Occidentale; Institut Universitaire Europeen de la Mer (IUEM); Centre National de la Recherche Scientifique (CNRS); Ifremer; Institut de Recherche pour le Developpement (IRD); CNRS - Institute of Ecology &amp; Environment (INEE); Ifremer</t>
  </si>
  <si>
    <t>De La Rocha, CL (corresponding author), Univ Bretagne Occidentale, IUEM, LEMAR, UMR 6539, Technopole Brest Iroise,Pl Nicolas Copernic, F-29280 Plouzane, France.</t>
  </si>
  <si>
    <t>christina.delarocha@univ-brest.fr</t>
  </si>
  <si>
    <t>Ponzevera, Emmanuel/0000-0001-6481-7309</t>
  </si>
  <si>
    <t>Deutsche Forschungsgemeinschaft in Germany [DE 1455/1-1]; SIMS (Silicon Isotopes in the Southern Ocean) of the CNRS in France</t>
  </si>
  <si>
    <t>Deutsche Forschungsgemeinschaft in Germany(German Research Foundation (DFG)); SIMS (Silicon Isotopes in the Southern Ocean) of the CNRS in France</t>
  </si>
  <si>
    <t>We thank the captain and crew of the research vessel F.S. Polarstern; R. Gersonde, H. Hubberton, and the Alfred Wegener Institute for the opportunity to join ANTXXIII/9; and E. Anagnostou, C. Schlosser, S. Kretschmer, P. Sperlich, P. Croot, M. Rutgers van der Loeff, and R. Sherrell for equipment, assistance, and advice; and O. Ragueneau for insightful comments on an early draft of the manuscript, and the associate editor and reviewers for useful reviews. This research was supported by the grants (to C.L.D.) DE 1455/1-1 from the Deutsche Forschungsgemeinschaft (Antarctic Schwerpunkt Programm) in Germany and SIMS (Silicon Isotopes in the Southern Ocean) through the LEFE/CYBER program of the CNRS in France. This study took place during the International Polar Year.</t>
  </si>
  <si>
    <t>10.1016/j.gca.2011.06.028</t>
  </si>
  <si>
    <t>806BE</t>
  </si>
  <si>
    <t>WOS:000293775200012</t>
  </si>
  <si>
    <t>Caniupán, M; Lamy, F; Lange, CB; Kaiser, J; Arz, H; Kilian, R; Urrea, OB; Aracena, C; Hebbeln, D; Kissel, C; Laj, C; Mollenhauer, G; Tiedemann, R</t>
  </si>
  <si>
    <t>Caniupan, M.; Lamy, F.; Lange, C. B.; Kaiser, J.; Arz, H.; Kilian, R.; Urrea, O. Baeza; Aracena, C.; Hebbeln, D.; Kissel, C.; Laj, C.; Mollenhauer, G.; Tiedemann, R.</t>
  </si>
  <si>
    <t>Millennial-scale sea surface temperature and Patagonian Ice Sheet changes off southernmost Chile (53°S) over the past ∼60 kyr</t>
  </si>
  <si>
    <t>LAST GLACIAL MAXIMUM; LATE PLEISTOCENE; HOLOCENE CHANGES; NORTH-ATLANTIC; NEW-ZEALAND; DEEP-OCEAN; ALKENONE; CALIBRATION; SALINITY; PATTERNS</t>
  </si>
  <si>
    <t>Glacial millennial-scale paleoceanographic changes in the Southeast Pacific and the adjacent Southern Ocean are poorly known due to the scarcity of well-dated and high resolution sediment records. Here we present new surface water records from sediment core MD07-3128 recovered at 53 degrees S off the Pacific entrance of the Strait of Magellan. The alkenone-derived sea surface temperature (SST) record reveals a very strong warming of ca. 8 C over the last Termination and substantial millennial-scale variability in the glacial section largely consistent with our planktonic foraminifera oxygen isotope (delta O-18) record of Neogloboquadrina pachyderma (sin.). The timing and structure of the Termination and some of the millennial-scale SST fluctuations are very similar to those observed in the well-dated SST record from ODP Site 1233 (41 degrees S) and the temperature record from Drowning Maud Land Antarctic ice core supporting the hemispheric-wide Antarctic timing of SST changes. However, differences in our new SST record are also found including a long-term warming trend over Marine Isotope Stage (MIS) 3 followed by a cooling toward the Last Glacial Maximum (LGM). We suggest that these differences reflect regional cooling related to the proximal location of the southern Patagonian Ice Sheet and related meltwater supply at least during the LGM consistent with the fact that no longer SST cooling trend is observed in ODP Site 1233 or any SST Chilean record. This proximal ice sheet location is documented by generally higher contents of ice rafted debris (IRD) and tetra-unsaturated alkenones, and a slight trend toward lighter planktonic delta O-18 during late MIS 3 and MIS 2.</t>
  </si>
  <si>
    <t>[Caniupan, M.; Lamy, F.; Mollenhauer, G.; Tiedemann, R.] Alfred Wegener Inst Polar &amp; Marine Res, D-27570 Bremerhaven, Germany; [Aracena, C.] Univ Concepcion, Grad Programme Oceanog, Concepcion, Chile; [Kaiser, J.; Arz, H.] Leibniz Inst Balt Sea Res Warnemunde, D-18119 Rostock, Germany; [Kilian, R.; Urrea, O. Baeza] Univ Trier, Lehrstuhl Geol, D-54286 Trier, Germany; [Hebbeln, D.] Univ Bremen, MARUM, Ctr Marine Environm Sci, D-28359 Bremen, Germany; [Kissel, C.; Laj, C.] Inst Pierre Simon Laplace, Lab Sci Climat &amp; Environm, F-91198 Gif Sur Yvette, France; [Lange, C. B.] Univ Concepcion, Dept Oceanog, Concepcion, Chile; [Lange, C. B.] Univ Concepcion, Ctr Oceanog Res Eastern S Pacific, Concepcion, Chile</t>
  </si>
  <si>
    <t>Helmholtz Association; Alfred Wegener Institute, Helmholtz Centre for Polar &amp; Marine Research; Universidad de Concepcion; Leibniz Institut fur Ostseeforschung Warnemunde; Universitat Trier; University of Bremen; CEA; Centre National de la Recherche Scientifique (CNRS); Universite Paris Saclay; Universite Paris Cite; Universidad de Concepcion; Universidad de Concepcion</t>
  </si>
  <si>
    <t>Caniupán, M (corresponding author), Alfred Wegener Inst Polar &amp; Marine Res, Handelshafen 12, D-27570 Bremerhaven, Germany.</t>
  </si>
  <si>
    <t>frank.lamy@awi.de</t>
  </si>
  <si>
    <t>Mollenhauer, Gesine/B-5190-2015; Lange, Carina/AHC-2015-2022; Arz, Helge W/A-6659-2013; Catherine, Kissel/AAH-1647-2019; Mollenhauer, Gesine/AAD-8167-2019; Lamy, Frank/H-3611-2014; Hebbeln, Dierk/P-9766-2016</t>
  </si>
  <si>
    <t>Mollenhauer, Gesine/0000-0001-5138-564X; Lange, Carina/0000-0002-2916-4207; Catherine, Kissel/0000-0002-2572-2742; Mollenhauer, Gesine/0000-0001-5138-564X; Tiedemann, Ralf/0000-0001-7211-8049; Arz, Helge Wolfgang/0000-0002-1997-1718; Lamy, Frank/0000-0001-5952-1765; Hebbeln, Dierk/0000-0001-5099-6115; Aracena Perez, Claudia Mileni/0000-0002-6558-9093</t>
  </si>
  <si>
    <t>Deutsche Forschungsgemeinschaft (DFG) [LA 1273/3-2, LA1273/5-1, KI-456/9-1]; COPAS Center [FONDAP 15010007]; Hanse Wissenschaftskolleg, Delmenhorst (Germany)</t>
  </si>
  <si>
    <t>Deutsche Forschungsgemeinschaft (DFG)(German Research Foundation (DFG)); COPAS Center(Comision Nacional de Investigacion Cientifica y Tecnologica (CONICYT)CONICYT PIA/BASAL); Hanse Wissenschaftskolleg, Delmenhorst (Germany)</t>
  </si>
  <si>
    <t>Funding was provided by the Deutsche Forschungsgemeinschaft (DFG) through grants LA 1273/3-2, LA1273/5-1, and KI-456/9-1. C.L. acknowledges support from the COPAS Center (Project FONDAP 15010007) and the Hanse Wissenschaftskolleg, Delmenhorst (Germany). We thank the captain and crew of IMAGES R/V Marion Dufresne cruise MD159/PACHIDERME.</t>
  </si>
  <si>
    <t>PA3221</t>
  </si>
  <si>
    <t>10.1029/2010PA002049</t>
  </si>
  <si>
    <t>823OQ</t>
  </si>
  <si>
    <t>WOS:000295132200001</t>
  </si>
  <si>
    <t>Gómez-Campos, E; Borrell, A; Cardona, L; Forcada, J; Aguilar, A</t>
  </si>
  <si>
    <t>Gomez-Campos, Encarna; Borrell, Assumpcio; Cardona, Luis; Forcada, Jaume; Aguilar, Alex</t>
  </si>
  <si>
    <t>Overfishing of Small Pelagic Fishes Increases Trophic Overlap between Immature and Mature Striped Dolphins in the Mediterranean Sea</t>
  </si>
  <si>
    <t>HAKE MERLUCCIUS MERLUCCIUS; STABLE-ISOTOPE ANALYSES; LONG-TERM CHANGES; STENELLA-COERULEOALBA; MARINE MAMMALS; PHOCOENA-PHOCOENA; CARBON ISOTOPES; FEEDING ECOLOGY; NORTH-SEA; FOOD-WEB</t>
  </si>
  <si>
    <t>The interactions among diet, ecology, physiology, and biochemistry affect N and C stable isotope signatures in animal tissues. Here, we examined if ecological segregation among animals in relation to sex and age existed by analyzing the signatures of delta N-15 and delta C-13 in the muscle of Western Mediterranean striped dolphins. Moreover, we used a Bayesian mixing model to study diet composition and investigated potential dietary changes over the last two decades in this population. For this, we compared isotope signatures in samples of stranded dolphins obtained during two epizootic events occurring in 1990 and 2007-2008. Mean delta C-13 values for females and males were not significantly different, but age-related variation indicated delta C-13 enrichment in both sexes, suggesting that females and males most likely fed in the same general areas, increasing their consumption of benthic prey with age. Enrichment of delta N-15 was only observed in females, suggesting a preference for larger or higher trophic level prey than males, which could reflect different nutritional requirements. delta C-13 values showed no temporal variation, although the mean delta N-15 signature decreased from 1990 to 2007-2008, which could indicate a dietary shift in the striped dolphin over the last two decades. The results of SIAR indicated that in 1990, hake and sardine together contributed to 60% on the diet of immature striped dolphins, and close to 90% for mature striped dolphins. Conversely, the diet of both groups in 2007-2008 was more diverse, as hake and sardine contributed to less than 40% of the entire diet. These results suggest a dietary change that was possibly related to changes in food availability, which is consistent with the depletion of sardine stocks by fishing.</t>
  </si>
  <si>
    <t>[Gomez-Campos, Encarna; Borrell, Assumpcio; Cardona, Luis; Aguilar, Alex] Univ Barcelona, Fac Biol, Inst Biodivers Res, Dept Anim Biol Vertebrates, Barcelona, Spain; [Forcada, Jaume] British Antarctic Survey, Nat Environm Res Council, Cambridge CB3 0ET, England</t>
  </si>
  <si>
    <t>University of Barcelona; UK Research &amp; Innovation (UKRI); Natural Environment Research Council (NERC); NERC British Antarctic Survey</t>
  </si>
  <si>
    <t>Gómez-Campos, E (corresponding author), Univ Barcelona, Fac Biol, Inst Biodivers Res, Dept Anim Biol Vertebrates, Barcelona, Spain.</t>
  </si>
  <si>
    <t>engomez@ub.edu</t>
  </si>
  <si>
    <t>Vivia, Ariel/JAO-4693-2023; Forcada, Jaume/GYU-0677-2022; Aguilar, Alex/L-1283-2014; Borrell, Asunción/B-8257-2009; Cardona, Luis/AAL-1354-2021</t>
  </si>
  <si>
    <t>Aguilar, Alex/0000-0002-5751-2512; Borrell, Asunción/0000-0002-6714-0724; Cardona, Luis/0000-0002-7892-1323</t>
  </si>
  <si>
    <t>Ministerio de Educacion y Ciencia of Spain [CGL2005-00922/BOS]; Zoo de Barcelona, Ajuntament de Barcelona; University of Barcelona; Natural Environment Research Council [bas0100025] Funding Source: researchfish; NERC [bas0100025] Funding Source: UKRI</t>
  </si>
  <si>
    <t>Ministerio de Educacion y Ciencia of Spain(Spanish Government); Zoo de Barcelona, Ajuntament de Barcelona; University of Barcelona; Natural Environment Research Council(UK Research &amp; Innovation (UKRI)Natural Environment Research Council (NERC)); NERC(UK Research &amp; Innovation (UKRI)Natural Environment Research Council (NERC))</t>
  </si>
  <si>
    <t>The study was funded by the Programa Nacional de Biodiversidad, Ciencias de la Tierra y Cambio Global of the Ministerio de Educacion y Ciencia of Spain (project CGL2005-00922/BOS) and the Zoo de Barcelona, Ajuntament de Barcelona. The economic costs of publication of this article have been funded by the University of Barcelona. The funders had no role in study design, data collection and analysis, decision to publish, or preparation of the manuscript.</t>
  </si>
  <si>
    <t>e24554</t>
  </si>
  <si>
    <t>10.1371/journal.pone.0024554</t>
  </si>
  <si>
    <t>822JR</t>
  </si>
  <si>
    <t>WOS:000295041700042</t>
  </si>
  <si>
    <t>Giles, AB; Massom, RA; Heil, P; Hyland, G</t>
  </si>
  <si>
    <t>Giles, A. B.; Massom, R. A.; Heil, P.; Hyland, G.</t>
  </si>
  <si>
    <t>Semi-automated feature-tracking of East Antarctic sea ice from Envisat ASAR imagery</t>
  </si>
  <si>
    <t>REMOTE SENSING OF ENVIRONMENT</t>
  </si>
  <si>
    <t>Antarctica; Satellite remote sensing; Feature tracking; Fast ice; Pack ice</t>
  </si>
  <si>
    <t>NORTH-ATLANTIC OSCILLATION; WEDDELL SEA; SATELLITE; VARIABILITY; COVER; MAPS</t>
  </si>
  <si>
    <t>While feature tracking of sea ice using cross-correlation methods on pairs of satellite Synthetic Aperture Radar (SAR) images has been extensively carried out in the Arctic, this is not the case in the Antarctic. This is due to the dynamic nature of Antarctic pack ice, its microwave signature, the tendency for SAR swath paths to be poorly aligned with the often narrow sea ice zone around the continent and inadequate satellite sampling. A semi-automated system, known as IPADS (IMCORR [IMageCORRelationj Processing, Analysis and Display System), has been developed to map fast ice and pack ice in Antarctica using multiple pairs of SAR images. The software processing pipeline uses overlapping image pairs which are geocoded and roughly registered using only data contained in the image headers. Next, fast ice maps are rapidly generated using zero motion features located within ocean regions. This also provides precise image registration. Finally, the same image pairs are re-examined for pack ice motion in a slower off-line batch process. The pack and fast ice are identified using a cluster-based search method which compares both location and motion information. Each image pair generates a NetCDF file which adds to a growing database of Antarctic sea ice motion and ice roughness. Five image-pair examples are presented to illustrate the methods used as well as their strengths and limitations. Substantial pack ice motion can often be detected in the marginal ice zone on SAR images only a few days apart. (C) 2011 Elsevier Inc. All rights reserved.</t>
  </si>
  <si>
    <t>[Giles, A. B.; Massom, R. A.; Heil, P.; Hyland, G.] Univ Tasmania, Antarctic Climate &amp; Ecosyst CRC, Hobart, Tas 7001, Australia; [Massom, R. A.; Heil, P.; Hyland, G.] Australian Antarctic Div, Kingston, Tas 7050, Australia</t>
  </si>
  <si>
    <t>University of Tasmania; Australian Antarctic Division</t>
  </si>
  <si>
    <t>Giles, AB (corresponding author), Univ Tasmania, Antarctic Climate &amp; Ecosyst CRC, Private Bag 80, Hobart, Tas 7001, Australia.</t>
  </si>
  <si>
    <t>Barty.Giles@utas.edu.au</t>
  </si>
  <si>
    <t>Heil, Petra/0000-0003-2078-0342; Massom, Robert/0000-0003-1533-5084</t>
  </si>
  <si>
    <t>Australian Government's Cooperative Research Centres at the Antarctic Climate and Ecosystems Cooperative Research Centre (ACE CRC); ESA [AO 4123, AO 4009, AO 4114]; Australian Antarctic Science [3024]; International Space Science Institute (ISSI), Bern, Switzerland [137, 169]</t>
  </si>
  <si>
    <t>Australian Government's Cooperative Research Centres at the Antarctic Climate and Ecosystems Cooperative Research Centre (ACE CRC)(Australian GovernmentDepartment of Industry, Innovation and ScienceCooperative Research Centres (CRC) Programme); ESA(European Space Agency); Australian Antarctic Science; International Space Science Institute (ISSI), Bern, Switzerland</t>
  </si>
  <si>
    <t>This work was carried out with the support of the Australian Government's Cooperative Research Centres Programme at the Antarctic Climate and Ecosystems Cooperative Research Centre (ACE CRC). We thank Neal Young for assistance in obtaining the image data, Janet Hoban and Roger Stevens for assistance with data processing and Mark Drinkwater for helpful comments. We also thank the referees for constructive comments that clarified the text. This research was supported by ESA projects AO 4123, AO 4009 and AO 4114, and contributes to Australian Antarctic Science Project 3024. The International Space Science Institute (ISSI), Bern, Switzerland, is acknowledged for supporting this study via Projects 137 and 169. All Envisat ASAR data are courtesy of the European Space Agency.</t>
  </si>
  <si>
    <t>360 PARK AVE SOUTH, NEW YORK, NY 10010-1710 USA</t>
  </si>
  <si>
    <t>0034-4257</t>
  </si>
  <si>
    <t>1879-0704</t>
  </si>
  <si>
    <t>REMOTE SENS ENVIRON</t>
  </si>
  <si>
    <t>Remote Sens. Environ.</t>
  </si>
  <si>
    <t>10.1016/j.rse.2011.04.027</t>
  </si>
  <si>
    <t>788ZZ</t>
  </si>
  <si>
    <t>WOS:000292484400008</t>
  </si>
  <si>
    <t>Cordier, C; Folco, L; Suavet, C; Sonzogni, C; Rochette, P</t>
  </si>
  <si>
    <t>Cordier, Carole; Folco, Luigi; Suavet, Clement; Sonzogni, Corinne; Rochette, Pierre</t>
  </si>
  <si>
    <t>Major, trace element and oxygen isotope study of glass cosmic spherules of chondritic composition: The record of their source material and atmospheric entry heating</t>
  </si>
  <si>
    <t>LASER-EXTRACTION TECHNIQUE; EARLY SOLAR NEBULA; TRANSANTARCTIC MOUNTAINS; CARBONACEOUS CHONDRITES; ANTARCTIC ICE; VICTORIA LAND; MICROMETEORITES; EVAPORATION; METEORITES; FRACTIONATION</t>
  </si>
  <si>
    <t>New geochemical data on cosmic spherules (187 major element, 76 trace element, and 10 oxygen isotope compositions) and 273 analyses from the literature were used to assess the chemical diversity observed among glass cosmic spherules with chondritic composition. Three chemical groups of glass spherules are identified: normal chondritic spherules, CAT-like spherules (where CAT refers to Ca-Al-Ti-rich spherules), and high Ca-Al spherules. The transition from normal to high Ca-Al spherules occurs through a progressive enrichment in refractory major elements (on average from 2.3 wt.% to 7.0 wt.% for CaO, 2.8 wt.% to 7.2 wt.% for Al(2)O(3), and 0.14 wt.% to 0.31 wt.% for TiO(2)) and refractory trace elements (from 6.2 mu g/g to 19.3 mu g/g for Zr and 1.6CI-4.3CI for Rare Earth Elements-REEs) relative to moderately refractory elements (Mg, Si) and volatile elements (Rb, Na, Zn, Pb). Based on a comparison with experimental works from the literature, these chemical groups are thought to record progressive heating and evaporation during atmospheric entry. The evaporative mass losses evaluated for the high Ca-Al group (80-90%) supersede those of the CAT spherules which up to now have been considered as the most heated class of stony cosmic spherules. However, glass cosmic spherules still retain isotopic and elemental evidence of their source and precursor mineralogy. Four out of the 10 normal and high Ca-Al spherules analysed for oxygen isotopes are related to ordinary chondrites (delta(18)O = 13.2-17.3 parts per thousand and delta(17)O = 7.6-9.2 parts per thousand). They are systematically enriched in Ni and Co (Ni = 24-500 mu g/g) with respect to spherules related to carbonaceous chondrites (Ni &lt; 1.2 mu g/g, delta(18)O = 13.1-28.0 parts per thousand and delta(17)O = 5.1-14.0 parts per thousand). REE abundances in cosmic spherules, which are not fractionated according to parent body or atmospheric entry heating, can then be used to unravel the precursor mineralogy. Spherules with flat REE pattern close to unity when normalized to CI are the most abundant in our dataset (54%) and likely derive from homogeneous, fine-grained chondritic precursors. Other REE patterns fall into no more than five categories, a surprising reproducibility in view of the mineralogical heterogeneity of chondritic lithologies at the micrometeorite scale. (C) 2011 Elsevier Ltd. All rights reserved.</t>
  </si>
  <si>
    <t>[Cordier, Carole; Folco, Luigi; Suavet, Clement] Univ Siena, Museo Nazl Antartide, I-53100 Siena, Italy; [Sonzogni, Corinne; Rochette, Pierre] Aix Marseille Univ, CEREGE, CNRS, F-13545 Aix En Provence 04, France</t>
  </si>
  <si>
    <t>University of Siena; Centre National de la Recherche Scientifique (CNRS); Aix-Marseille Universite</t>
  </si>
  <si>
    <t>Cordier, C (corresponding author), Univ Siena, Museo Nazl Antartide, Via Laterina 8, I-53100 Siena, Italy.</t>
  </si>
  <si>
    <t>cordier@unisi.it</t>
  </si>
  <si>
    <t>Folco, Luigi/AAB-8586-2021; Rochette, Pierre/O-4612-2019; Folco, Luigi/AAA-6351-2020; Sonzogni, Corinne/AAG-5816-2019</t>
  </si>
  <si>
    <t>Rochette, Pierre/0000-0002-7362-0660; Folco, Luigi/0000-0002-7276-3483; Cordier, Carole/0000-0002-6100-4393; Suavet, Clement/0000-0001-9970-0864</t>
  </si>
  <si>
    <t>Programma Nazionale delle Ricerche in Antartide (PNRA); European Union [35519]</t>
  </si>
  <si>
    <t>Programma Nazionale delle Ricerche in Antartide (PNRA); European Union(European Union (EU))</t>
  </si>
  <si>
    <t>This work was supported by the Programma Nazionale delle Ricerche in Antartide (PNRA) and the European Union through the Marie Curie Actions-RTNs ORIGINS Project (ID: 35519). We are grateful to Raul Carampin, Massimo Tiepolo, and Jerome Gattacceca for their help during EPMA, LA-ICPMS, and IRMS analytical sessions, respectively. We also acknowledge Christian Koeberl for editorial assistance, and Susan Taylor and Matthew Genge for reviewing this work.</t>
  </si>
  <si>
    <t>10.1016/j.gca.2011.06.014</t>
  </si>
  <si>
    <t>WOS:000293775200007</t>
  </si>
  <si>
    <t>Karanovic, T; Cooper, SJB</t>
  </si>
  <si>
    <t>Karanovic, Tomislav; Cooper, Steven J. B.</t>
  </si>
  <si>
    <t>Molecular and morphological evidence for short range endemism in the Kinnecaris solitaria complex (Copepoda: Parastenocarididae), with descriptions of seven new species</t>
  </si>
  <si>
    <t>Western Australia; Harpacticoida; stygofauna; taxonomy; systematics; barcoding</t>
  </si>
  <si>
    <t>MITOCHONDRIAL-DNA PHYLOGEOGRAPHY; GROUNDWATER FAUNA; INTERSTITIAL HARPACTICOIDS; PHYLOGENETIC-RELATIONSHIPS; SUBTERRANEAN ARCHIPELAGO; BEETLES COLEOPTERA; CALCRETE AQUIFER; YILGARN REGION; 1ST RECORD; ARID ZONE</t>
  </si>
  <si>
    <t>Recent investigation of one of the larger calcretes in the uppermost reaches of the Carey palaeochannel in the Yilgarn region of Western Australia revealed an unprecedented diversity of copepod crustaceans. Twenty-two different species and subspecies, from six copepod families, represent 70% of the previously recorded copepod a-diversity in the whole region, although the area investigated is less than 3% of its surface. The aims of this study were to explore the diversity of the harpacticoid genus Kinnecaris Jakobi, 1972 using both molecular and morphological methods, establish precise species boundaries, find their accurate area of distribution, reconstruct phylogenetic relationships, and explore colonisation pathways. To achieve this we sampled very intensively in the area, as well as in two neighbouring palaeochannels, analysing more than 700 samples from 230 different localities, half of which contained copepods. Seven species are described here as new, five of them from the Yeelirrie palaeochannel (K. esbe sp. nov., K. lined sp. nov., K. linel sp. nov., K. linesae sp. nov., and K. uranusi sp. nov.) and one each from two neighbouring palaeochannels (K. barrambie sp. nov. and K. lakewayi sp. nov.). Parastenocaris jane Karanovic, 2006 from the Pilbara region, along with a newly described third Australian parastenocaridid genus from the Yilgarn, were used as outgroups in our molecular analysis. The COI fragment was successfully PCR-amplified from 12 parastenocaridid specimens using a nested combination of primers. All analyses supported the presence of at least seven genetically divergent lineages, most supported with very high bootstrap values. Three genera formed three separate clades, and the average pairwise distances between Kinnecaris morpho-taxa were found to be very high (8.2-16.8 %), while the highest divergences within morpho-taxa were 0.3%. Some conflict between molecular phylogenies and morphological data was observed when it came to recognizing different groups of species. While morphology indicates that K. esbe, K. linel, and K. uranusi represent a group of very closely related species, supported by a number of synapomorphies, molecular analyses suggest that K. linel and K. uranusi are only remotely related. We argue in favor of morphological data, until more markers can be studied to try to resolve these differences. In Yeelirrie, morphological evidence would suggest a downstream colonisation history in the genus Kinnecaris, where the most plesiomorphic form (K. linesae) lives in the uppermost reaches of the palaeochannel, and the trend in the caudal rami elongation and denser somite ornamentation is obvious downstream the palaeochannel (K. uranusi, K. linel, and then K. esbe), with the only exception being K. lined, which probably represents an independent colonisation event. Parastenocarids are copepods of freshwater origin, and we argure that they can probably disperse downstream during periods of increased rainfall, evolving into separate species in isolated calcrete pockets during periods of increased aridity. Although some of the questions remained unanswered in this study, detailed morphological and molecular observations indicate that we are not dealing with one widely distributed and variable species in the Yilgarn region, but rather with a complex of short range endemics. Areas of distribution for different species range from 30 km to less than 5 km in diameter. Very strong seasonal dynamics in this subterranean community was observed, and this is a novel concept for these ecosystems globally. A key to nine Astralian species of Kinnecaris is also included.</t>
  </si>
  <si>
    <t>[Karanovic, Tomislav] Hanyang Univ, Dept Life Sci, Seoul 133791, South Korea; [Karanovic, Tomislav] Univ Tasmania, Inst Marine &amp; Antarctic Studies, Hobart, Tas 7001, Australia; [Cooper, Steven J. B.] S Australian Museum, Evolutionary Biol Unit, Adelaide, SA 5000, Australia; [Cooper, Steven J. B.] Univ Adelaide, Australian Ctr Evolutionary Biol &amp; Biodivers, Adelaide, SA 5005, Australia</t>
  </si>
  <si>
    <t>Hanyang University; University of Tasmania; University of Adelaide</t>
  </si>
  <si>
    <t>Karanovic, T (corresponding author), Hanyang Univ, Dept Life Sci, Seoul 133791, South Korea.</t>
  </si>
  <si>
    <t>Tomislav.Karanovic@utas.edu.au; Steve.Cooper@samuseum.sa.gov.au</t>
  </si>
  <si>
    <t>Cooper, Steven JB/I-6291-2012</t>
  </si>
  <si>
    <t>Brain Pool (Korea); NIBR (Korea); Subterranean Ecology</t>
  </si>
  <si>
    <t>The authors are deeply indebted to Dr Stefan Eberhard, Subterranean Ecology Pty Ltd, for entrusting the morphological identification of the Yeelirrie material to senior author and molecular analysis to junior author. The following staff of Subterranean Ecology are acknowledged for their help in the field, as well as for sorting the samples: Dr Erich Volschek, Ms Giulia Perina, Ms Natalie Krawczyk, Mr Peter Bell, and Mr Shae Callan. We are also extremely grateful to Dr Veronica Campagna and Dr Erin Thomas, Outback Ecology Pty Ltd, for providing material from Lake Way and Barrambie. Dr Stuart Halse and Ms Jane McRae, Bennelongia Pty Ltd, are kindly acknowledged for providing material from the Pilbara region. Ms Renate Walter, Zoologisches Museum Hamburg, is kindly acknowledged for the help in preparation of the SEM photographs. Dr Tessa Bradford and Ms Kathleen Saint (South Australian Museum) did all the sequencing, and Ms Kathleen Saint is also greatly acknowledged for developing nested primers that were used in combination with universal primes for COI gene amplification. Financial support to senior author came from Brain Pool and NIBR grants (both in Korea) and Subterranean Ecology, while the necessary facilities were provided by the Zoologisches Museum in Hamburg and Hanyang University in Seoul. Financial support for COI sequencing was also provided by Subterranean Ecology. Two anonymous reviewers are greatly acknowledged for improving the manuscript considerably.</t>
  </si>
  <si>
    <t>SEP 14</t>
  </si>
  <si>
    <t>819BN</t>
  </si>
  <si>
    <t>WOS:000294800500001</t>
  </si>
  <si>
    <t>French, WJR; Klekociuk, AR</t>
  </si>
  <si>
    <t>French, W. John R.; Klekociuk, A. R.</t>
  </si>
  <si>
    <t>Long-term trends in Antarctic winter hydroxyl temperatures</t>
  </si>
  <si>
    <t>MESOPAUSE REGION TEMPERATURES; MIDDLE ATMOSPHERE; SOLAR-CYCLE; TRANSITION-PROBABILITIES; ROTATIONAL TEMPERATURES; MESOSPHERIC TEMPERATURE; LOWER THERMOSPHERE; AURORAL STATION; DAVIS STATION; MODEL</t>
  </si>
  <si>
    <t>Observations of the hydroxyl nightglow emission with a scanning spectrometer at Davis station, Antarctica (68 degrees S, 78 degrees E), have been maintained over each winter season since 1995. Rotational temperatures are derived from the P-branch lines of the OH(6-2) band near lambda 840 nm and are a layer-weighted proxy for kinetic temperatures near 87 km altitude. The current 16 year record allows tentative estimation of the atmospheric response in the mesopause region to solar cycle forcing and the underlying long-term linear temperature trend. Seven years of new data have been added since the last reported trend assessments using these data. A multivariate regression analysis on seasonally detrended winter mean hydroxyl temperatures yields a solar cycle coefficient of 4.8 +/- 1.0 K/100 solar flux units (SFU) and a linear long-term cooling coefficient of -1.2 +/- 0.9 K/decade. These coefficients are consistent within uncertainties for nightly, monthly, and annual mean trend evaluations. A distinct seasonal variation in trend coefficients is found in 30 day sliding window or monthly trend analyses. The largest solar activity response (similar to 7 K/100 SFU) is measured in March, May-June, and September, and there is little or no solar response in April and August. The long-term trend coefficient shows the largest cooling rate (4-5 K/decade) in August-September, through to warming (2-3 K/decade) for the March and May-June periods. Comparisons of trend results are made with other important hydroxyl measurement sites. Variability in the remaining residual temperatures is examined using lag correlation analyses for the influence of planetary waves, the quasi-biennial oscillation, the polar vortex intensity, and the southern annular mode.</t>
  </si>
  <si>
    <t>[French, W. John R.; Klekociuk, A. R.] Australian Antarctic Div, Kingston, Tas 7050, Australia</t>
  </si>
  <si>
    <t>French, WJR (corresponding author), Australian Antarctic Div, 203 Channel Hwy, Kingston, Tas 7050, Australia.</t>
  </si>
  <si>
    <t>john.french@aad.gov.au; andrew.klekociuk@aad.gov.au</t>
  </si>
  <si>
    <t>Klekociuk, Andrew/A-4498-2015</t>
  </si>
  <si>
    <t>Klekociuk, Andrew/0000-0003-3335-0034; French, John/0000-0001-9305-6190</t>
  </si>
  <si>
    <t>Australian Antarctic Science Advisory Council</t>
  </si>
  <si>
    <t>The authors thank the dedicated work of the Davis optical physicists over many years in the collection of airglow data and calibration of instruments. Helpful discussions with G. B. Burns are gratefully acknowledged. This work is supported by the Australian Antarctic Science Advisory Council.</t>
  </si>
  <si>
    <t>SEP 10</t>
  </si>
  <si>
    <t>D00P09</t>
  </si>
  <si>
    <t>10.1029/2011JD015731</t>
  </si>
  <si>
    <t>819BQ</t>
  </si>
  <si>
    <t>WOS:000294800800002</t>
  </si>
  <si>
    <t>Hesse, T; Butzin, M; Bickert, T; Lohmann, G</t>
  </si>
  <si>
    <t>Hesse, T.; Butzin, M.; Bickert, T.; Lohmann, G.</t>
  </si>
  <si>
    <t>A model-data comparison of δ13C in the glacial Atlantic Ocean</t>
  </si>
  <si>
    <t>MERIDIONAL OVERTURNING CIRCULATION; WESTERN NORTH-ATLANTIC; SOUTHERN-OCEAN; DEEP-WATER; THERMOHALINE CIRCULATION; SEA-ICE; RADIOCARBON AGES; BOTTOM WATER; LAST; CARBON</t>
  </si>
  <si>
    <t>We compare a compilation of 220 sediment core delta C-13 data from the glacial Atlantic Ocean with three-dimensional ocean circulation simulations including a marine carbon cycle model. The carbon cycle model employs circulation fields which were derived from previous climate simulations. All sediment data have been thoroughly quality controlled, focusing on epibenthic foraminiferal species (such as Cibicidoides wuellerstorfi or Planulina ariminensis) to improve the comparability of model and sediment core carbon isotopes. The model captures the general delta C-13 pattern indicated by present-day water column data and Late Holocene sediment cores but underestimates intermediate and deep water values in the South Atlantic. The best agreement with glacial reconstructions is obtained for a model scenario with an altered freshwater balance in the Southern Ocean that mimics enhanced northward sea ice export and melting away from the zone of sea ice production. This results in a shoaled and weakened North Atlantic Deep Water flow and intensified Antarctic Bottom Water export, hence confirming previous reconstructions from paleoproxy records. Moreover, the modeled abyssal ocean is very cold and very saline, which is in line with other proxy data evidence.</t>
  </si>
  <si>
    <t>[Hesse, T.; Butzin, M.; Lohmann, G.] Alfred Wegener Inst Polar &amp; Marine Res, D-27570 Bremerhaven, Germany; [Butzin, M.; Bickert, T.] MARUM Ctr Marine Environm Sci, D-28334 Bremen, Germany</t>
  </si>
  <si>
    <t>Helmholtz Association; Alfred Wegener Institute, Helmholtz Centre for Polar &amp; Marine Research; University of Bremen</t>
  </si>
  <si>
    <t>Hesse, T (corresponding author), Alfred Wegener Inst Polar &amp; Marine Res, Bussestr 24, D-27570 Bremerhaven, Germany.</t>
  </si>
  <si>
    <t>tilman.hesse@awi.de; gerrit.lohmann@awi.de</t>
  </si>
  <si>
    <t>Lohmann, Gerrit/M-7453-2016</t>
  </si>
  <si>
    <t>Lohmann, Gerrit/0000-0003-2089-733X; Butzin, Martin/0000-0002-9275-7304</t>
  </si>
  <si>
    <t>Helmholtz Graduate School for Polar and Marine Research (POLMAR); ESF</t>
  </si>
  <si>
    <t>We are grateful to Bill Curry for providing his Western Atlantic sediment core data. We thank Andreas Mackensen, Gregor Knorr, and Delia Oppo for useful discussions. Technical assistance was expertly provided by Andreas Manschke, Rainer Sieger, and Reiner Schlitzer. We also thank Rainer Zahn and two anonymous reviewers for helpful comments that substantially improved the manuscript. This research was supported by the Helmholtz Graduate School for Polar and Marine Research (POLMAR) and the ESF.</t>
  </si>
  <si>
    <t>PA3220</t>
  </si>
  <si>
    <t>10.1029/2010PA002085</t>
  </si>
  <si>
    <t>818VU</t>
  </si>
  <si>
    <t>WOS:000294784800001</t>
  </si>
  <si>
    <t>Strahan, SE; Douglass, AR; Stolarski, RS; Akiyoshi, H; Bekki, S; Braesicke, P; Butchart, N; Chipperfield, MP; Cugnet, D; Dhomse, S; Frith, SM; Gettelman, A; Hardiman, SC; Kinnison, DE; Lamarque, JF; Mancini, E; Marchand, M; Michou, M; Morgenstern, O; Nakamura, T; Olivié, D; Pawson, S; Pitari, G; Plummer, DA; Pyle, JA; Scinocca, JF; Shepherd, TG; Shibata, K; Smale, D; Teyssèdre, H; Tian, W; Yamashita, Y</t>
  </si>
  <si>
    <t>Strahan, S. E.; Douglass, A. R.; Stolarski, R. S.; Akiyoshi, H.; Bekki, S.; Braesicke, P.; Butchart, N.; Chipperfield, M. P.; Cugnet, D.; Dhomse, S.; Frith, S. M.; Gettelman, A.; Hardiman, S. C.; Kinnison, D. E.; Lamarque, J. -F.; Mancini, E.; Marchand, M.; Michou, M.; Morgenstern, O.; Nakamura, T.; Olivie, D.; Pawson, S.; Pitari, G.; Plummer, D. A.; Pyle, J. A.; Scinocca, J. F.; Shepherd, T. G.; Shibata, K.; Smale, D.; Teyssedre, H.; Tian, W.; Yamashita, Y.</t>
  </si>
  <si>
    <t>Using transport diagnostics to understand chemistry climate model ozone simulations</t>
  </si>
  <si>
    <t>LAGRANGIAN TRANSPORT; STRATOSPHERIC OZONE; TECHNICAL NOTE; AIR; SENSITIVITY; VALIDATION; CHLORINE; SURFACE; IMPACT; N2O</t>
  </si>
  <si>
    <t>We use observations of N2O and mean age to identify realistic transport in models in order to explain their ozone predictions. The results are applied to 15 chemistry climate models (CCMs) participating in the 2010 World Meteorological Organization ozone assessment. Comparison of the observed and simulated N2O, mean age and their compact correlation identifies models with fast or slow circulations and reveals details of model ascent and tropical isolation. This process-oriented diagnostic is more useful than mean age alone because it identifies models with compensating transport deficiencies that produce fortuitous agreement with mean age. The diagnosed model transport behavior is related to a model's ability to produce realistic lower stratosphere (LS) O-3 profiles. Models with the greatest tropical transport problems compare poorly with O-3 observations. Models with the most realistic LS transport agree more closely with LS observations and each other. We incorporate the results of the chemistry evaluations in the Stratospheric Processes and their Role in Climate (SPARC) CCMVal Report to explain the range of CCM predictions for the return-to-1980 dates for global (60 degrees S-60 degrees N) and Antarctic column ozone. Antarctic O-3 return dates are generally correlated with vortex Cl-y levels, and vortex Cly is generally correlated with the model's circulation, although model Cl chemistry and conservation problems also have a significant effect on return date. In both regions, models with good LS transport and chemistry produce a smaller range of predictions for the return-to-1980 ozone values. This study suggests that the current range of predicted return dates is unnecessarily broad due to identifiable model deficiencies.</t>
  </si>
  <si>
    <t>[Strahan, S. E.] Univ Space Res Assoc, Columbia, MD USA; [Strahan, S. E.; Douglass, A. R.; Stolarski, R. S.; Frith, S. M.; Pawson, S.] NASA, Goddard Space Flight Ctr, Greenbelt, MD 20771 USA; [Akiyoshi, H.; Nakamura, T.; Yamashita, Y.] Natl Inst Environm Studies, Tsukuba, Ibaraki 3058506, Japan; [Bekki, S.; Cugnet, D.; Marchand, M.] UPMC, LATMOS, IPSL, UVSQ,CNRS,INSU, F-75252 Paris 05, France; [Braesicke, P.; Pyle, J. A.] Univ Cambridge, Dept Chem, NCAS Climate Chem, Ctr Atmospher Sci, Cambridge CB2 1EW, England; [Butchart, N.; Hardiman, S. C.] Met Off Hadley Ctr, Exeter EX1 3PB, Devon, England; [Chipperfield, M. P.; Dhomse, S.; Tian, W.] Univ Leeds, Sch Earth &amp; Environm, Leeds LS2 9JT, W Yorkshire, England; [Frith, S. M.] Sci Syst &amp; Applicat Inc, Lanham, MD USA; [Gettelman, A.; Kinnison, D. E.; Lamarque, J. -F.] Natl Ctr Atmospher Res, Boulder, CO 80305 USA; [Mancini, E.; Pitari, G.] Univ Aquila, Dipartimento Fis, I-67010 Laquila, Italy; [Michou, M.; Teyssedre, H.] CNRS, GAME CNRM, F-31057 Toulouse, France; [Morgenstern, O.; Smale, D.] Natl Inst Water &amp; Atmospher Res, Lauder 9352, Central Otago, New Zealand; [Olivie, D.] Univ Oslo, Dept Geosci, N-0315 Oslo, Norway; [Plummer, D. A.; Scinocca, J. F.] Environm Canada, Canadian Ctr Climate Modeling &amp; Anal, Victoria, BC V8W 3V6, Canada; [Shepherd, T. G.] Univ Toronto, Dept Phys, Toronto, ON M5S 1A7, Canada; [Shibata, K.] Japan Meteorol Agcy, Meteorol Res Inst, Tsukuba, Ibaraki 3050052, Japan</t>
  </si>
  <si>
    <t>Universities Space Research Association (USRA); National Aeronautics &amp; Space Administration (NASA); NASA Goddard Space Flight Center; National Institute for Environmental Studies - Japan; Centre National de la Recherche Scientifique (CNRS); CNRS - National Institute for Earth Sciences &amp; Astronomy (INSU); Sorbonne Universite; Universite Paris Cite; Universite Paris Saclay; University of Cambridge; Met Office - UK; Hadley Centre; University of Leeds; Science Systems and Applications Inc; National Center Atmospheric Research (NCAR) - USA; University of L'Aquila; Centre National de la Recherche Scientifique (CNRS); National Institute of Water &amp; Atmospheric Research (NIWA) - New Zealand; University of Oslo; Environment &amp; Climate Change Canada; Canadian Centre for Climate Modelling &amp; Analysis (CCCma); University of Toronto; Meteorological Research Institute - Japan; Japan Meteorological Agency</t>
  </si>
  <si>
    <t>Strahan, SE (corresponding author), Univ Space Res Assoc, Columbia, MD USA.</t>
  </si>
  <si>
    <t>susan.e.strahan@nasa.gov</t>
  </si>
  <si>
    <t>Emmons, Louisa/HPH-6028-2023; Lamarque, Jean-Francois/L-2313-2014; Gettelman, Andrew/AAY-2312-2021; bekki, slimane/J-7221-2015; Braesicke, Peter/D-8330-2016; Dhomse, Sandip/C-8198-2011; Douglass, Anne R/D-4655-2012; Stolarski, Richard S/B-8499-2013; Strahan, Susan E/H-1965-2012; Pawson, Steven/I-1865-2014; Frith, Stacey/HMD-9437-2023; Emmons, Louisa K/R-8922-2016; Chipperfield, Martyn/H-6359-2013; Yamashita, Yousuke/AAB-4754-2019; Hardiman, Steven/HDO-0165-2022; Akiyoshi, Hideharu/H-8170-2018; , John/IQU-7911-2023; Pitari, Giovanni/O-7458-2016; Nakamura, Tetsu/M-7914-2015</t>
  </si>
  <si>
    <t>Emmons, Louisa/0000-0003-2325-6212; bekki, slimane/0000-0002-5538-0800; Braesicke, Peter/0000-0003-1423-0619; Dhomse, Sandip/0000-0003-3854-5383; Frith, Stacey/0000-0001-6894-0574; Emmons, Louisa K/0000-0003-2325-6212; Chipperfield, Martyn/0000-0002-6803-4149; Yamashita, Yousuke/0000-0002-6813-4668; Akiyoshi, Hideharu/0000-0001-6463-9004; Morgenstern, Olaf/0000-0002-9967-9740; Pitari, Giovanni/0000-0001-7051-9578; Nakamura, Tetsu/0000-0002-2056-7392; Mancini, Eva/0000-0001-7071-0292</t>
  </si>
  <si>
    <t>Global Environmental Research Foundation of the Ministry of the Environment of Japan [A-071]; NASA; Natural Environment Research Council [NE/E017150/1, ncas10009] Funding Source: researchfish; Grants-in-Aid for Scientific Research [20340129, 20340131, 22654055, 09J04486] Funding Source: KAKEN; NERC [NE/E017150/1] Funding Source: UKRI</t>
  </si>
  <si>
    <t>Global Environmental Research Foundation of the Ministry of the Environment of Japan; NASA(National Aeronautics &amp; Space Administration (NASA));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</si>
  <si>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thank Ashley Jones for use of the ACE N2O climatology, Andreas Engel for use of the mean age profiles, and the Aura MLS team for daily O3 data. We thank Michael Prather, Huisheng Bian, Ross Salawitch, and Tim Canty for their contributions to the photochemical evaluations in the SCR. We thank Luke Oman for helpful conversations. CCSRNIES research was supported by the Global Environmental Research Foundation of the Ministry of the Environment of Japan (A-071). CCSRNIES and MRI simulations were completed with the supercomputer at NIES, Japan. This work was supported by the NASA Modeling, Analysis, and Prediction Program.</t>
  </si>
  <si>
    <t>SEP 9</t>
  </si>
  <si>
    <t>D17302</t>
  </si>
  <si>
    <t>10.1029/2010JD015360</t>
  </si>
  <si>
    <t>819BO</t>
  </si>
  <si>
    <t>Green Published, Green Submitted, Green Accepted, Bronze</t>
  </si>
  <si>
    <t>WOS:000294800600001</t>
  </si>
  <si>
    <t>Cuffey, KM</t>
  </si>
  <si>
    <t>Cuffey, Kurt M.</t>
  </si>
  <si>
    <t>Antarctic Ice Flow Revealed</t>
  </si>
  <si>
    <t>RADAR INTERFEROMETRY</t>
  </si>
  <si>
    <t>Univ Calif Berkeley, Dept Geog, Ctr Atmospher Sci, Berkeley, CA 94720 USA</t>
  </si>
  <si>
    <t>University of California System; University of California Berkeley</t>
  </si>
  <si>
    <t>Cuffey, KM (corresponding author), Univ Calif Berkeley, Dept Geog, Ctr Atmospher Sci, 507 McCone Hall, Berkeley, CA 94720 USA.</t>
  </si>
  <si>
    <t>kcuffey@berkeley.edu</t>
  </si>
  <si>
    <t>10.1126/science.1211157</t>
  </si>
  <si>
    <t>817KU</t>
  </si>
  <si>
    <t>WOS:000294672200024</t>
  </si>
  <si>
    <t>Rignot, E; Mouginot, J; Scheuchl, B</t>
  </si>
  <si>
    <t>Rignot, E.; Mouginot, J.; Scheuchl, B.</t>
  </si>
  <si>
    <t>Ice Flow of the Antarctic Ice Sheet</t>
  </si>
  <si>
    <t>PINE ISLAND GLACIER; RADAR INTERFEROMETRY; EAST ANTARCTICA; MOTION; BASAL</t>
  </si>
  <si>
    <t>We present a reference, comprehensive, high-resolution, digital mosaic of ice motion in Antarctica assembled from multiple satellite interferometric synthetic-aperture radar data acquired during the International Polar Year 2007 to 2009. The data reveal widespread, patterned, enhanced flow with tributary glaciers reaching hundreds to thousands of kilometers inland over the entire continent. This view of ice sheet motion emphasizes the importance of basal-slip-dominated tributary flow over deformation-dominated ice sheet flow, redefines our understanding of ice sheet dynamics, and has far-reaching implications for the reconstruction and prediction of ice sheet evolution.</t>
  </si>
  <si>
    <t>[Rignot, E.; Mouginot, J.; Scheuchl, B.] Univ Calif Irvine, Dept Earth Syst Sci, Irvine, CA 92697 USA; [Rignot, E.] CALTECH, Jet Prop Lab, Pasadena, CA 91106 USA</t>
  </si>
  <si>
    <t>University of California System; University of California Irvine; National Aeronautics &amp; Space Administration (NASA); NASA Jet Propulsion Laboratory (JPL); California Institute of Technology</t>
  </si>
  <si>
    <t>Rignot, E (corresponding author), Univ Calif Irvine, Dept Earth Syst Sci, Irvine, CA 92697 USA.</t>
  </si>
  <si>
    <t>erignot@uci.edu</t>
  </si>
  <si>
    <t>10.1126/science.1208336</t>
  </si>
  <si>
    <t>WOS:000294672200037</t>
  </si>
  <si>
    <t>Stedmon, CA; Thomas, DN; Papadimitriou, S; Granskog, MA; Dieckmann, GS</t>
  </si>
  <si>
    <t>Stedmon, Colin A.; Thomas, David N.; Papadimitriou, Stathys; Granskog, Mats A.; Dieckmann, Gerhard S.</t>
  </si>
  <si>
    <t>Using fluorescence to characterize dissolved organic matter in Antarctic sea ice brines</t>
  </si>
  <si>
    <t>JOURNAL OF GEOPHYSICAL RESEARCH-BIOGEOSCIENCES</t>
  </si>
  <si>
    <t>COASTAL UPWELLING SYSTEM; AMINO-ACIDS; ULTRAVIOLET ATTENUATION; WEDDELL SEA; BALTIC SEA; MARINE; OCEAN; WATER; SPECTROSCOPY; SUBSTANCES</t>
  </si>
  <si>
    <t>Sea ice plays a dynamic role in the air-sea exchange of CO2. In addition to abiotic inorganic carbon fluxes, an active microbial community produces and remineralizes organic carbon, which can accumulate in sea ice brines as dissolved organic matter (DOM). In this study, the characteristics of DOM fluorescence in Antarctic sea ice brines from the western Weddell Sea were investigated. Two humic-like components were identified, which were identical to those previously found to accumulate in the deep ocean and represent refractory material. Three amino-acid-like signals were found, one of which was unique to the brines and another that was spectrally very similar to tryptophan and found both in seawater and in brine samples. The tryptophan-like fluorescence in the brines exhibited intensities higher than could be explained by conservative behavior during the freezing of seawater. Its fluorescence was correlated with the accumulation of nitrogen-rich DOM to concentrations up to 900 mu mol L-1 as dissolved organic carbon (DOC) and, thus, potentially represented proteins released by ice organisms. A second, nitrogen-poor DOM fraction also accumulated in the brines to concentrations up to 200 mu mol L-1 but was not correlated with any of the fluorescence signals identified. Because of the high C:N ratio and lack of fluorescence, this material is thought to represent extracellular polymeric substances, which consist primarily of polysaccharides. The clear grouping of the DOM pool into either proteinaceous or carbohydrate-dominated material indicates that the production and accumulation of these two subpools of DOM in sea ice brines is, to some extent, decoupled.</t>
  </si>
  <si>
    <t>[Stedmon, Colin A.] Aarhus Univ, Natl Environm Res Inst, Dept Marine Ecol, DK-4000 Roskilde, Denmark; [Thomas, David N.; Papadimitriou, Stathys] Bangor Univ, Coll Nat Sci, Sch Ocean Sci, Menai Bridge LL59 5AB, Anglesey, Wales; [Thomas, David N.] Finnish Environm Inst SYKE, Helsinki, Finland; [Granskog, Mats A.] Norwegian Polar Res Inst, Fram Ctr, N-9296 Tromso, Norway; [Dieckmann, Gerhard S.] Alfred Wegener Inst Polar &amp; Marine Res, D-27570 Bremerhaven, Germany</t>
  </si>
  <si>
    <t>Aarhus University; Bangor University; Finnish Environment Institute; Norwegian Polar Institute; Helmholtz Association; Alfred Wegener Institute, Helmholtz Centre for Polar &amp; Marine Research</t>
  </si>
  <si>
    <t>Stedmon, CA (corresponding author), Aarhus Univ, Natl Environm Res Inst, Dept Marine Ecol, Frederiksborgvej 399, DK-4000 Roskilde, Denmark.</t>
  </si>
  <si>
    <t>cst@dmu.dk</t>
  </si>
  <si>
    <t>Stedmon, Colin Andrew/B-5841-2008; Thomas, David Neville/B-1448-2010; Dieckmann, Gerhard S/B-4307-2010</t>
  </si>
  <si>
    <t>Stedmon, Colin Andrew/0000-0001-6642-9692; Thomas, David Neville/0000-0001-8832-5907; Papadimitriou, Stathys/0000-0001-8540-1169; Granskog, Mats/0000-0002-5035-4347</t>
  </si>
  <si>
    <t>Carlsberg Foundation; Danish Research Council [272-07-0485]; Greenland Climate Research Centre; NERC; Royal Society; Leverhulme Trust; Academy of Finland [108150]; Academy of Finland (AKA) [108150] Funding Source: Academy of Finland (AKA)</t>
  </si>
  <si>
    <t>Carlsberg Foundation(Carlsberg Foundation); Danish Research Council(Det Frie Forskningsrad (DFF)); Greenland Climate Research Centre; NERC(UK Research &amp; Innovation (UKRI)Natural Environment Research Council (NERC)); Royal Society(Royal Society); Leverhulme Trust(Leverhulme Trust); Academy of Finland(Research Council of Finland); Academy of Finland (AKA)</t>
  </si>
  <si>
    <t>C.S. was supported by the Carlsberg Foundation and Danish Research Council grant 272-07-0485 and the Greenland Climate Research Centre. D.N.T. and S.P. were supported by grants from NERC, the Royal Society, and the Leverhulme Trust. M.A.G. was supported by a grant from the Academy of Finland (108150). We are grateful to the crew of RV Polarstern and, in particular, we thank L. Norman and E. Allhusen for their help in sample collection, analyses, and preparation for the cruise.</t>
  </si>
  <si>
    <t>2169-8953</t>
  </si>
  <si>
    <t>2169-8961</t>
  </si>
  <si>
    <t>J GEOPHYS RES-BIOGEO</t>
  </si>
  <si>
    <t>J. Geophys. Res.-Biogeosci.</t>
  </si>
  <si>
    <t>SEP 8</t>
  </si>
  <si>
    <t>G03027</t>
  </si>
  <si>
    <t>10.1029/2011JG001716</t>
  </si>
  <si>
    <t>Environmental Sciences; Geosciences, Multidisciplinary</t>
  </si>
  <si>
    <t>819CS</t>
  </si>
  <si>
    <t>WOS:000294803600004</t>
  </si>
  <si>
    <t>Xu, X; Manson, AH; Meek, CE; Jacobi, C; Hall, CM; Drummond, JR</t>
  </si>
  <si>
    <t>Xu, X.; Manson, A. H.; Meek, C. E.; Jacobi, C.; Hall, C. M.; Drummond, J. R.</t>
  </si>
  <si>
    <t>Mesospheric wind semidiurnal tides within the Canadian Middle Atmosphere Model Data Assimilation System</t>
  </si>
  <si>
    <t>GENERAL-CIRCULATION MODEL; MF RADAR OBSERVATIONS; DOPPLER INTERFEROMETER TIDI; PROPAGATING DIURNAL TIDE; LOWER THERMOSPHERE; SOUTH-POLE; SEASONAL-VARIATION; PLANETARY-WAVES; MLT REGION; INTERACTIVE CHEMISTRY</t>
  </si>
  <si>
    <t>The horizontal wind data from the standard version of Canadian Middle Atmosphere Model Data Assimilation System (CMAM-DAS) for the years 2006-2008 are analyzed to obtain the global structure and seasonal variability of the semidiurnal tide (SDT) in the mesosphere. The modeled amplitudes and phases of the SDTs at single stations from middle/high northern latitudes are quite similar to those observed by radars. The primary nonmigrating tides identified in both the meridional wind and zonal wind semidiurnal spectra at 88 km include the westward propagating wave numbers s = 1 (SW1), 3 (SW3), 4 (SW4), 6 (SW6), the standing s = 0 (S0), and the eastward propagating s = 2 (SE2). The migrating SDT (SW2) amplitude maxima usually occur at 40 degrees N-60 degrees N during December-February and August-September, and also at 40 degrees S-60 degrees S in April-May, with the dominance of (2, 4) during October-April and (2, 3) and (2, 5) dominance for other months. The CMAM-DAS is quite successful in reproducing the dominance of SW1 in the Antarctic summer mesosphere. The modeled SW1 shows very good overall agreement in both amplitude and phase with wind measurements from UARS High Resolution Doppler Imager and Wind Imaging Interferometer (UARS-HRDI/WINDII) and from TIMED Doppler Interferometer (TIDI). The CMAM-DAS analyses for SW3, SW4, SW6, and S0 are also in reasonable agreement with those determined from the HRDI/WINDII or TIDI wind measurements. This work provides further evidence for the tidal forcing from below.</t>
  </si>
  <si>
    <t>[Xu, X.; Manson, A. H.; Meek, C. E.] Univ Saskatchewan, Inst Space &amp; Atmospher Studies, Saskatoon, SK S7N 5E2, Canada; [Jacobi, C.] Univ Leipzig, Inst Meteorol, D-04103 Leipzig, Germany; [Hall, C. M.] Univ Tromso, Tromso Geophys Observ, N-9037 Tromso, Norway; [Drummond, J. R.] Dalhousie Univ, Dept Phys &amp; Atmospher Sci, Halifax, NS B3H 3J5, Canada</t>
  </si>
  <si>
    <t>University of Saskatchewan; Leipzig University; UiT The Arctic University of Tromso; Dalhousie University</t>
  </si>
  <si>
    <t>Xu, X (corresponding author), Univ Saskatchewan, Inst Space &amp; Atmospher Studies, 116 Sci Pl, Saskatoon, SK S7N 5E2, Canada.</t>
  </si>
  <si>
    <t>xu_xiaoyong@hotmail.com</t>
  </si>
  <si>
    <t>Xu, Xiaoyong/HOA-7068-2023; Hall, Colin Michael/C-1439-2010; Drummond, James R/O-7467-2014; Xu, Xiaoyong/AAB-5498-2019</t>
  </si>
  <si>
    <t>Xu, Xiaoyong/0000-0002-5040-6442; Hall, Colin Michael/0000-0002-7734-4587; Xu, Xiaoyong/0000-0002-5040-6442</t>
  </si>
  <si>
    <t>CANDAC-PEARL; IPY; CFCAS; Canadian Natural Sciences and Engineering Research Council; University of Saskatchewan; CSA</t>
  </si>
  <si>
    <t>CANDAC-PEARL; IPY; CFCAS; Canadian Natural Sciences and Engineering Research Council(Natural Sciences and Engineering Research Council of Canada (NSERC)); University of Saskatchewan; CSA</t>
  </si>
  <si>
    <t>The TIDI tides shown in Figure 10 were kindly provided by J. Oberheide. The UARS-HRDI/WINDII data (shown in Figures 7-9) are redrawn from Angelats i Coll and Forbes [2002]; the redrawn TIDI data (shown in Figures 11-12) are taken from Iimura et al. [2009, 2010]. Helpful communication with Stephen R Beagley is gratefully acknowledged. Funding for this work was from CANDAC-PEARL, in part from its IPY and CFCAS funding; the Canadian Natural Sciences and Engineering Research Council; and the University of Saskatchewan through support to ISAS. The University of Saskatchewan authors are grateful to the CMAM-DAS team (University of Toronto and Environment Canada) for providing the model data; The CMAM-DAS is funded by CFCAS and the CSA through the C-SPARC project. This study was completed while the first author was visiting Ted Shepherd and Kim Strong at the University of Toronto; their generous hospitality is gratefully acknowledged here.</t>
  </si>
  <si>
    <t>SEP 2</t>
  </si>
  <si>
    <t>D17102</t>
  </si>
  <si>
    <t>10.1029/2011JD015966</t>
  </si>
  <si>
    <t>816UR</t>
  </si>
  <si>
    <t>WOS:000294628100002</t>
  </si>
  <si>
    <t>McMurdo Station, Antarctica 4 Icebreaker Deal to Keep Antarctic Research Afloat</t>
  </si>
  <si>
    <t>813YM</t>
  </si>
  <si>
    <t>WOS:000294406400005</t>
  </si>
  <si>
    <t>Verronen, PT; Santee, ML; Manney, GL; Lehmann, R; Salmi, SM; Seppälä, A</t>
  </si>
  <si>
    <t>Verronen, P. T.; Santee, M. L.; Manney, G. L.; Lehmann, R.; Salmi, S. -M.; Seppaelae, A.</t>
  </si>
  <si>
    <t>Nitric acid enhancements in the mesosphere during the January 2005 and December 2006 solar proton events</t>
  </si>
  <si>
    <t>OCTOBER-NOVEMBER 2003; CHEMICAL-REACTION SYSTEMS; OZONE DEPLETION; PARTICLE-PRECIPITATION; NORTHERN-HEMISPHERE; ODD HYDROGEN; HNO3; STRATOSPHERE; CHEMISTRY; TEMPERATURE</t>
  </si>
  <si>
    <t>We investigate enhancements of mesospheric nitric acid (HNO3) in the Northern Hemisphere polar night regions during the January 2005 and December 2006 solar proton events (SPEs). The enhancements are caused by ionization due to proton precipitation, followed by ionic reactions that convert NO and NO2 to HNO3. We utilize mesospheric observations of HNO3 from the Microwave Limb Sounder (MLS/Aura). Although in general MLS HNO3 data above 50 km (1.5 hPa) are outside the standard recommended altitude range, we show that in these special conditions, when SPEs produce order-of-magnitude enhancements in HNO3, it is possible to monitor altitudes up to 70 km (0.0464 hPa) reliably. MLS observations show HNO3 enhancements of about 4 ppbv and 2 ppbv around 60 km in January 2005 and December 2006, respectively. The highest mixing ratios are observed inside the polar vortex north of 75 degrees N latitude, right after the main peak of SPE forcing. These measurements are compared with results from the one-dimensional Sodankyla Ion and Neutral Chemistry (SIC) model. The model has been recently revised in terms of rate coefficients of ionic reactions, so that at 50-80 km it produces about 40% less HNO3 during SPEs compared to the earlier version. This is a significant improvement that results in better agreement with the MLS observations. By a few days after the SPEs, HNO3 is heavily influenced by horizontal transport and mixing, leading to its redistribution and decrease of the SPE-enhanced mixing ratios in the polar regions.</t>
  </si>
  <si>
    <t>[Verronen, P. T.; Salmi, S. -M.; Seppaelae, A.] Finnish Meteorol Inst, FI-00101 Helsinki, Finland; [Santee, M. L.; Manney, G. L.] CALTECH, Jet Prop Lab, Pasadena, CA 91109 USA; [Lehmann, R.] Alfred Wegener Inst Polar &amp; Marine Res, D-14473 Potsdam, Germany; [Seppaelae, A.] British Antarctic Survey, NERC, Cambridge CB3 0ET, England</t>
  </si>
  <si>
    <t>Finnish Meteorological Institute; National Aeronautics &amp; Space Administration (NASA); NASA Jet Propulsion Laboratory (JPL); California Institute of Technology; Helmholtz Association; Alfred Wegener Institute, Helmholtz Centre for Polar &amp; Marine Research; UK Research &amp; Innovation (UKRI); Natural Environment Research Council (NERC); NERC British Antarctic Survey</t>
  </si>
  <si>
    <t>Verronen, PT (corresponding author), Finnish Meteorol Inst, POB 503,Erik Palmenin Aukio 1, FI-00101 Helsinki, Finland.</t>
  </si>
  <si>
    <t>pekka.verronen@fmi.fi; michelle.l.santee@jpl.nasa.gov; gloria.l.manney@jpl.nasa.gov; ralph.lehmann@awi.de; sanna-mari.salmi@fmi.fi; annika.seppala@bas.ac.uk</t>
  </si>
  <si>
    <t>Verronen, Pekka T/G-6658-2014; Manney, Gloria/JED-7207-2023; Verronen, P. T./AIE-0203-2022; Santee, MIchelle/R-5762-2019; Päivärinta, Sanna-Mari/D-1084-2014; Seppälä, Annika/C-8031-2014</t>
  </si>
  <si>
    <t>Verronen, P. T./0000-0002-3479-9071; Seppälä, Annika/0000-0002-5028-8220</t>
  </si>
  <si>
    <t>Academy of Finland [136225/SPOC, 123275/THERMES]; European Commission [FP7-PEOPLE-IEF-2008/237461-EPPIC]; Vilho; Yrjo; Kalle Vaisala foundation; National Aeronautics and Space Administration; NERC [bas0100023] Funding Source: UKRI; Natural Environment Research Council [bas0100023] Funding Source: researchfish</t>
  </si>
  <si>
    <t>Academy of Finland(Research Council of Finland); European Commission(European Union (EU)European Commission Joint Research Centre); Vilho; Yrjo; Kalle Vaisala foundation; National Aeronautics and Space Administration(National Aeronautics &amp; Space Administration (NASA)); NERC(UK Research &amp; Innovation (UKRI)Natural Environment Research Council (NERC)); Natural Environment Research Council(UK Research &amp; Innovation (UKRI)Natural Environment Research Council (NERC))</t>
  </si>
  <si>
    <t>The authors would like to thank Nathaniel Livesey for useful comments. The work of P.T.V. and S.M.S. was supported by the Academy of Finland through the projects 136225/SPOC (Significance of Energetic Electron Precipitation to Odd Hydrogen, Ozone, and Climate) and 123275/THERMES (Thermosphere and Mesosphere Affecting the Stratosphere). A.S. was supported by the European Commission through the project FP7-PEOPLE-IEF-2008/237461-EPPIC. P.T.V.'s visit to Jet Propulsion Laboratory in March 2008 was supported by the Vilho, Yrjo, and Kalle Vaisala foundation. Research at the Jet Propulsion Laboratory, California Institute of Technology, is performed under contract with the National Aeronautics and Space Administration. MLS data were provided by the Goddard Earth Sciences Data and Information Service Center.</t>
  </si>
  <si>
    <t>D17301</t>
  </si>
  <si>
    <t>10.1029/2011JD016075</t>
  </si>
  <si>
    <t>WOS:000294628100003</t>
  </si>
  <si>
    <t>Read, GB; Inglis, G; Stratford, P; Ahyong, ST</t>
  </si>
  <si>
    <t>Read, Geoffrey B.; Inglis, Graeme; Stratford, Peter; Ahyong, Shane T.</t>
  </si>
  <si>
    <t>Arrival of the alien fanworm Sabella spallanzanii (Gmelin, 1791) (Polychaeta: Sabellidae) in two New Zealand harbours</t>
  </si>
  <si>
    <t>AQUATIC INVASIONS</t>
  </si>
  <si>
    <t>adventive; new record; Lyttelton Harbour; hull fouling; non-indigenous species; elimination; eradication</t>
  </si>
  <si>
    <t>PORT PHILLIP BAY; MARINE; ORGANISMS; TRANSPORT; AUSTRALIA; VICTORIA; SEA</t>
  </si>
  <si>
    <t>The distinctive Mediterranean-Atlantic fanworm polychaete, Sabella spallanzanii (Gmelin, 1791), is recorded from New Zealand, in both North and South Island, consequent upon its discovery first in the port area of Lyttelton in Lyttelton Harbour and later 800 km further north in the port area of Auckland in Waitemata Harbour. Morphology distinguishing the species from other sabellids is highlighted. In the initial occurrence in March 2008 one large specimen was identified from samples taken by a surveillance team off subtidal wharf structures in Lyttelton port. In July and August 2008 further large specimens were found both nearby and dispersed across the inner port area, with reproductive maturity appearing imminent in some. The New Zealand Government funded repeated search and culling by divers, directed towards possible local elimination, with over 380 specimens removed from Lyttelton by December 2009. However, in August 2009 a single large specimen was found in an enclosed port area in Waitemata Harbour, then several more, and in October 2009 numerous specimens were found on a barge hull berthed there. Also it became apparent that a second generation of colonisers was present in both harbours. By early 2010 well-grown specimens had been found in disparate Waitemata Harbour locations over a large area. The decision to suspend culls was made in February 2010, and elimination efforts were abandoned in June 2010, two years after first detection. The arrival and apparent establishment of S. spallanzanii in New Zealand is ascribed to accidental international transfer probably in 2007, either via hull fouling or ballast water, but it is not known if the two ports were colonised via the same transiting vessel.</t>
  </si>
  <si>
    <t>[Read, Geoffrey B.; Ahyong, Shane T.] Natl Inst Water &amp; Atmospher Res NIWA, Wellington, New Zealand; [Inglis, Graeme] NIWA, Christchurch, New Zealand; [Stratford, Peter] MAF Biosecur New Zealand, Wellington, New Zealand</t>
  </si>
  <si>
    <t>National Institute of Water &amp; Atmospheric Research (NIWA) - New Zealand; National Institute of Water &amp; Atmospheric Research (NIWA) - New Zealand</t>
  </si>
  <si>
    <t>Read, GB (corresponding author), Natl Inst Water &amp; Atmospher Res NIWA, Private Bag 14901, Wellington, New Zealand.</t>
  </si>
  <si>
    <t>g.read@niwa.co.nz; g.inglis@niwa.co.nz; Peter.Stratford@maf.govt.nz; Shane.Ahyong@austmus.gov.au</t>
  </si>
  <si>
    <t>Read, Geoffrey/C-2791-2009</t>
  </si>
  <si>
    <t>Read, Geoffrey/0000-0001-7631-2324</t>
  </si>
  <si>
    <t>NIWA; MAF Biosecurity New Zealand; MAF Biosecurity New Zealand [ZBS2000-04, ZBS2001-01, ZBS2009-24]</t>
  </si>
  <si>
    <t>NIWA; MAF Biosecurity New Zealand; MAF Biosecurity New Zealand</t>
  </si>
  <si>
    <t>Preparation of this report was supported by NIWA and MAF Biosecurity New Zealand. MAF Biosecurity New Zealand has funded all Mediterranean fanworm response work, including field and laboratory work of NIWA (contracts ZBS2000-04, ZBS2001-01, ZBS2009-24). A large number of staff from NIWA and other organisations have been involved since the worm was discovered. We thank them all and in particular the following for their work in the field, for sample and data processing, and for providing information: the NIWA surveillance dive and support teams, especially Don Morrisey and Matt Smith; the NIWA Christchurch Biosecurity team; Keren Spong and Holly Ferguson of NIWA Auckland; Serena Wilkens of the NIWA Marine Invasives Taxonomic Service (MITS); Cawthron Institute, Nelson, especially Rod Asher; and Diving Services NZ Ltd, especially Bruce Lines. We are grateful to Robin Wilson, Museum Victoria, for the donation of reference specimens, and to two anonymous reviewers for helpful suggestions. Stefano Schiaparelli assisted with the information on Italian Antarctic expedition voyages.</t>
  </si>
  <si>
    <t>REGIONAL EURO-ASIAN BIOLOGICAL INVASIONS CENTRE-REABIC</t>
  </si>
  <si>
    <t>HELSINKI</t>
  </si>
  <si>
    <t>PL 3, HELSINKI, 00981, FINLAND</t>
  </si>
  <si>
    <t>1798-6540</t>
  </si>
  <si>
    <t>AQUAT INVASIONS</t>
  </si>
  <si>
    <t>Aquat. Invasions</t>
  </si>
  <si>
    <t>SEP</t>
  </si>
  <si>
    <t>10.3391/ai.2011.6.3.04</t>
  </si>
  <si>
    <t>972LA</t>
  </si>
  <si>
    <t>WOS:000306277400004</t>
  </si>
  <si>
    <t>Xue, WQ; Verves, YG; Du, J</t>
  </si>
  <si>
    <t>Xue, Wan-Qi; Verves, Yuriy G.; Du, Jing</t>
  </si>
  <si>
    <t>A review of subtribe Boettcheriscina Verves 1990 (Diptera: Sarcophagidae), with descriptions of a new species and genus from China</t>
  </si>
  <si>
    <t>ANNALES DE LA SOCIETE ENTOMOLOGIQUE DE FRANCE</t>
  </si>
  <si>
    <t>Sarcophagidae; review; Fanzideia cygnocerca; descriptions</t>
  </si>
  <si>
    <t>PEREGRINA DIPTERA; CALLIPHORIDAE; COMPETITION; MYIASIS; TISSUES; FLIES</t>
  </si>
  <si>
    <t>A review of subtribe Boettcheriscina with a key to genera is present. Subtribe consists from 18 genera and 72 species, widely distributed in all zoogeographical regions, except Antarctic. The description of a new genus, Fanzideia, n. gen., with type species Fanzideia cygnocerca, n. sp., is presented. 14 new combinations of specific names are given: Boettcherisca krathonmai (Pape &amp; Banzinger 2000), n. comb.; B. talomoensis (Magpayo &amp; Kano 1986), n. comb.; B. yuwanensis (Sugiyama 1990), n. comb.; Johnstonimyia paineiana (Baranov 1934), n. comb.; Lioproctia (Coonoria) aureolata (Pape &amp; Kurahachi 2000), n. comb.; L. (C.) kurahashii (Shinonaga &amp; Tumrasvin 1979), n. comb.; L. (C.) saprianovae (Pape &amp; Banzinger 2000), n. comb.; L. (C.) serracudo (Pape &amp; Kurahachi 2004), n. comb.; L. (C.) sumbaensis (Shinonaga 2004), n. comb.; L. (C.) sundaensis (Shinonaga 2004), n. comb.; L. (C.) vietnamensis (Shinonaga &amp; Thinh 2003), n. comb.; Rosellea suthep (Pape &amp; Banziger 2003), n. comb.; Latystyla czemyi (Bottcher 1912), n. comb.; L. paularnaudi (Lehrer 1981), n. comb. 16 new synonyms are established, among them 3 generic: Macabiella Lehrer 1994, n. syn. = Latistyla Strukan 1970; Leigongshanophaga Lehrer &amp; Wei 2010, n. syn. = Rosellea Rohdendorf 1937; Ussuriphalla Lehrer 2010, n. syn. = Takanoa Rohdendorf 1965, and 13 specific: Burmanomyia parvatia Lehrer 2008, n. syn. = Sarcophaga beesoni Senior-White 1924; Burmanomyia guanyina Lehrer &amp; Wei 2010, n. syn. = Sarcophaga beesoni Senior-White 1924; Liproctia kunlunea Lehrer 2008, n. syn. = Sarcophaga pattoni Senior-White 1924; Phallosphaera huangdinia Lehrer 2008, n. syn. = Sarcophaga gravelyi Senior-White 1924; Phallosphaera jimmuana Lehrer 2008, n. syn. = Sarcophaga gravelyi Senior-White 1924; Rosellea fuxingia Lehrer 2010, n. syn. = Sarcophaga khasiensis Senior-White 1924; Rosellea manipuriella Lehrer 2010, n. syn. = Sarcophaga khasiensis Senior-White 1924; Rosellea longwangiana Lehrer &amp; Wei 2010, n. syn. = Sarcophaga khasiensis Senior-White 1924; Sarcophaga (Johnstonimyia) hugoi Pape 1996, n. syn. = Johnstonimyia lopesi Shinonaga et Kano 1990; Sarcophaga gorokaensis Sugiyama, Shinonaga &amp; Kano 1988, n. syn. = Johnstonimyia gressitti Kano &amp; Lopes 1981; Sarcophaga (Lioproctia) imita Pape 1996, n. syn. = Johnstonimyia imitatrix Lopes 1959; Takanoa vervesiana_Lehrer 2010, n. syn. = Sarcophaga hakusana Hori 1954; Ussuriphalla qirimia Lehrer 2010, n. syn. = Takanoa rugosa Rohdendorf 1969.</t>
  </si>
  <si>
    <t>[Xue, Wan-Qi] Shenyang Normal Univ, Inst Entomol, Shenyang 110034, Peoples R China; [Du, Jing] Nankai Univ, Coll life Sci, Tianjin 300071, Peoples R China</t>
  </si>
  <si>
    <t>Shenyang Normal University; Nankai University</t>
  </si>
  <si>
    <t>Xue, WQ (corresponding author), Shenyang Normal Univ, Inst Entomol, Shenyang 110034, Peoples R China.</t>
  </si>
  <si>
    <t>xwqfly@sina.com; fly_@voliacable.com; dujing@mail.nankai.edu.cn</t>
  </si>
  <si>
    <t>National Nature Science Foundation of China [30870330]; Ministry of Science and Technology of the People's Republic of China [2006FY110500]; Foundation of Experimental Centre of Shenyang Normal University [SY200609]</t>
  </si>
  <si>
    <t>National Nature Science Foundation of China(National Natural Science Foundation of China (NSFC)); Ministry of Science and Technology of the People's Republic of China(Ministry of Science and Technology, China); Foundation of Experimental Centre of Shenyang Normal University</t>
  </si>
  <si>
    <t>This study was supported by the National Nature Science Foundation of China (grant No. 30870330), The Ministry of Science and Technology of the People's Republic of China (grant No. 2006FY110500) and the Foundation of Experimental Centre of Shenyang Normal University (grant No. SY200609). We are very grateful to Prof. A.Z. Lehrer, Tel Aviv University, Israel, and Dr. T. Pape, University of Copenhagen, Denmark, for accordance of copies of their very valuable works; to Dr. A.C. Pont, Oxford University Museum of Natural History, UK, and to Mr D.M. Ackland, of the same Museum for their kindly help over many years and valuable suggestions; to Mr. Chun-tian Zhang and Mr. Shu-chong Bai for providing the type specimens of Fanzideia cygnocerca.</t>
  </si>
  <si>
    <t>0037-9271</t>
  </si>
  <si>
    <t>2168-6351</t>
  </si>
  <si>
    <t>ANN SOC ENTOMOL FR</t>
  </si>
  <si>
    <t>Ann. Soc. Entomol. Fr.</t>
  </si>
  <si>
    <t>SEP-DEC</t>
  </si>
  <si>
    <t>10.1080/00379271.2011.10697723</t>
  </si>
  <si>
    <t>Entomology</t>
  </si>
  <si>
    <t>922AP</t>
  </si>
  <si>
    <t>WOS:000302519500004</t>
  </si>
  <si>
    <t>Leichenkov, GL; Belyavsky, BV; Antonov, AV; Rodionov, NV; Sergeev, SA</t>
  </si>
  <si>
    <t>Leichenkov, G. L.; Belyavsky, B. V.; Antonov, A. V.; Rodionov, N. V.; Sergeev, S. A.</t>
  </si>
  <si>
    <t>First Information about the Geology of Central Antarctica Based on Study of Mineral Inclusions in Ice Cores of the Vostok Station Borehole</t>
  </si>
  <si>
    <t>EAST ANTARCTICA; LAKE VOSTOK</t>
  </si>
  <si>
    <t>Study of mineral inclusions in the basal part of the central Antarctic ice sheet from the borehole at the Vostok station was carried out. Mineral inclusions were trapped during freezing of the subglacial Lake Vostok water on the base of the glacier, when it crossed a shallow coastal area. It is established that the mineral inclusions are aggregates consisting mainly of clay minerals and quartz up to 150 microns. Crystals of aragonite and sulfides detected in the inclusions may indicate the presence of modern hydrothermal activity beneath the ice. Small (up to 4.5 mm) fragments of siltstone and aleuropelite in some aggregates suggest that lithified clastic sediments are exposed on the western coast of Lake Vostok, where removal of debris material occurred at the expense of exaration. Detrital zircon and monazite, found in siltstones and aleuropelite, suggest the chronology of geological complexes of the provenance area, which is, as is assumed, located in the Gamburtsev mountains in the central Antarctic. The age of the provenance area is 0.8-1.2 to 1.6-2.0 billion years.</t>
  </si>
  <si>
    <t>german_1@mail.ru</t>
  </si>
  <si>
    <t>Leitchenkov, German/G-2221-2015; Rodionov, Nickolay/T-8826-2017</t>
  </si>
  <si>
    <t>Leitchenkov, German/0000-0001-6316-8511; Rodionov, Nickolay/0000-0001-5201-1922</t>
  </si>
  <si>
    <t>Russian Foundation for Basic Research [07-05-00736a, 10-05-00624a]</t>
  </si>
  <si>
    <t>This research was performed as part of Project 2, subprogram Study and Research in the Antarctic, FTP World Ocean and was supported by the Russian Foundation for Basic Research, project nos. 07-05-00736a and 10-05-00624a.</t>
  </si>
  <si>
    <t>10.1134/S1028334X11090054</t>
  </si>
  <si>
    <t>866PM</t>
  </si>
  <si>
    <t>WOS:000298393300003</t>
  </si>
  <si>
    <t>Poltarukha, OP</t>
  </si>
  <si>
    <t>Poltarukha, O. P.</t>
  </si>
  <si>
    <t>MATERIALS TO THE ANTARCTIC AND SUBANTARCTIC FAUNA OF CIRRIPEDIA, THORACICA</t>
  </si>
  <si>
    <t>ZOOLOGICHESKY ZHURNAL</t>
  </si>
  <si>
    <t>Unidentified earlier barnacles (Cirripedia, Thoracica) collected in the Antarctic and Subantarctic at a depth of 125-860 m and deposited in the collection of the Zoological Institute of the Russian Academy of Sciences were investigated. Ten species were identified in the material studied: Lepas australis Darwin 1851, Litoscalpellum aurorae (Bage 1938), L. korotkevitschae (Zevina 1968), Australscalpellum schizmatoplacinum Newman et Ross 1971, Anguloscalpellum angulare (Nilsson-Cantell 1930), Trianguloscalpellum gaussi (Gruvel 1907), T magnaecarina (Nilsson-Cantell 1930), Weltnerium bouvieri (Gruvel 1906), Bathylasma corolliforme (Hoek 1883), and Balanus laevis laevis Bruguiere 1789. The individuals of the species studied were described, illustrated and compared to those from the publications. The data obtained extend the previously known areas of distribution and vertical borders of some species habitats and supplement the data on their morphology.</t>
  </si>
  <si>
    <t>Russian Acad Sci, Severtsov Inst Ecol &amp; Evolut, Moscow 119071, Russia</t>
  </si>
  <si>
    <t>Russian Academy of Sciences; Saratov Scientific Center of the Russian Academy of Sciences; Severtsov Institute of Ecology &amp; Evolution</t>
  </si>
  <si>
    <t>Poltarukha, OP (corresponding author), Russian Acad Sci, Severtsov Inst Ecol &amp; Evolut, Moscow 119071, Russia.</t>
  </si>
  <si>
    <t>poltarukha@rambler.ru</t>
  </si>
  <si>
    <t>Poltarukha, Oleg Pavlovich/JXN-2893-2024</t>
  </si>
  <si>
    <t>Poltarukha, Oleg Pavlovich/0000-0002-1053-4204</t>
  </si>
  <si>
    <t>MEZHDUNARODNAYA KNIGA</t>
  </si>
  <si>
    <t>39 DIMITROVA UL., MOSCOW, 113095, RUSSIA</t>
  </si>
  <si>
    <t>0044-5134</t>
  </si>
  <si>
    <t>ZOOL ZH</t>
  </si>
  <si>
    <t>Zool. Zhurnal</t>
  </si>
  <si>
    <t>852UR</t>
  </si>
  <si>
    <t>WOS:000297383500001</t>
  </si>
  <si>
    <t>Aciego, S; Bourdon, B; Schwander, J; Baur, H; Forieri, A</t>
  </si>
  <si>
    <t>Aciego, Sarah; Bourdon, Bernard; Schwander, Jakob; Baur, Heinrich; Forieri, Alessandro</t>
  </si>
  <si>
    <t>Toward a radiometric ice clock: uranium ages of the Dome C ice core</t>
  </si>
  <si>
    <t>Ice chronology; Ice core; U-series; Uranium; Antarctica</t>
  </si>
  <si>
    <t>VOSTOK ANTARCTIC ICE; TRACE-ELEMENTS; EPICA; CLIMATE; U-234/U-238; CHRONOLOGY; RECORD; FLUX; SR; ND</t>
  </si>
  <si>
    <t>Ice sheets and deep ice cores have yielded a wealth of paleoclimate information based on continuous dating methods while independent radiometric ages of ice have remained elusive. Here we demonstrate the application of (U-234/U-238) measurements to dating the EPICA Dome C ice core based on the accumulation of U-234 in the ice matrix from recoil during U-238 decay out of dust bound within the ice. Measured (U-234/U-238) activity ratios within the ice generally increase with depth while the surface areas of the dust grains are relatively constant. Using a newly designed device for measuring surface area for small samples, we were able to estimate reliably the recoil efficiency of nuclides from dust to ice. The resulting calculated radiometric ages range between 80 ka and 870 ka. Measured samples in the upper 3100 m fall on the previously published age-depth profile. Samples in the 3200-3255 m section show a marked change from 723-870 ka to 85 ka indicating homogenization of the deep ice prior to resetting of the (U-234/U-238) age in the basal layers. The mechanism for homogenization is likely enhanced lateral ice flow due to high basal melting and geothermal heat flux. (C) 2011 Elsevier Ltd. All rights reserved.</t>
  </si>
  <si>
    <t>[Aciego, Sarah] Univ Michigan, Dept Geol Sci, Ann Arbor, MI 48109 USA; [Aciego, Sarah; Bourdon, Bernard; Baur, Heinrich] ETH, Inst Geochem &amp; Petr, Zurich, Switzerland; [Bourdon, Bernard] Ecole Normale Super Lyon, CNRS, F-69364 Lyon, France; [Schwander, Jakob] Univ Bern, Inst Phys, CH-3012 Bern, Switzerland; [Forieri, Alessandro] Ist Nazl Geofis &amp; Vulcanol, Rome, Italy</t>
  </si>
  <si>
    <t>University of Michigan System; University of Michigan; Swiss Federal Institutes of Technology Domain; ETH Zurich; Centre National de la Recherche Scientifique (CNRS); Ecole Normale Superieure de Lyon (ENS de LYON); University of Bern; Istituto Nazionale Geofisica e Vulcanologia (INGV)</t>
  </si>
  <si>
    <t>Aciego, S (corresponding author), Univ Michigan, Dept Geol Sci, 1006 CC Little Bldg, Ann Arbor, MI 48109 USA.</t>
  </si>
  <si>
    <t>aciego@umich.edu</t>
  </si>
  <si>
    <t>EU; Swiss National Science Foundation</t>
  </si>
  <si>
    <t>EU(European Union (EU)); Swiss National Science Foundation(Swiss National Science Foundation (SNSF))</t>
  </si>
  <si>
    <t>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276. This work was supported financially by the Swiss National Science Foundation. We thank T. Stocker and F. Oberli for support and two anonymous reviewers for their constructive comments.</t>
  </si>
  <si>
    <t>10.1016/j.quascirev.2011.06.008</t>
  </si>
  <si>
    <t>826WT</t>
  </si>
  <si>
    <t>WOS:000295387000003</t>
  </si>
  <si>
    <t>Strelin, JA; Denton, GH; Vandergoes, MJ; Ninnemann, US; Putnam, AE</t>
  </si>
  <si>
    <t>Strelin, J. A.; Denton, G. H.; Vandergoes, M. J.; Ninnemann, U. S.; Putnam, A. E.</t>
  </si>
  <si>
    <t>Radiocarbon chronology of the late-glacial Puerto Bandera moraines, Southern Patagonian Icefield, Argentina</t>
  </si>
  <si>
    <t>Late-glacial; Termination; Radiocarbon; Glacier; Chronology; Patagonia; Southern Patagonian; Icefield; Sea-surface temperature; Antarctic cold reversal; Younger Dryas; Deglaciation</t>
  </si>
  <si>
    <t>COSMOGENIC NUCLIDE CHRONOLOGY; FRANZ-JOSEF-GLACIER; LAST TERMINATION; ATMOSPHERIC CO2; AMERICA; ADVANCE; CLIMATE; MAXIMUM; AGE; DEGLACIATION</t>
  </si>
  <si>
    <t>We report radiocarbon dates that constrain the timing of the deposition of the late-glacial Puerto Bandera moraine system alongside the western reaches of Lago Argentino adjacent to the Southern Patagonian Icefield. Close maximum-limiting radiocarbon ages (n = 11) for glacier advance into the outer moraines, with a mean value of 11,100 +/- 60 C-14 yrs BP (12,990 +/- 80 cal yrs BP), were obtained from wood in deformation (soft) till exposed beneath flow and lodgment till in Bahia del Quemado on the northeast side of Brazo Norte (North Branch) of western Lago Argentino. Other exposures of this basal deformation till in Bahia del Quemado reveal incorporated clasts of peat, along with larger inclusions of deformed glaciofluvial and lacustrine deposits. Radiocarbon dates of wood included in these reworked peat clasts range from 11,450 +/- 45 C-14 yrs BP to 13,450 +/- 150 C-14 yrs BP (13,315 +/- 60 to 16,440 +/- 340 cal yrs BP). The implication is that, during this interval, glacier fronts were situated inboard of the Puerto Bandera moraines, with the peat clasts and larger proglacial deposits being eroded and then included in the basal till during the Puerto Bandera advance. Minimum-limiting radiocarbon ages for ice retreat come from basal peat in cores sampled in spillways and depressions generated during abandonment of the Puerto Bandera moraines. Glacier recession and subsequent plant colonization were initiated close behind different frontal sectors of these moraines prior to: 10,750 +/- 75 C-14 yrs BP (12,660 +/- 70 cal yrs BP) east of Brazo Rico, 10,550 +/- 55 C-14 yrs BP (12,490 +/- 80 cal yrs BP) in Peninsula Avellaneda, and 10,400 +/- 50 C-14 yrs BP (12,280 +/- 110 cal yrs BP) in Bahia Catalana. In addition, a radiocarbon date indicates that by 10,350 +/- 45 C-14 yrs BP (12,220 +/- 110 cal yrs BP), the Brazo Norte lobe (or former Upsala Glacier) had receded well up the northern branch of Lago Argentino, to a position behind the Herminita moraines. Furthermore, glacier termini had receded to just outboard of the outer Holocene moraines at Lago Frias and Lago Pearson (Anita) prior to 10,400 +/- 40 C-14 yrs BP (12,270 +/- 100 cal yrs BP) and 9040 +/- 45 C-14 yrs BP (10,210 +/- 50 cal yrs BP), respectively. The most extensive recession registered during the early Holocene was in Agassiz Este Valley, where the Upsala Glacier had pulled back behind the outer Holocene moraine, reaching close to the present-day glacier terminus before 8290 +/- 40 C-14 yrs BP (9300 +/- 80 cal yrs BP). The radiocarbon-dated fluctuations of the Lago Argentino glacier in late-glacial time, given here, are in accord with changes in ocean mixed layer properties, predominately temperature, derived from the isotopic record given here of ODP Core 1233, taken a short distance off shore of the Chilean Lake District. It also matches recently published chronologies of late-glacial moraines in the Southern Alps of New Zealand on the opposite side of the Pacific Ocean from Lago Argentino. Finally, the timing of the late-glacial reversal of the Lago Argentino glacier fits the most recent chronology for the culmination of the Antarctic Cold Reversal (ACR) in the deuterium record of the EPICA Dome C ice core from high on the East Antarctic Plateau. Therefore, we conclude that the climate signature of the ACR was widespread in both the ocean and the atmosphere over at least the southern quarter of the globe. (C) 2011 Elsevier Ltd. All rights reserved.</t>
  </si>
  <si>
    <t>[Strelin, J. A.] CICTERRA Univ Nacl Cordoba, Inst Antartico Argentino, Cordoba, Argentina; [Denton, G. H.; Putnam, A. E.] Univ Maine, Dept Earth Sci, Orono, ME 04469 USA; [Denton, G. H.; Putnam, A. E.] Univ Maine, Climate Change Inst, Orono, ME 04469 USA; [Vandergoes, M. J.] GNS Sci, Lower Hutt, New Zealand; [Ninnemann, U. S.] Univ Bergen, Bjerknes Ctr Climate Res, N-5007 Bergen, Norway; [Ninnemann, U. S.] Univ Bergen, Dept Earth Sci, N-5007 Bergen, Norway</t>
  </si>
  <si>
    <t>Instituto Antartico Argentino; Consejo Nacional de Investigaciones Cientificas y Tecnicas (CONICET); National University of Cordoba; University of Maine System; University of Maine Orono; University of Maine System; University of Maine Orono; GNS Science - New Zealand; University of Bergen; Bjerknes Centre for Climate Research; University of Bergen</t>
  </si>
  <si>
    <t>Strelin, JA (corresponding author), CICTERRA Univ Nacl Cordoba, Inst Antartico Argentino, Avda Velez Sarsfield 1611,X5016GCA, Cordoba, Argentina.</t>
  </si>
  <si>
    <t>jstrelin@yahoo.com.ar</t>
  </si>
  <si>
    <t>Putnam, Aaron/0000-0002-5358-1473</t>
  </si>
  <si>
    <t>Corner Science and Education Foundation (CSEF); Instituto Antartico Argentino (IAA); Centro de Investigaciones en Ciencias de la Tierra (CICTERRA); Universidad Nacional de Cordoba (UNC); National Oceanic and Atmospheric Administration (NOAA)</t>
  </si>
  <si>
    <t>Corner Science and Education Foundation (CSEF); Instituto Antartico Argentino (IAA); Centro de Investigaciones en Ciencias de la Tierra (CICTERRA); Universidad Nacional de Cordoba (UNC); National Oceanic and Atmospheric Administration (NOAA)(National Oceanic Atmospheric Admin (NOAA) - USA)</t>
  </si>
  <si>
    <t>We are grateful to the Corner Science and Education Foundation (CSEF), Instituto Antartico Argentino (IAA) and Centro de Investigaciones en Ciencias de la Tierra (CICTERRA), Universidad Nacional de Cordoba (UNC), for supporting the research of JS in Patagonia. GHD, AEP, and MJV were supported by the National Oceanic and Atmospheric Administration (NOAA). NOAA also provided funds for radiocarbon dating. In this multidisciplinary expedition several colleagues worked on their own specialties and we are grateful for their kind company and help: Dr Michael Kaplan from Lamont-Doherty Earth Observatory of Columbia University (exposure cosmogenic dating), Dr Randall Keller from Oregon State University (tephrochronology), and Geol. Cesar Toerielli from UNC (dendrochronology). Scott Travis (from CSEF) and the following students from UNC and the University of Maine assisted us during the field work: Lucas Oliva, Nadia Curetti, Juan Pablo Lovecchio, Fernando Calabozo, Juan Presta, Adrian Heredia, Samuel Kelley, Mateo Martini, and Juan Luis Garcia. For logistic support we thank Alejandro Tur, the skipper of Olimpo, our lake transport, and his assistant, Lucas Sobral. Finally we are grateful to the following institutions and people that assisted us during the different field expeditions: Hielo &amp; Aventura (Jose Pera), Estancia Cristina (Daniel Moreno), and Administracion de Parques Nacionales (Guardaparque Fernando Spikermann).</t>
  </si>
  <si>
    <t>10.1016/j.quascirev.2011.05.004</t>
  </si>
  <si>
    <t>WOS:000295387000014</t>
  </si>
  <si>
    <t>Miller, GH; Brigham-Grette, J; Alley, RB; Anderson, L; Bauch, HA; Douglas, MSV; Edwards, ME; Elias, SA; Finney, BP; Fitzpatrick, JJ; Funder, SV; Herbert, TD; Hinzman, LD; Kaufman, DS; MacDonald, GM; Polyak, L; Robock, A; Serreze, MC; Smol, JP; Spielhagen, R; White, JWC; Wolfe, AP; Wolff, EW</t>
  </si>
  <si>
    <t>Miller, G. H.; Brigham-Grette, J.; Alley, R. B.; Anderson, L.; Bauch, H. A.; Douglas, M. S. V.; Edwards, M. E.; Elias, S. A.; Finney, B. P.; Fitzpatrick, J. J.; Funder, S. V.; Herbert, T. D.; Hinzman, L. D.; Kaufman, D. S.; MacDonald, G. M.; Polyak, L.; Robock, A.; Serreze, M. C.; Smol, J. P.; Spielhagen, R.; White, J. W. C.; Wolfe, A. P.; Wolff, E. W.</t>
  </si>
  <si>
    <t>Temperature and precipitation history of the Arctic (vol 29, pg 1679, 2010)</t>
  </si>
  <si>
    <t>[Miller, G. H.; White, J. W. C.] Univ Colorado, Inst Arctic &amp; Alpine Res, Boulder, CO 80309 USA; [Miller, G. H.; White, J. W. C.] Univ Colorado, Dept Geol Sci, Boulder, CO 80309 USA; [Brigham-Grette, J.] Univ Massachusetts, Dept Geosci, Amherst, MA 01003 USA; [Alley, R. B.] Penn State Univ, Dept Geosci, University Pk, PA 16802 USA; [Alley, R. B.] Penn State Univ, Earth &amp; Environm Syst Inst, University Pk, PA 16802 USA; [Anderson, L.; Fitzpatrick, J. J.] US Geol Survey, DFC, Denver, CO 80225 USA; [Bauch, H. A.] Mainz Acad Sci Humanities &amp; Literature, IFM GEOMAR, Kiel, Germany; [Douglas, M. S. V.; Wolfe, A. P.] Univ Alberta, Dept Earth &amp; Atmospher Sci, Edmonton, AB T6G 2E3, Canada; [Edwards, M. E.] Univ Southampton, Sch Geog, Southampton SO17 1BJ, Hants, England; [Elias, S. A.] Univ London, Dept Geog, Egham TW20 0EX, Surrey, England; [Finney, B. P.] Idaho State Univ, Dept Biol Sci, Pocatello, ID 83209 USA; [Funder, S. V.] Univ Copenhagen, Geol Museum, DK-1350 Copenhagen K, Denmark; [Herbert, T. D.] Brown Univ, Dept Geol Sci, Providence, RI 02912 USA; [Hinzman, L. D.] Univ Alaska Fairbanks, Water &amp; Environm Res Ctr, Fairbanks, AK 99775 USA; [Kaufman, D. S.] No Arizona Univ, Sch Earth Sci &amp; Environm Sustainabil, Flagstaff, AZ 86011 USA; [MacDonald, G. M.] Univ Calif Los Angeles, Dept Geog, Los Angeles, CA 90095 USA; [Polyak, L.] Ohio State Univ, Byrd Polar Res Ctr, Columbus, OH 43210 USA; [Robock, A.] Rutgers State Univ, Dept Environm Sci, New Brunswick, NJ 08901 USA; [Serreze, M. C.] Univ Colorado, NSIDC, Cooperat Inst Res Environm Sci, Boulder, CO 80309 USA; [Smol, J. P.] Queens Univ, Dept Biol, Kingston, ON K7L 3N6, Canada; [Spielhagen, R.] IFM GEOMAR, Leibniz Inst Marine Sci, D-24148 Kiel, Germany; [Wolff, E. W.] British Antarctic Survey, Cambridge CB3 0ET, England</t>
  </si>
  <si>
    <t>University of Colorado System; University of Colorado Boulder; University of Colorado System; University of Colorado Boulder; University of Massachusetts System; University of Massachusetts Amherst; Pennsylvania Commonwealth System of Higher Education (PCSHE); Pennsylvania State University; Pennsylvania State University - University Park; Pennsylvania Commonwealth System of Higher Education (PCSHE); Pennsylvania State University; Pennsylvania State University - University Park; United States Department of the Interior; United States Geological Survey; Helmholtz Association; GEOMAR Helmholtz Center for Ocean Research Kiel; University of Alberta; University of Southampton; University of London; Royal Holloway University London; Idaho; Idaho State University; University of Copenhagen; Brown University; University of Alaska System; University of Alaska Fairbanks; Northern Arizona University; University of California System; University of California Los Angeles; University System of Ohio; Ohio State University; Rutgers University System; Rutgers University New Brunswick; University of Colorado System; University of Colorado Boulder; Queens University - Canada; Helmholtz Association; GEOMAR Helmholtz Center for Ocean Research Kiel; UK Research &amp; Innovation (UKRI); Natural Environment Research Council (NERC); NERC British Antarctic Survey</t>
  </si>
  <si>
    <t>Miller, GH (corresponding author), Univ Colorado, Inst Arctic &amp; Alpine Res, Boulder, CO 80309 USA.</t>
  </si>
  <si>
    <t>gmiller@colorado.edu</t>
  </si>
  <si>
    <t>Kaufman, Darrell S/A-2471-2008; White, James W.C./A-7845-2009; Wolff, Eric W/D-7925-2014; Elias, Scott/ISB-2829-2023; Spielhagen, Robert F./HMD-2002-2023; Robock, Alan/B-6385-2016; Hinzman, Larry D/B-3309-2013; Smol, John P/A-8838-2015</t>
  </si>
  <si>
    <t>Wolff, Eric W/0000-0002-5914-8531;</t>
  </si>
  <si>
    <t>10.1016/j.quascirev.2010.07.018</t>
  </si>
  <si>
    <t>WOS:000295387000032</t>
  </si>
  <si>
    <t>Slater, BJ; McLoughlin, S; Hilton, J</t>
  </si>
  <si>
    <t>Slater, Ben J.; McLoughlin, Stephen; Hilton, Jason</t>
  </si>
  <si>
    <t>Guadalupian (Middle Permian) megaspores from a permineralised peat in the Bainmedart Coal Measures, Prince Charles Mountains, Antarctica</t>
  </si>
  <si>
    <t>REVIEW OF PALAEOBOTANY AND PALYNOLOGY</t>
  </si>
  <si>
    <t>Permian; Antarctica; Gondwana; peat; lycopsid; megaspore</t>
  </si>
  <si>
    <t>CENTRAL TRANSANTARCTIC MOUNTAINS; MARIE-BYRD-LAND; EAST-ANTARCTICA; TOMOGRAPHIC MICROSCOPY; ARBORESCENT LYCOPSIDS; REVISED STRATIGRAPHY; WEST ANTARCTICA; MASS-EXTINCTION; GODAVARI GRABEN; RUPPERT COAST</t>
  </si>
  <si>
    <t>A unique Guadalupian (mid-Permian) megaspore assemblage has been recovered from permineralised peats capping a coal seam in the Bainmedart Coal Measures, Prince Charles Mountains, East Antarctica. The megaspores are exquisitely preserved in three-dimensions and reveal the presence of at least three lycopsid species for which the macrofossil record is at present scant. The megaspores are assigned to three existing genera and in each case represent new species. Duosporites lambertensis sp. nov. and Banksisporites antarcticus sp. nov. are rare and predominantly laevigate trilete megaspores, but D. lambertensis sp. nov. has sparse grana or spinules and a shallow furrow bordering the contact faces, whereas B. antarcticus sp. nov. lacks ornament, has unmodified contact faces and has a more rounded amb. Singhisporites hystrix sp. nov. is the most abundant megaspore in the assemblage and is densely ornamented with elaborately branched, pointed processes. Scanning electron microscopy and X-ray synchrotron tomography reveal a spongy exosporium and no obvious mesosporium; microspores attributable to Lundbladispora sp. adhere to the ornament of S. hystrix sp. nov. these forms likely representing the microspores and megaspores, respectively, of the same biological species. Although of low diversity, the megaspore assemblage is of similar generic composition to those known from Permian sediments of the Mahanadi Graben, India, and appears typical of high-latitude Gondwanan Glossopteris-dominated peat-forming communities. This lends support to previous palaeogeographic reconstructions of Gondwana that place the Antarctic Lambert Graben as the southern (up-slope) extension of the Mahanadi Graben prior to dispersal of the southern continents. (C) 2011 Elsevier B.V. All rights reserved.</t>
  </si>
  <si>
    <t>[Slater, Ben J.; Hilton, Jason] Univ Birmingham, Sch Geog Earth &amp; Environm Sci, Birmingham B15 2TT, W Midlands, England; [McLoughlin, Stephen] Swedish Museum Nat Hist, Dept Palaeobot, S-10405 Stockholm, Sweden</t>
  </si>
  <si>
    <t>University of Birmingham; Swedish Museum of Natural History</t>
  </si>
  <si>
    <t>Slater, BJ (corresponding author), Univ Birmingham, Sch Geog Earth &amp; Environm Sci, Birmingham B15 2TT, W Midlands, England.</t>
  </si>
  <si>
    <t>bxs574@bham.ac.uk</t>
  </si>
  <si>
    <t>Hilton, Jason/JCE-0756-2023; Hilton, Jason/F-5830-2012</t>
  </si>
  <si>
    <t>Hilton, Jason/0000-0003-0286-8236; Hilton, Jason/0000-0003-0286-8236; Slater, Ben/0000-0002-5774-9114</t>
  </si>
  <si>
    <t>Natural Environment Research Council, U.K. [NE/H5250381/1]; EU [SE-TAF-4827, 20100167]; Antarctic Science Advisory Council [509]; Swedish Research Council; Australian Research Council; Australian Antarctic Division via Antarctic Science Advisory Council [509]; Swedish Research Council (VR)</t>
  </si>
  <si>
    <t>Natural Environment Research Council, U.K.(UK Research &amp; Innovation (UKRI)Natural Environment Research Council (NERC)); EU(European Union (EU)); Antarctic Science Advisory Council; Swedish Research Council(Swedish Research Council); Australian Research Council(Australian Research Council); Australian Antarctic Division via Antarctic Science Advisory Council; Swedish Research Council (VR)(Swedish Research Council)</t>
  </si>
  <si>
    <t>This research was supported by the Natural Environment Research Council, U.K. (NE/H5250381/1 to BJS) and the Synthesys programme of the EU to support research on museum collections (SE-TAF-4827 to BJS). The Australian Antarctic Division provided financial and logistical support for collecting the specimens via Antarctic Science Advisory Council Project 509; Profs D. Cantrill and A. Drinnan helped collect material in the field on two Antarctic expeditions. Thanks also to Else Marie Friis and Anna Lindstrom (NRM), and Marco Stampanoni and Federica Marone (Paul Sherrer Institute) for aid in the Synchrotron tomography work (supported by the European Union FP6, project number 20100167, to P.C.J. Donoghue, S. Bengston and E.M. Friis and the European Community - Research Infrastructure Action under the FP7 Capacities Specific Programme). Robert Mill (Royal Botanic Gardens, Edinburgh) provided valuable advice on Latin nomenclature. SM acknowledges funding support from a Swedish Research Council (VR) grant and an Australian Research Council Linkage grant</t>
  </si>
  <si>
    <t>0034-6667</t>
  </si>
  <si>
    <t>1879-0615</t>
  </si>
  <si>
    <t>REV PALAEOBOT PALYNO</t>
  </si>
  <si>
    <t>Rev. Palaeobot. Palynology</t>
  </si>
  <si>
    <t>10.1016/j.revpalbo.2011.07.007</t>
  </si>
  <si>
    <t>843SK</t>
  </si>
  <si>
    <t>WOS:000296692700010</t>
  </si>
  <si>
    <t>Dahlgren, H; Sundberg, T; Collier, AB; Koen, E; Meyer, S</t>
  </si>
  <si>
    <t>Dahlgren, Hanna; Sundberg, Torbjorn; Collier, Andrew B.; Koen, Etienne; Meyer, Stephen</t>
  </si>
  <si>
    <t>Solar flares detected by the new narrowband VLF receiver at SANAE IV</t>
  </si>
  <si>
    <t>D-REGION ENHANCEMENTS; IONOSPHERIC PARAMETERS; PROPAGATION; AMPLITUDE; PHASE</t>
  </si>
  <si>
    <t>A narrowband receiver was installed at the SANAE IV base in Antarctica to monitor specific very low frequency (VLF) radio signals from transmitters around the world. VLF waves propagating through the Earth-Ionosphere Waveguide are excellent probes of the varying properties of the lower region of the ionosphere. This paper describes the set-up of the narrowband system and demonstrates its capabilities with data from a set of solar flares on 08 February and 12 February 2010.</t>
  </si>
  <si>
    <t>[Dahlgren, Hanna] Boston Univ, Ctr Space Phys, Boston, MA 02215 USA; [Dahlgren, Hanna; Sundberg, Torbjorn; Koen, Etienne] Royal Inst Technol, Stockholm, Sweden; [Dahlgren, Hanna] Boston Univ, Dept Elect &amp; Comp Engn, Boston, MA 02215 USA; [Sundberg, Torbjorn] NASA, Heliophys Sci Div, Goddard Space Flight Ctr, Greenbelt, MD USA; [Collier, Andrew B.; Koen, Etienne; Meyer, Stephen] SANSA Space Sci, Hermanus, South Africa; [Collier, Andrew B.; Meyer, Stephen] Univ KwaZulu Natal, Durban, South Africa</t>
  </si>
  <si>
    <t>Boston University; Royal Institute of Technology; Boston University; National Aeronautics &amp; Space Administration (NASA); NASA Goddard Space Flight Center; University of Kwazulu Natal</t>
  </si>
  <si>
    <t>Dahlgren, H (corresponding author), Boston Univ, Ctr Space Phys, 725 Commonwealth Ave,Room 408, Boston, MA 02215 USA.</t>
  </si>
  <si>
    <t>hannad@bu.edu</t>
  </si>
  <si>
    <t>Collier, Andrew B/H-3752-2011; Koen, Etienne/E-8947-2012</t>
  </si>
  <si>
    <t>Koen, Etienne/0000-0002-4030-1014</t>
  </si>
  <si>
    <t>UltraMSK</t>
  </si>
  <si>
    <t>We are grateful to the SANAE IV 2009-2010 relief team, and especially Daleen Koch, Mar lie van Zyl and S.J. van der Merwe for valuable help on the installation of the system. We wish to thank the developer of UltraMSK, James Brundell, for discussions and support. We also thank Rory Meyer and James Hayes for operation and maintenance of the system during the long Antarctic winter. GOES data was provided by the Space Weather Prediction Center (Boulder, CO, USA) and the National Oceanic and Atmospheric Administration (NOAA), US Department of Commerce.</t>
  </si>
  <si>
    <t>SEP-OCT</t>
  </si>
  <si>
    <t>10.4102/sajs.v107i9/10.491</t>
  </si>
  <si>
    <t>843RM</t>
  </si>
  <si>
    <t>WOS:000296690100012</t>
  </si>
  <si>
    <t>Strzalka, K; Szymanska, R; Suwalsky, M</t>
  </si>
  <si>
    <t>Strzalka, Kazimierz; Szymanska, Renata; Suwalsky, Mario</t>
  </si>
  <si>
    <t>PRENYLLIPIDS AND PIGMENTS CONTENT IN SELECTED ANTARCTIC LICHENS AND MOSSES</t>
  </si>
  <si>
    <t>JOURNAL OF THE CHILEAN CHEMICAL SOCIETY</t>
  </si>
  <si>
    <t>Antarctica; lichens; mosses; pigments; tocopherols; plastochromanol; plastoquinone</t>
  </si>
  <si>
    <t>ALPHA-TOCOPHEROL; VITAMIN-E; XANTHOPHYLL CYCLE; PLASTOQUINONE; TOCOTRIENOLS; ARABIDOPSIS; PLASTOCHROMANOL; TOCOCHROMANOLS; BIOSYNTHESIS; ACCLIMATION</t>
  </si>
  <si>
    <t>The content and relative composition of tocopherols, plastochromanol, plastoquinone and pigments in fifteen Antarctic species (five mosses and ten lichens) were analyzed by HPLC. Total tocopherols in mosses ranged from 90 mu g/g (Warnstrofia sarmentosa) to 220 mu g/g (Syntrichia magellanica), while in lichens it ranged from 0.89 mu g/g in Caloplaca sp. to 45 mu g/g in Placopsis contortuplicata. With the exception of Ochrolechia frigida, in all other mosses and lichens species, a-tocopherol accounted for more than 90% of total tocopherols. Plastochromanol was detected in four mosses and two lichen species; the highest level was found in Polytrichastrum alpinum (19.1 mu g/g). The highest content of plastoquinone-9 (PQ-9) in mosses was found in Bryum pseudotriquetrum (42.6 mu g/g), whereas in lichens it was 24.5 mu g/g in Stereocaulon alpinum, and 23.17 mu g/g in Umbilicaria antarctica. Pigment composition in mosses was typical for higher plants. Some lichen species lacked chlorophyll b, violaxanthin and beta-carotene. Based on these results it is suggested that tocochromanols and carotenoid pigments are involved in the protection of mosses and lichens against the oxidative stress caused by the extreme Antarctic conditions.</t>
  </si>
  <si>
    <t>[Strzalka, Kazimierz; Szymanska, Renata] Jagiellonian Univ, Fac Biochem Biophys &amp; Biotechnol, Dept Plant Physiol &amp; Biochem, PL-30387 Krakow, Poland; [Suwalsky, Mario] Univ Concepcion, Fac Chem Sci, Concepcion, Chile</t>
  </si>
  <si>
    <t>Jagiellonian University; Universidad de Concepcion</t>
  </si>
  <si>
    <t>Strzalka, K (corresponding author), Jagiellonian Univ, Fac Biochem Biophys &amp; Biotechnol, Dept Plant Physiol &amp; Biochem, Gronostajowa 7, PL-30387 Krakow, Poland.</t>
  </si>
  <si>
    <t>msuwalsk@udec.cl</t>
  </si>
  <si>
    <t>Szymanska, Renata/N-2134-2014</t>
  </si>
  <si>
    <t>Szymanska, Renata/0000-0001-8375-7786</t>
  </si>
  <si>
    <t>FONDECYT [1090041]; INACH [F_02-08]; European Regional Development Fund in the framework of the Polish Innovation Economy Operational Program [POIG.02.01.00-12-167/08]</t>
  </si>
  <si>
    <t>FONDECYT(Comision Nacional de Investigacion Cientifica y Tecnologica (CONICYT)CONICYT FONDECYT); INACH; European Regional Development Fund in the framework of the Polish Innovation Economy Operational Program</t>
  </si>
  <si>
    <t>This project was supported by FONDECYT (Project 1090041) and INACH (Project F_02-08). The research was carried out with the equipment purchased thanks to financial support of the European Regional Development Fund in the framework of the Polish Innovation Economy Operational Program (contract No. POIG.02.01.00-12-167/08, Project Malopolska Centre of Biotechnology).</t>
  </si>
  <si>
    <t>SOC CHILENA QUIMICA</t>
  </si>
  <si>
    <t>CASILLA 2613, CONCEPCION, 00000, CHILE</t>
  </si>
  <si>
    <t>0717-9707</t>
  </si>
  <si>
    <t>J CHIL CHEM SOC</t>
  </si>
  <si>
    <t>J. Chil. Chem. Soc.</t>
  </si>
  <si>
    <t>10.4067/S0717-97072011000300019</t>
  </si>
  <si>
    <t>844NF</t>
  </si>
  <si>
    <t>WOS:000296753600019</t>
  </si>
  <si>
    <t>Navalgund, RR; Singh, RP</t>
  </si>
  <si>
    <t>Navalgund, Ranganath R.; Singh, Raghavendra P.</t>
  </si>
  <si>
    <t>Climate Change Studies Using Space Based Observation</t>
  </si>
  <si>
    <t>JOURNAL OF THE INDIAN SOCIETY OF REMOTE SENSING</t>
  </si>
  <si>
    <t>Earth observation; Climate change; Green house gases; Glacier retreat; Biomass burning</t>
  </si>
  <si>
    <t>HIMACHAL-PRADESH; ANTARCTIC REGION; GLACIER; RETREAT; BASIN; MSMR</t>
  </si>
  <si>
    <t>Climate change is associated with earth radiation budget that depends upon incoming solar radiation, surface albedo and radiative forcing by greenhouse gases. Human activities are contributing to climate change by causing changes in Earth's atmosphere (greenhouse gases, aerosols) and biosphere (deforestation, urbanization, irrigation). Long term and precise measurements from calibrated global observation constellation is a vital component in climate system modelling. Space based records of biosphere, cryosphere, hydrosphere and atmosphere over more than three decades are providing important information on climate change. Space observations are an important source of climate variables due to multi scale simultaneous observation (local, regional, and global scales) capability with temporal revisit in tune with requirements of land, ocean and atmospheric processes. Essential climatic variables that can be measured from space include atmosphere (upper air temperature, water vapour, precipitation, clouds, aerosols, GHGs etc.), ocean (sea ice, sea level, SST, salinity, ocean colour etc.) and land (snow, glacier, albedo, biomass, LAI/fAPAR, soil moisture etc.). India's Earth Observation Programme addresses various aspects of land, ocean and atmospheric applications. The present and planned missions such as Resourcesat-1, Oceansat-2, RISAT, Megha-Tropiques, INSAT-3D, SARAL, Resourcesat-2, Geo-HR Imager and series of Environmental satellites (I-STAG) would help in understanding the issues related to climate changes. The paper reviews observational needs, space observation systems and studies that have been carried out at ISRO (Indian Space Research Organization) towards mapping/detecting the indicators of climate change, monitoring the agents of climate change and understanding the impact of climate change, in national perspectives. Studies to assess glacier retreat, changes in polar ice cover, timberline change and coral bleaching are being carried out towards monitoring of climate change indicators. Spatial methane inventories from paddy rice, livestock and wetlands have been prepared and seasonal pattern of CO(2), and CO have been analysed. Future challenges in space observations include design and placement of adequate and accurate multi-platform observational systems to monitor all parameters related to various interaction processes and generation of long term calibrated climate data records pertaining to land ocean and atmosphere.</t>
  </si>
  <si>
    <t>[Navalgund, Ranganath R.; Singh, Raghavendra P.] ISRO, Ctr Space Applicat, Ahmadabad 380015, Gujarat, India</t>
  </si>
  <si>
    <t>Department of Space (DoS), Government of India; Indian Space Research Organisation (ISRO); Space Applications Centre (SAC)</t>
  </si>
  <si>
    <t>Navalgund, RR (corresponding author), ISRO, Ctr Space Applicat, Ahmadabad 380015, Gujarat, India.</t>
  </si>
  <si>
    <t>director@sac.isro.gov.in</t>
  </si>
  <si>
    <t>0255-660X</t>
  </si>
  <si>
    <t>J INDIAN SOC REMOTE</t>
  </si>
  <si>
    <t>J. Indian Soc. Remote Sens.</t>
  </si>
  <si>
    <t>10.1007/s12524-011-0092-4</t>
  </si>
  <si>
    <t>Environmental Sciences; Remote Sensing</t>
  </si>
  <si>
    <t>Environmental Sciences &amp; Ecology; Remote Sensing</t>
  </si>
  <si>
    <t>841NE</t>
  </si>
  <si>
    <t>WOS:000296518200002</t>
  </si>
  <si>
    <t>Satellites Help Chart Antarctic Ice Flow</t>
  </si>
  <si>
    <t>MICROWAVES &amp; RF</t>
  </si>
  <si>
    <t>PENTON MEDIA, INC</t>
  </si>
  <si>
    <t>249 W 17TH ST, NEW YORK, NY 10011 USA</t>
  </si>
  <si>
    <t>0745-2993</t>
  </si>
  <si>
    <t>MICROWAVES RF</t>
  </si>
  <si>
    <t>Microw. RF</t>
  </si>
  <si>
    <t>Engineering, Electrical &amp; Electronic; Telecommunications</t>
  </si>
  <si>
    <t>Engineering; Telecommunications</t>
  </si>
  <si>
    <t>843NE</t>
  </si>
  <si>
    <t>WOS:000296677900007</t>
  </si>
  <si>
    <t>Tarasov, PE; Nakagawa, T; Demske, D; Österle, H; Igarashi, Y; Kitagawa, J; Mokhova, L; Bazarova, V; Okuda, M; Gotanda, K; Miyoshi, N; Fujiki, T; Takemura, K; Yonenobu, H; Fleck, A</t>
  </si>
  <si>
    <t>Tarasov, Pavel E.; Nakagawa, Takeshi; Demske, Dieter; Oesterle, Hermann; Igarashi, Yaeko; Kitagawa, Junko; Mokhova, Lyudmila; Bazarova, Valentina; Okuda, Masaaki; Gotanda, Katsuya; Miyoshi, Norio; Fujiki, Toshiyuki; Takemura, Keiji; Yonenobu, Hitoshi; Fleck, Andreas</t>
  </si>
  <si>
    <t>Progress in the reconstruction of Quaternary climate dynamics in the Northwest Pacific: A new modern analogue reference dataset and its application to the 430-kyr pollen record from Lake Biwa</t>
  </si>
  <si>
    <t>EARTH-SCIENCE REVIEWS</t>
  </si>
  <si>
    <t>Japan; Russian Far East; Quantitative climate reconstruction; Pollen record; Modern analogue technique; Marine isotope stages (MIS) 1-11</t>
  </si>
  <si>
    <t>EAST-ASIAN MONSOON; GLACIAL-INTERGLACIAL VEGETATION; TREE-LINE AREA; HIGH-RESOLUTION; QUANTITATIVE RECONSTRUCTION; HOLOCENE CLIMATE; MILLENNIAL-SCALE; SUMMER MONSOON; CENTRAL CHINA; ICE VOLUME</t>
  </si>
  <si>
    <t>This study presents a newly compiled dataset of modern pollen and climate data from 798 sites across Japan and the Russian Far East. This comprehensive reference dataset combined with the modern analogue technique (MAT) provides a powerful tool for pollen-based reconstruction of the Quaternary Northwest Pacific climate. Pollen-derived reconstruction of the modern climate at the reference pollen-sampling sites matches well with the estimated modern climate values (R-2 values vary between 0.79 and 0.95, and RMSEP values vary between 5.8 and 9.7% of the modern climatic range for all nine tested variables). The successful testing of the method encourages its application to the fossil pollen records. We used a coarse-resolution pollen record from Lake Biwa to reconstruct glacial-interglacial climate dynamics in central Japan since similar to 438 kyr and compared it to the earlier reconstruction based on a less representative reference dataset. The current and earlier results consistently demonstrate that the coldest glacial intervals experienced pronounced cooling in winter and moderate cooling in summer, supporting the growth of cool mixed forest (COMX) where warm mixed forest (WAMX) predominates today. During the last glacial, maximum (similar to 24 kyr BP) mean temperatures of the coldest (MTCO) and warmest (MTWA) month were about -13 degrees C (RMSEP = 2.34 degrees C) and 21 degrees C (RMSEP = 1.66 degrees C) respectively, and annual precipitation (PANN) was about 800 mm (RMSEP = 158.06 mm). During the thermal optimums of the interglacial intervals, the temperatures of the coldest and warmest month were above 0 degrees C and 25 degrees C respectively, leading to the reconstruction of WAMX and temperate conifer forest (TECO). Although both these vegetation types grow in the southern part of Japan today, WAMX requires warmer space. The presence of WAMX during marine isotope stages (MIS) 11 and 1, and its absence during MIS 9 and MIS 5 contradict the marine isotope and Antarctic ice records, suggesting that the latter two interglacials were the warmest of the last 800 kyr. The apparent contradiction allows at least three different explanations including low temporal resolution of the pollen record; different trends in CO2 concentrations during 'short' and 'long' interglacials; and regional climate variability and non-linear response of different regions to the global forcing. More definitive conclusions will be possible on the basis of forthcoming high-resolution pollen records from central Japan. (C) 2011 Elsevier B.V. All rights reserved.</t>
  </si>
  <si>
    <t>[Tarasov, Pavel E.; Demske, Dieter; Fleck, Andreas] Free Univ Berlin, Inst Geol Sci, Palaeontol Branch, D-12249 Berlin, Germany; [Nakagawa, Takeshi] Newcastle Univ, Dept Geog, Newcastle Upon Tyne NE1 7RU, Tyne &amp; Wear, England; [Oesterle, Hermann] Potsdam Inst Climate Impact Res, D-14473 Potsdam, Germany; [Igarashi, Yaeko] Inst Paleoenvironm No Reg, Kitahiroshima 0611192, Japan; [Kitagawa, Junko] Int Res Ctr Japanese Studies, Nishikyo Ku, Kyoto 6101192, Japan; [Mokhova, Lyudmila; Bazarova, Valentina] Russian Acad Sci, Pacific Inst Geog, Far E Branch, Vladivostok 690041, Russia; [Okuda, Masaaki] Nat Hist Museum, Chiba 2608682, Japan; [Okuda, Masaaki] Inst Chiba, Chiba 2608682, Japan; [Gotanda, Katsuya] Chiba Univ Commerce, Fac Policy Informat, Chiba 2728512, Japan; [Miyoshi, Norio] Okayama Univ Sci, Dept Appl Sci, Fac Sci, Okayama 7000005, Japan; [Fujiki, Toshiyuki] Nagoya Univ, Grad Sch Environm Studies, Nagoya, Aichi 4648601, Japan; [Takemura, Keiji] Kyoto Univ, Inst Geothermal Sci, Fac Sci, Beppu, Oita 8740903, Japan; [Yonenobu, Hitoshi] Naruto Univ Educ, Coll Educ, Naruto 7728502, Japan</t>
  </si>
  <si>
    <t>Free University of Berlin; Newcastle University - UK; Potsdam Institut fur Klimafolgenforschung; Pacific Geographical Institute of the Far Eastern Branch of the Russian Academy of Sciences; Russian Academy of Sciences; Okayama University of Science; Nagoya University; Kyoto University; Naruto University of Education</t>
  </si>
  <si>
    <t>Tarasov, PE (corresponding author), Free Univ Berlin, Inst Geol Sci, Palaeontol Branch, Malteserstr 74-100,Bldg D, D-12249 Berlin, Germany.</t>
  </si>
  <si>
    <t>paveltarasov@mail.ru</t>
  </si>
  <si>
    <t>Tarasov, Pavel/ABG-3993-2020; Yonenobu, Hitoshi/AAB-1500-2021; Bazarova, Valentina/AAH-1330-2019</t>
  </si>
  <si>
    <t>Tarasov, Pavel/0000-0002-7219-5009; Yonenobu, Hitoshi/0000-0002-1596-7543; Nakagawa, Takeshi/0000-0003-0831-6803; Bazarova, Valentina/0000-0001-8680-5544</t>
  </si>
  <si>
    <t>German Research Foundation (DFG) [TA 540/1, TA 540/3]; NERC (UK); Grants-in-Aid for Scientific Research [21101002, 23240116] Funding Source: KAKEN</t>
  </si>
  <si>
    <t>German Research Foundation (DFG)(German Research Foundation (DFG)); NERC (UK)(UK Research &amp; Innovation (UKRI)Natural Environment Research Council (NERC)); Grants-in-Aid for Scientific Research(Ministry of Education, Culture, Sports, Science and Technology, Japan (MEXT)Japan Society for the Promotion of ScienceGrants-in-Aid for Scientific Research (KAKENHI))</t>
  </si>
  <si>
    <t>This study is a contribution to the German Research Foundation (DFG) sponsored projects TA 540/1 and TA 540/3 and to the Lake Suigetsu 2006 Varved Sediment Core project sponsored by NERC (UK). Supplementary data associated with this article can be found in the online version. We thank V. Brovkin (MPI Hamburg) for helpful comments, S. Muller (FU Berlin) for proof-reading the text, and G. Shephard for polishing the English. This research work is dedicated to Prof. Shoji Hone - an honorary member of INQUA and a leading Japanese scientist who made great contribution to the Lake Biwa studies and passed away in August 2008.</t>
  </si>
  <si>
    <t>0012-8252</t>
  </si>
  <si>
    <t>1872-6828</t>
  </si>
  <si>
    <t>EARTH-SCI REV</t>
  </si>
  <si>
    <t>Earth-Sci. Rev.</t>
  </si>
  <si>
    <t>10.1016/j.earscirev.2011.06.002</t>
  </si>
  <si>
    <t>825AK</t>
  </si>
  <si>
    <t>WOS:000295243100005</t>
  </si>
  <si>
    <t>Li, HJ; Zhang, XY; Chen, CX; Zhang, YJ; Gao, ZM; Yu, Y; Chen, XL; Chen, B; Zhang, YZ</t>
  </si>
  <si>
    <t>Li, Hui-Juan; Zhang, Xi-Ying; Chen, Chun-Xiao; Zhang, Yan-Jiao; Gao, Zhao-Ming; Yu, Yong; Chen, Xiu-Lan; Chen, Bo; Zhang, Yu-Zhong</t>
  </si>
  <si>
    <t>Zhongshania antarctica gen. nov., sp nov and Zhongshania guokunii sp nov., gammaproteobacteria respectively isolated from coastal attached (fast) ice and surface seawater of the Antarctic</t>
  </si>
  <si>
    <t>AD-HOC-COMMITTEE; SPECIES DEFINITION; DNA HYBRIDIZATION; MARINE; MEMBER</t>
  </si>
  <si>
    <t>Two Gram-negative, motile, aerobic, catalase- and oxidase-positive, rod-shaped strains, designated ZS5-23(T) and ZS6-22(T), were respectively isolated from Antarctic coastal attached (fast) ice and surface seawater samples. Both strains could grow at 4-35 degrees C (optimum 30 C) and in the absence of NaCl. Analyses of 16S rRNA gene sequences revealed that strains ZS5-23(T) and ZS6-22(T) were closely related to each other (99.0% sequence similarity) and belonged to the class Gammaproteobacteria, with their closest relatives being Spongiibacter and Melitea species (93.1-94.3% sequence similarity). The predominant cellular fatty acids in both strains were C-17 : 1 omega 8c, C-17 : 0 and summed feature 3 (C(16 : 1 omega)7c and/or iso-C-15 : 0 2-0H). Genomic DNA G + C contents of strains ZS5-23(T) and ZS6-22(T) were 51.5 and 51.8 mol%, respectively. The DNA DNA relatedness between strains ZS5-23(T) and ZS6-22(T) was 50.9%. Strains ZS5-23(T) and ZS6-22(T) could be differentiated from each other and from Spongiibacter and Melitea species by differences in a number of phenotypic properties. Based on the data presented, strains ZS5-23(T) and ZS6-22(T) represent two novel species in a new genus in the class Gammaproteobacteria, for which the names Zhongshania antarctica gen. nov., sp. nov. (the type species) and Zhongshania guokunii sp. nov. are proposed. The type strain of Zhongshania antarctica is ZS5-23(T) (=KACC 14066(T) =CCTCC AB 209246(T)) and that of Zhongshania guokunii is ZS6-22(T) (=KACC 14532(T) =CCTCC AB 209247(T)).</t>
  </si>
  <si>
    <t>[Li, Hui-Juan; Zhang, Xi-Ying; Chen, Chun-Xiao; Zhang, Yan-Jiao; Gao, Zhao-Ming; Chen, Xiu-Lan; Zhang, Yu-Zhong] Shandong Univ, State Key Lab Microbial Technol, Marine Biotechnol Res Ctr, Jinan 250100, Peoples R China; [Li, Hui-Juan] Shandong Univ Sci &amp; Technol, Coll Chem &amp; Environm Engn, Qingdao 266510, Peoples R China; [Yu, Yong; Chen, Bo] Polar Res Inst China, SOA Key Lab Polar Sci, Shanghai 200136, Peoples R China</t>
  </si>
  <si>
    <t>Shandong University; Shandong University of Science &amp; Technology; Polar Research Institute of China</t>
  </si>
  <si>
    <t>Zhang, YZ (corresponding author), Shandong Univ, State Key Lab Microbial Technol, Marine Biotechnol Res Ctr, Jinan 250100, Peoples R China.</t>
  </si>
  <si>
    <t>yuyong@pric.gov.cn; zhangyz@sdu.edu.cn</t>
  </si>
  <si>
    <t>Zhang, Xi/HJH-1211-2023; Yan, Miaochen/JLL-5061-2023</t>
  </si>
  <si>
    <t>Hi-Tech Research and Development Program of China [2007AA091903, 2007AA021306]; National Natural Science Foundation of China [40706001, 30500001]; COMRA Program [DYXM-115-02-2-6]; Chinese Arctic and Antarctic Administration (CAA)</t>
  </si>
  <si>
    <t>Hi-Tech Research and Development Program of China(National High Technology Research and Development Program of China); National Natural Science Foundation of China(National Natural Science Foundation of China (NSFC)); COMRA Program; Chinese Arctic and Antarctic Administration (CAA)</t>
  </si>
  <si>
    <t>This study was supported financially by the Hi-Tech Research and Development Program of China (2007AA091903, 2007AA021306), the National Natural Science Foundation of China (40706001, 30500001) and the COMRA Program (DYXM-115-02-2-6). We appreciate the assistance of the Chinese Arctic and Antarctic Administration (CAA), which supported the CHINARE 23 fieldwork of this study.</t>
  </si>
  <si>
    <t>10.1099/ijs.0.026153-0</t>
  </si>
  <si>
    <t>827MJ</t>
  </si>
  <si>
    <t>WOS:000295432300005</t>
  </si>
  <si>
    <t>Yu, Y; Yan, SL; Li, HR; Zhang, XH</t>
  </si>
  <si>
    <t>Yu, Yong; Yan, Shu-Lin; Li, Hui-Rang; Zhang, Xiao-Hua</t>
  </si>
  <si>
    <t>Roseicitreum antarcticum gen. nov., sp nov., an aerobic bacteriochlorophyll a-containing alphaproteobacterium isolated from Antarctic sandy intertidal sediment</t>
  </si>
  <si>
    <t>PURPLE NONSULFUR BACTERIUM; MARINE; IDENTIFICATION</t>
  </si>
  <si>
    <t>A novel Gram-negative, non-motile bacterium, designated strain ZS2-28(T), was isolated from sandy intertidal sediment samples collected from the coastal regions of the Chinese Antarctic Zhongshan Station on the Larsemann Hills, Princess Elizabeth Land, East Antarctica. Strain ZS2-28(T) was obligately heterotrophic, strictly aerobic, psychrotolerant (growth occurred at 0-33 degrees C) and moderately halophilic (optimal growth in 7-8% NaCl). A single major peak at 872-874 nm in the infrared absorption spectrum indicated the presence of bacteriochlorophyll a. Poly-beta-hydroxybutyrate accumulation and slime production were also detected. The predominant cellular fatty acid was C-18:1 omega 7c, with C-10:0 3-OH, C-16:0, C-17:0 cyclo, C-19:0 omega 8c cyclo and summed feature 3 (C-16:1 omega 7c and/or iso-C-15:0 2-OH) present in smaller amounts. The respiratory quinone was Q-10. The main polar lipids were phosphatidylglycerol, phosphatidylethanolamine, phosphatidylcholine and an unidentified aminolipid. The G + C content of the genomic DNA was 63.3 mol%. Phylogenetic analysis based on 16S rRNA gene sequences indicated that strain ZS2-28(T) formed a distinct evolutionary lineage within the clade containing members of the genera Roseibaca, Roseinatronobacter and Rhodobaca of the class Alphaproteobacteria. On the basis of its phylogenetic position, as well as its phenotypic and chemotaxonomic characteristics, strain ZS2-28(T) represents a novel species of a novel genus, for which the name Roseicitreum antarcticum gen. nov., sp. nov. is proposed. The type strain is ZS2-28(T) (=CGMCC 1.8894(T) =LMG 24863(T)).</t>
  </si>
  <si>
    <t>[Yu, Yong; Li, Hui-Rang] Polar Res Inst China, SOA Key Lab Polar Sci, Shanghai 200136, Peoples R China; [Yan, Shu-Lin; Zhang, Xiao-Hua] Ocean Univ China, Dept Marine Biol, Qingdao 266003, Peoples R China</t>
  </si>
  <si>
    <t>Polar Research Institute of China; Ocean University of China</t>
  </si>
  <si>
    <t>Yu, Y (corresponding author), Polar Res Inst China, SOA Key Lab Polar Sci, Shanghai 200136, Peoples R China.</t>
  </si>
  <si>
    <t>yuyong@pric.gov.cn; xhzhang@ouc.edu.cn</t>
  </si>
  <si>
    <t>Chinese Arctic and Antarctic Administration (CAA); National High Technology R&amp;D Program of China [2007AA09Z434]; National Key Technology R&amp;D Program of China [2006BAB18B07]; National Natural Science Foundation of China [30500377, 30500001]; National Infrastructure of Natural Resources for Science and Technology Program of China [2005DKA21209]</t>
  </si>
  <si>
    <t>Chinese Arctic and Antarctic Administration (CAA); National High Technology R&amp;D Program of China(National High Technology Research and Development Program of China); National Key Technology R&amp;D Program of China(National Key Technology R&amp;D Program); National Natural Science Foundation of China(National Natural Science Foundation of China (NSFC)); National Infrastructure of Natural Resources for Science and Technology Program of China</t>
  </si>
  <si>
    <t>We thank the reviewers and editors who contributed their efforts to this paper. We also thank the Chinese Arctic and Antarctic Administration (CAA) who supported the field work of this research. This work was supported by the National High Technology R&amp;D Program of China (grant no. 2007AA09Z434), the National Key Technology R&amp;D Program of China (grant no. 2006BAB18B07), the National Natural Science Foundation of China (grant nos 30500377 and 30500001) and the National Infrastructure of Natural Resources for Science and Technology Program of China (grant no. 2005DKA21209).</t>
  </si>
  <si>
    <t>10.1099/ijs.0.024885-0</t>
  </si>
  <si>
    <t>WOS:000295432300026</t>
  </si>
  <si>
    <t>O'Reilly, J; Brysse, K; Oppenheimer, M; Oreskes, N</t>
  </si>
  <si>
    <t>O'Reilly, Jessica; Brysse, Keynyn; Oppenheimer, Michael; Oreskes, Naomi</t>
  </si>
  <si>
    <t>Characterizing uncertainty in expert assessments: ozone depletion and the West Antarctic ice sheet</t>
  </si>
  <si>
    <t>CLIMATE-CHANGE; HYDROGEN-CHLORIDE; PROPAGATION; PREDICTIONS; INFERENCE; MAKERS</t>
  </si>
  <si>
    <t>Large-scale assessments have become an important vehicle for organizing, interpreting, and presenting scientific information relevant to environmental policy. At the same time, identifying and evaluating scientific uncertainty with respect to the very questions these assessments were designed to address has become more difficult, as ever more complex problems involving greater portions of the Earth system and longer timescales have emerged at the science policy interface. In this article, we explore expert judgments about uncertainty in two recent cases: the assessment of stratospheric ozone depletion, and the assessment of the response of the West Antarctic ice sheet (WAIS) to global warming. These assessments were fairly adept at characterizing one type of uncertainty in models (parameter uncertainty), but faced much greater difficulty in dealing with structural model uncertainty, sometimes entirely avoiding grappling with it. In the absence of viable models, innovative approaches were developed in the ozone case for consolidating information about highly uncertain future outcomes, whereas little such progress has been made thus far in the case of WAIS. Both cases illustrate the problem of expert disagreement, suggesting that future assessments need to develop improved approaches to representing internal conflicts of judgment, in order to produce a more complete evaluation of uncertainty. (C) 2011 John Wiley &amp; Sons, Ltd. WIREs Clim Change 2011 2 728-743 DOI: 10.1002/wcc.135</t>
  </si>
  <si>
    <t>[Brysse, Keynyn; Oppenheimer, Michael] Princeton Univ, Woodrow Wilson Sch, Princeton, NJ 08544 USA; [O'Reilly, Jessica] Coll St Benedict, Dept Sociol, San Diego, CA USA; [O'Reilly, Jessica] St Johns Univ, San Diego, CA USA; [Oppenheimer, Michael] Princeton Univ, Dept Geosci, Princeton, NJ 08544 USA; [Oreskes, Naomi] Univ Calif San Diego, Dept Hist, San Diego, CA 92103 USA; [Oreskes, Naomi] Univ Calif San Diego, Program Sci Studies, San Diego, CA 92103 USA</t>
  </si>
  <si>
    <t>Princeton University; Princeton University; University of California System; University of California San Diego; University of California System; University of California San Diego</t>
  </si>
  <si>
    <t>Brysse, K (corresponding author), Princeton Univ, Woodrow Wilson Sch, Princeton, NJ 08544 USA.</t>
  </si>
  <si>
    <t>kbrysse@princeton.edu</t>
  </si>
  <si>
    <t>Dimmer, Kathleen/G-9797-2012</t>
  </si>
  <si>
    <t>Oppenheimer, Michael/0000-0002-9708-5914</t>
  </si>
  <si>
    <t>Divn Of Social and Economic Sciences; Direct For Social, Behav &amp; Economic Scie [0958378] Funding Source: National Science Foundation</t>
  </si>
  <si>
    <t>Divn Of Social and Economic Sciences; Direct For Social, Behav &amp; Economic Scie(National Science Foundation (NSF)NSF - Directorate for Social, Behavioral &amp; Economic Sciences (SBE))</t>
  </si>
  <si>
    <t>10.1002/wcc.135</t>
  </si>
  <si>
    <t>823DV</t>
  </si>
  <si>
    <t>WOS:000295103400006</t>
  </si>
  <si>
    <t>Cutignano, A; Zhang, W; Avila, C; Cimino, G; Fontana, A</t>
  </si>
  <si>
    <t>Cutignano, Adele; Zhang, Wen; Avila, Conxita; Cimino, Guido; Fontana, Angelo</t>
  </si>
  <si>
    <t>Intrapopulation Variability in the Terpene Metabolism of the Antarctic Opisthobranch Mollusc Austrodoris kerguelenensis</t>
  </si>
  <si>
    <t>EUROPEAN JOURNAL OF ORGANIC CHEMISTRY</t>
  </si>
  <si>
    <t>Natural products; Terpenoids; Biosynthesis; Marine chemical ecology</t>
  </si>
  <si>
    <t>CHEMICAL ECOLOGY; DITERPENOIC ACID; NUDIBRANCH; SKIN; ACYLGLYCEROLS; REVISION</t>
  </si>
  <si>
    <t>Austrodoris kerguelenensis is an Antarctic marine mollusc possessing a wide array of deterrent terpene glycerides. The occurrence of these compounds has been studied in individuals of a sample of 21 specimens from two different geographical sites. NMR spectroscopy and liquid chromatography (LC)-MS/MS analysis revealed seven glycerides (1-7) based on four diterpene skeletons in these animals. Among the new compounds 4-7, the glyceride 7 shows a rare 9-epi-labdane skeleton. The interindividual variability of these compounds indicates several chemotypes in the same population and suggests the presence of terpene synthase variants involved in the biosynthesis of these defensive molecules.</t>
  </si>
  <si>
    <t>[Cutignano, Adele; Cimino, Guido; Fontana, Angelo] CNR, Funct Biosynth Lab, Ist Chim Biomol, I-80078 Naples, Italy; [Zhang, Wen] Second Mil Med Univ, Res Ctr Marine Drugs, Sch Pharm, Shanghai 200433, Peoples R China; [Avila, Conxita] Univ Barcelona, Fac Biol, Dept Anim Biol Invertebrates, E-08028 Barcelona, Catalonia, Spain</t>
  </si>
  <si>
    <t>Consiglio Nazionale delle Ricerche (CNR); Istituto di Chimica Biomolecolare (ICB-CNR); Naval Medical University; University of Barcelona</t>
  </si>
  <si>
    <t>Fontana, A (corresponding author), CNR, Funct Biosynth Lab, Ist Chim Biomol, Via Campi Flegrei 34, I-80078 Naples, Italy.</t>
  </si>
  <si>
    <t>afontana@icb.cnr.it</t>
  </si>
  <si>
    <t>Fontana, Angelo/C-3354-2012; Fontana, Angelo/AAO-2741-2021; Cutignano, Adele/C-3343-2012; Avila, Conxita/B-9466-2008; Zhang, Wen/AGI-3485-2022</t>
  </si>
  <si>
    <t>Fontana, Angelo/0000-0002-5453-461X; Cutignano, Adele/0000-0003-3035-9252; Avila, Conxita/0000-0002-5489-8376;</t>
  </si>
  <si>
    <t>Programma Nazionale di Ricerca in Antartide [2009/A1.06]; Consiglio Nazionale delle Ricerche (CNR) [DPM1.20.02]; Ministry of Science and Education of Spain [REN2003-00545, REN2002-12006E/ANT, CGL2004-03356/ANT]</t>
  </si>
  <si>
    <t>Programma Nazionale di Ricerca in Antartide; Consiglio Nazionale delle Ricerche (CNR)(Consiglio Nazionale delle Ricerche (CNR)); Ministry of Science and Education of Spain(Spanish Government)</t>
  </si>
  <si>
    <t>We wish to thank W. Arntz (AWI) and the R/V Polarstern crew for their help and support during the ANT XXI/2 cruise. Funding was provided by the Programma Nazionale di Ricerca in Antartide (project number 2009/A1.06), Consiglio Nazionale delle Ricerche (CNR) (project number DPM1.20.02) and the Ministry of Science and Education of Spain through the ECOQUIM Projects (REN2003-00545, REN2002-12006E/ANT and CGL2004-03356/ANT).</t>
  </si>
  <si>
    <t>POSTFACH 101161, 69451 WEINHEIM, GERMANY</t>
  </si>
  <si>
    <t>1434-193X</t>
  </si>
  <si>
    <t>1099-0690</t>
  </si>
  <si>
    <t>EUR J ORG CHEM</t>
  </si>
  <si>
    <t>Eur. J. Org. Chem.</t>
  </si>
  <si>
    <t>10.1002/ejoc.201100552</t>
  </si>
  <si>
    <t>Chemistry, Organic</t>
  </si>
  <si>
    <t>Science Citation Index Expanded (SCI-EXPANDED); Index Chemicus (IC)</t>
  </si>
  <si>
    <t>833IZ</t>
  </si>
  <si>
    <t>WOS:000295879200022</t>
  </si>
  <si>
    <t>Downes, SM; Gnanadesikan, A; Griffies, SM; Sarmiento, JL</t>
  </si>
  <si>
    <t>Downes, Stephanie M.; Gnanadesikan, Anand; Griffies, Stephen M.; Sarmiento, Jorge L.</t>
  </si>
  <si>
    <t>Water Mass Exchange in the Southern Ocean in Coupled Climate Models</t>
  </si>
  <si>
    <t>TOTAL GEOSTROPHIC CIRCULATION; AIR-SEA FLUXES; OVERTURNING CIRCULATION; GLOBAL OCEAN; GENERAL-CIRCULATION; FLOW PATTERNS; DEACON CELL; ICE; SIMULATION; TRANSFORMATION</t>
  </si>
  <si>
    <t>The authors estimate water mass transformation rates resulting from surface buoyancy fluxes and interior diapycnal fluxes in the region south of 30 degrees S in the Estimating the Circulation and Climate of the Ocean (ECCO) model-based state estimation and three free-running coupled climate models. The meridional transport of deep and intermediate waters across 30 degrees S agrees well between models and observationally based estimates in the Atlantic Ocean but not in the Indian and Pacific, where the model-based estimates are much smaller. Associated with this, in the models about half the southward-flowing deep water is converted into lighter waters and half is converted to denser bottom waters, whereas the observationally based estimates convert most of the inflowing deep water to bottom waters. In the models, both Antarctic Intermediate Water (AAIW) and Antarctic Bottom Water (AABW) are formed primarily via an interior diapycnal transformation rather than being transformed at the surface via heat or freshwater fluxes. Given the small vertical diffusivity specified in the models in this region, the authors conclude that other processes such as cabbeling and thermobaricity must be playing an important role in water mass transformation. Finally, in the models, the largest contribution of the surface buoyancy fluxes in the Southern Ocean is to convert Upper Circumpolar Deep Water (UCDW) and AAIW into lighter Subantarctic Mode Water (SAMW).</t>
  </si>
  <si>
    <t>[Downes, Stephanie M.; Sarmiento, Jorge L.] Princeton Univ, AOS Program, Princeton, NJ 08544 USA; [Gnanadesikan, Anand; Griffies, Stephen M.] NOAA, Geophys Fluid Dynam Lab, Princeton, NJ USA</t>
  </si>
  <si>
    <t>Princeton University; National Oceanic Atmospheric Admin (NOAA) - USA</t>
  </si>
  <si>
    <t>Downes, SM (corresponding author), Princeton Univ, AOS Program, 300 Forrestal Rd, Princeton, NJ 08544 USA.</t>
  </si>
  <si>
    <t>sdownes@princeton.edu</t>
  </si>
  <si>
    <t>Griffies, Stephen Matthew/N-9144-2019; Gnanadesikan, Anand/A-2397-2008; Downes, Stephanie/A-1424-2012</t>
  </si>
  <si>
    <t>Griffies, Stephen Matthew/0000-0002-3711-236X; Gnanadesikan, Anand/0000-0001-5784-1116</t>
  </si>
  <si>
    <t>National Oceanographic Partnership Program (NOPP); Office of Science (BER), U.S. Department of Energy [DE-FG02-07ER64467]; NOAA [NA07OAR4310096]</t>
  </si>
  <si>
    <t>National Oceanographic Partnership Program (NOPP); Office of Science (BER), U.S. Department of Energy(United States Department of Energy (DOE)); NOAA(National Oceanic Atmospheric Admin (NOAA) - USA)</t>
  </si>
  <si>
    <t>The authors wish to thank Jaime Palter for constructive discussion regarding interpretation of the transformation analysis. We are thankful for the help of Lynne Talley, Rick Lumpkin, and Bernadette Sloyan in interpreting the observationally based estimates. We thank Jaime Palter, Maxim Nikurashin, Allison Smith, and two anonymous reviewers for useful comments on the manuscript. We acknowledge the scientists at GFDL for their modeling efforts. The state estimates were provided by the ECCO Consortium for Estimating the Circulation and Climate of the Ocean funded by the National Oceanographic Partnership Program (NOPP). This research was supported by the Office of Science (BER), U.S. Department of Energy, Grant DE-FG02-07ER64467 and NOAA Grant NA07OAR4310096.</t>
  </si>
  <si>
    <t>10.1175/2011JPO4586.1</t>
  </si>
  <si>
    <t>827QE</t>
  </si>
  <si>
    <t>WOS:000295442200013</t>
  </si>
  <si>
    <t>Wolfe, CL; Cessi, P</t>
  </si>
  <si>
    <t>Wolfe, Christopher L.; Cessi, Paola</t>
  </si>
  <si>
    <t>The Adiabatic Pole-to-Pole Overturning Circulation</t>
  </si>
  <si>
    <t>ANTARCTIC CIRCUMPOLAR CURRENT; GLOBAL OCEAN CIRCULATION; SOUTHERN-OCEAN; THERMOHALINE CIRCULATION; TRACER TRANSPORTS; FLOW; STRATIFICATION; MODELS; DEGLACIATION; CONVECTION</t>
  </si>
  <si>
    <t>The adiabatic pole-to-pole cell of the residual overturning circulation (ROC) is studied in a two-hemisphere, semienclosed basin, with a zonally reentrant channel occupying the southernmost eighth of the domain. Three different models of increasing complexity are used: a simple, analytically tractable zonally averaged model; a coarse-resolution numerical model with parameterized eddies; and an eddy-resolving general circulation model. Two elements are found to be necessary for the existence of an adiabatic pole-to-pole cell: 1) a thermally indirect, wind-driven overturning circulation in the zonally reentrant channel, analogous to the Deacon cell in the Antarctic Circumpolar Current (ACC) region, and 2) a set of outcropping isopycnals shared between the channel and the semienclosed region of the Northern Hemisphere. These points are supported by several computations varying the domain geometry, the surface buoyancy distribution, and the wind forcing. All three models give results that are qualitatively very similar, indicating that the two requirements above are general and robust. The zonally averaged model parameterizes the streamfunction associated with adiabatic buoyancy fluxes as downgradient diffusion of buoyancy thickness, with a diffusivity in the semienclosed region of the Northern Hemisphere much larger than that in the ACC region. In the simple model, the disparity in diffusivities is necessary to obtain a substantial pole-to-pole ROC. The simple model also illustrates how the geometry of the isopycnals is shaped by the interhemispheric ROC, leading to three major thermostads, which the authors identify with the major water masses of the Atlantic: that is, North Atlantic Deep Water, Antarctic Intermediate Water, and Antarctic Bottom Water.</t>
  </si>
  <si>
    <t>[Wolfe, Christopher L.; Cessi, Paola] Univ Calif San Diego, Scripps Inst Oceanog, La Jolla, CA 92093 USA</t>
  </si>
  <si>
    <t>Wolfe, CL (corresponding author), Univ Calif San Diego, Scripps Inst Oceanog, 9500 Gilman Ave,Mail Code 0213, La Jolla, CA 92093 USA.</t>
  </si>
  <si>
    <t>clwolfe@ucsd.edu</t>
  </si>
  <si>
    <t>Pitt Wolfe, Christopher/0000-0002-7062-2070</t>
  </si>
  <si>
    <t>Office of Science (BER), U.S. Department of Energy [DE-FG02-01ER63252, DE-SC0005100]; U.S. Department of Energy (DOE) [DE-SC0005100] Funding Source: U.S. Department of Energy (DOE)</t>
  </si>
  <si>
    <t>Office of Science (BER), U.S. Department of Energy(United States Department of Energy (DOE)); U.S. Department of Energy (DOE)(United States Department of Energy (DOE))</t>
  </si>
  <si>
    <t>Our research is supported by the Office of Science (BER), U.S. Department of Energy, Grants DE-FG02-01ER63252 and DE-SC0005100. Computational resources were provided by the Argonne Leadership Computing Facility through INCITE, the National Energy Research Scientific Computing Center through SciDAC, and the San Diego Supercomputer Center through the CyberInfrastructure Partnership. This manuscript has benefited from the constructive comments of two anonymous reviewers.</t>
  </si>
  <si>
    <t>10.1175/2011JPO4570.1</t>
  </si>
  <si>
    <t>WOS:000295442200015</t>
  </si>
  <si>
    <t>Domainko, WF</t>
  </si>
  <si>
    <t>Domainko, W. F.</t>
  </si>
  <si>
    <t>Finding short GRB remnants in globular clusters: the VHE gamma-ray source in Terzan 5</t>
  </si>
  <si>
    <t>ISM: supernova remnants; globular clusters: individual: Terzan 5; Gamma-rays: ISM</t>
  </si>
  <si>
    <t>COALESCING NEUTRON-STARS; SOLAR-PROTON-EVENTS; BURST REMNANTS; PHYSICAL MODELS; ANTARCTIC ICE; EMISSION; EVOLUTION; BINARIES; GALAXY; DISCOVERY</t>
  </si>
  <si>
    <t>Context. Globular cluster are believed to boost the rate of compact binary mergers that may launch a certain type of cosmological gamma-ray burst (GRB). Therefore globular clusters appear to be potential sites to search for remnants of such GRBs. Aims. The very-high-energy (VHE) gamma-ray source HESS J1747-248 recently discovered in the direction of the Galactic globular cluster Terzan 5 is investigated for being a GRB remnant. Methods. Signatures created by the ultrarelativistic outflow, the subrelativistic ejecta and the ionizing radiation of a short GRB are estimated for an expected age of such a remnant of t greater than or similar to 10(4) years. Results. The kinetic energy of a short GRB could roughly be adequate for powering the VHE source in a hadronic scenario. The age of the proposed remnant estimated from its extension possibly agrees with the occurrence of such events in the Galaxy. Subrelativistic merger ejecta could shock-heat the ambient medium. Conclusions. Further VHE observations can probe for the presence of a break towards lower energies expected for particle acceleration in ultrarelativistic shocks. Deep X-ray observations would have the potential to examine whether there is any thermal plasma heated by the subrelativistic ejecta. The identification of a GRB remnant in our own Galaxy may also help to explore the effect of such a highly energetic event on the Earth.</t>
  </si>
  <si>
    <t>Max Planck Inst Kernphys, D-69029 Heidelberg, Germany</t>
  </si>
  <si>
    <t>Domainko, WF (corresponding author), Max Planck Inst Kernphys, POB 103980, D-69029 Heidelberg, Germany.</t>
  </si>
  <si>
    <t>wilfried.domainko@mpi-hd.mpg.de</t>
  </si>
  <si>
    <t>host institution</t>
  </si>
  <si>
    <t>The author acknowledges support from his host institution. The author wants to thank A.-C. Clapson and M. Ruffert for many enlightening discussions.</t>
  </si>
  <si>
    <t>L5</t>
  </si>
  <si>
    <t>10.1051/0004-6361/201117538</t>
  </si>
  <si>
    <t>823ZN</t>
  </si>
  <si>
    <t>WOS:000295168100152</t>
  </si>
  <si>
    <t>Pinho, GLL; Bianchini, A; Rouleau, C</t>
  </si>
  <si>
    <t>Pinho, Grasiela L. L.; Bianchini, Adalto; Rouleau, Claude</t>
  </si>
  <si>
    <t>Whole-body autoradiography: An efficient technique to study copper accumulation and body distribution in small organisms</t>
  </si>
  <si>
    <t>Accumulation; Autoradiography; Calanus hyperboreus; Copper; Body distribution</t>
  </si>
  <si>
    <t>ANTARCTIC COPEPODS; DAPHNIA-MAGNA; TRACE-METALS; TOXICITY; EXPOSURE; MODEL</t>
  </si>
  <si>
    <t>Copepods have been widely used to evaluate toxicity of metals present in marine environments. However, a technical difficulty is to understand the possible routes of metal uptake and to identify in which tissues or organs metals are being accumulated. Traditional techniques are hard to be employed once each organ has to be analyzed separately. Autoradiography is an alternative technique to circumvent this limitation, since metal distribution in tissues can be visualized and quantified, even in small organisms like copepods. In the present study, accumulation and distribution of Cu-64 in the copepod Calanus hyperboreus was studied using autoradiography. Copepods were exposed for 2 h to copper (2.3 mg L-1: 1.08 MBq Cu-64 mg(-1) Cu) and then allowed to depurate for 2 h in clean seawater. Total Cu-64 was determined by gamma-spectrometry after a metal exposure and a depuration period. Cu-64 distribution was determined based on images generated by autoradiography. Metal accumulation was observed on all external surfaces of the copepods, being accumulated mostly on the ventral region, followed by dorsal, urossoma and internal regions. After depuration, radioactivity levels had a decrease in the sum of external body surface. Our results show that copper uptake by C. hyperboreus is fast and that a non-negligible proportion of the accumulated metal can reach internal tissues, which may lead to detrimental physiological effects. Moreover, whole-body autoradiography was demonstrated to be an efficient technique to study copper accumulation and body distribution in a very small organism such as the copepod C hyperboreus. (C) 2011 Elsevier Ltd. All rights reserved.</t>
  </si>
  <si>
    <t>[Pinho, Grasiela L. L.] Univ Fed Rio Grande, Inst Oceanog, Rio Grande, RS, Brazil; [Bianchini, Adalto] Univ Fed Rio Grande, Inst Ciencias Biol, Rio Grande, RS, Brazil; [Rouleau, Claude] Fisheries &amp; Oceans Canada, Maurice Lamontagne Inst, Mont Joli, PQ G5H 3Z4, Canada</t>
  </si>
  <si>
    <t>Universidade Federal do Rio Grande; Universidade Federal do Rio Grande; Fisheries &amp; Oceans Canada</t>
  </si>
  <si>
    <t>Pinho, GLL (corresponding author), Fundacao Univ Fed Rio Grande, Lab Microcontaminantes Organicos &amp; Ecotoxicol Aqu, Inst Oceanogr, Av Italia Km 8, BR-96201900 Rio Grande, RS, Brazil.</t>
  </si>
  <si>
    <t>grasielapinho@pq.cnpq.br; adaltobianchini@furg.br; claude.rouleau@dfo-mpo.gc.ca</t>
  </si>
  <si>
    <t>Pinho, Grasiela/ABH-4778-2020; ta, Inct/J-8374-2013; Bianchini, Adalto/C-5384-2013</t>
  </si>
  <si>
    <t>Fisheries and Oceans Canada</t>
  </si>
  <si>
    <t>We thanks Sylvie St-Pierre and Yves Clermont for helped with experiments and autoradiograms. The present study was financially supported by the Fisheries and Oceans Canada. G.L.L. Pinho was a graduated fellow from the Brazilian Research Council (CNPq). A. Bianchini is a research fellow from the Brazilian CNPq (# 304430/2009-9).</t>
  </si>
  <si>
    <t>10.1016/j.chemosphere.2011.06.065</t>
  </si>
  <si>
    <t>825UO</t>
  </si>
  <si>
    <t>WOS:000295307800001</t>
  </si>
  <si>
    <t>Merlino, A; Russo Krauss, I; Albino, A; Pica, A; Vergara, A; Masullo, M; De Vendittis, E; Sica, F</t>
  </si>
  <si>
    <t>Merlino, Antonello; Russo Krauss, Irene; Albino, Antonella; Pica, Andrea; Vergara, Alessandro; Masullo, Mariorosario; De Vendittis, Emmanuele; Sica, Filomena</t>
  </si>
  <si>
    <t>Improving Protein Crystal Quality by the Without-Oil Microbatch Method: Crystallization and Preliminary X-ray Diffraction Analysis of Glutathione Synthetase from Pseudoalteromonas haloplanktis</t>
  </si>
  <si>
    <t>INTERNATIONAL JOURNAL OF MOLECULAR SCIENCES</t>
  </si>
  <si>
    <t>crystal quality; without-oil microbatch; glutathione synthetase; psychrophile; X-ray crystallography</t>
  </si>
  <si>
    <t>ESCHERICHIA-COLI-B; SUPEROXIDE-DISMUTASE; RESOLUTION; SEQUENCE</t>
  </si>
  <si>
    <t>Glutathione synthetases catalyze the ATP-dependent synthesis of glutathione from L-gamma-glutamyl-L-cysteine and glycine. Although these enzymes have been sequenced and characterized from a variety of biological sources, their exact catalytic mechanism is not fully understood and nothing is known about their adaptation at extremophilic environments. Glutathione synthetase from the Antarctic eubacterium Pseudoalteromonas haloplanktis (PhGshB) has been expressed, purified and successfully crystallized. An overall improvement of the crystal quality has been obtained by adapting the crystal growth conditions found with vapor diffusion experiments to the without-oil microbatch method. The best crystals of PhGshB diffract to 2.34 angstrom resolution and belong to space group P2(1)2(1)2(1), with unit-cell parameters a = 83.28 angstrom, b = 119.88 angstrom, c = 159.82 angstrom. Refinement of the model, obtained using phases derived from the structure of the same enzyme from Escherichia coli by molecular replacement, is in progress. The structural determination will provide the first structural characterization of a psychrophilic glutathione synthetase reported to date.</t>
  </si>
  <si>
    <t>[Merlino, Antonello; Russo Krauss, Irene; Pica, Andrea; Vergara, Alessandro; Sica, Filomena] Univ Napoli Federico II, Dipartimento Chim Paolo Corradini, I-80126 Naples, Italy; [Merlino, Antonello; Vergara, Alessandro; Sica, Filomena] CNR, Ist Biostrutture &amp; Bioimmagini, I-80134 Naples, Italy; [Albino, Antonella; Masullo, Mariorosario; De Vendittis, Emmanuele] Univ Napoli Federico II, Dipartimento Biochim &amp; Biotecnol Med, I-80131 Naples, Italy; [Masullo, Mariorosario] Univ Napoli Parthenope, Dipartimento Studi Ist &amp; Sistemi Terr, I-80133 Naples, Italy</t>
  </si>
  <si>
    <t>University of Naples Federico II; Consiglio Nazionale delle Ricerche (CNR); Istituto di Biostrutture e Bioimmagini (IBB-CNR); University of Naples Federico II; Parthenope University Naples</t>
  </si>
  <si>
    <t>Sica, F (corresponding author), Univ Napoli Federico II, Dipartimento Chim Paolo Corradini, Complesso Univ Monte St Angelo,Via Cinthia, I-80126 Naples, Italy.</t>
  </si>
  <si>
    <t>antonello.merlino@unina.it; irene.russokrauss@unina.it; antonella.albino@unina.it; andrea.pica@unina.it; alessandro.vergara@unina.it; mario.masullo@uniparthenope.it; devendittis@dbbm.unina.it; filosica@unina.it</t>
  </si>
  <si>
    <t>krauss, irene russo/ABC-9668-2020; Merlino, Antonello/AAI-2114-2020; Vergara, Alessandro/C-4435-2013; Masullo, Mariorosario/H-4884-2016</t>
  </si>
  <si>
    <t>krauss, irene russo/0000-0001-8124-6034; PICA, Andrea/0000-0002-8736-8742; Vergara, Alessandro/0000-0003-4135-0245; Merlino, Antonello/0000-0002-1045-7720; Masullo, Mariorosario/0000-0003-4485-7383</t>
  </si>
  <si>
    <t>MIUR, Rome (Italy)</t>
  </si>
  <si>
    <t>MIUR, Rome (Italy)(Ministry of Education, Universities and Research (MIUR))</t>
  </si>
  <si>
    <t>We acknowledge the staff of the Macromolecular Crystallography Group for valuable assistance during data collection at XRD1 (Elettra, Trieste, Italy), and Giosue Sorrentino and Maurizio Amendola (Institute of Biostructures and Bioimages, Naples, Italy) for technical assistance. This work was supported by a grant from MIUR, PRIN 2009, Rome (Italy).</t>
  </si>
  <si>
    <t>MDPI AG</t>
  </si>
  <si>
    <t>POSTFACH, CH-4005 BASEL, SWITZERLAND</t>
  </si>
  <si>
    <t>1422-0067</t>
  </si>
  <si>
    <t>INT J MOL SCI</t>
  </si>
  <si>
    <t>Int. J. Mol. Sci.</t>
  </si>
  <si>
    <t>10.3390/ijms12096312</t>
  </si>
  <si>
    <t>Biochemistry &amp; Molecular Biology; Chemistry, Multidisciplinary</t>
  </si>
  <si>
    <t>824PE</t>
  </si>
  <si>
    <t>WOS:000295213600059</t>
  </si>
  <si>
    <t>Nuncio, M; Luis, AJ</t>
  </si>
  <si>
    <t>Nuncio, M.; Luis, Alvarinho J.</t>
  </si>
  <si>
    <t>Role of westerlies and thermohaline characteristics on sea-ice extent in the Indian Ocean Sector of Antarctica</t>
  </si>
  <si>
    <t>JOURNAL OF THE GEOLOGICAL SOCIETY OF INDIA</t>
  </si>
  <si>
    <t>Sea ice extent; Indian Ocean sector; Ocean stability; Winds</t>
  </si>
  <si>
    <t>MODEL; ENSO</t>
  </si>
  <si>
    <t>Satellite-derived sea-ice extent in the Indian Ocean Sector during the period November 1978 to December 2006 was studied in relation to the atmospheric forcing and oceanic thermohaline structure. The study revealed that sea-ice extent increased when the ocean exhibited higher stability. Low sea-ice extent was observed during 1985 to 1993, when the zonal winds and latent flux was relatively weak and when the ocean exhibited strong vertical mixing facilitated by low stability thereby, deepening the mixed layer to similar to 250 m. This was reflected in the ocean surface layer temperature, which was relatively warm (-0.3A degrees C). Winds increased during 1996 to 2000, but due to higher oceanic stability mixed layer depth shallowed (&lt; 200 m) leading to reduced vertical mixing of deep warmer layers with the surface water, leading to an enhancement in the sea-ice extent.</t>
  </si>
  <si>
    <t>[Nuncio, M.; Luis, Alvarinho J.] Natl Ctr Antarctic &amp; Ocean Res, Polar Remote Sensing Div, Minist Earth Sci, Headland Sada 403804, Goa, India</t>
  </si>
  <si>
    <t>Ministry of Earth Sciences (MoES) - India; National Centre for Polar and Ocean Research (NCPOR)</t>
  </si>
  <si>
    <t>Nuncio, M (corresponding author), Natl Ctr Antarctic &amp; Ocean Res, Polar Remote Sensing Div, Minist Earth Sci, Headland Sada 403804, Goa, India.</t>
  </si>
  <si>
    <t>nuncio@ncaor.org; alvluis@ncaor.org</t>
  </si>
  <si>
    <t>Luis, Dr Alvarinho J./0000-0002-3425-8048</t>
  </si>
  <si>
    <t>SPRINGER INDIA</t>
  </si>
  <si>
    <t>7TH FLOOR, VIJAYA BUILDING, 17, BARAKHAMBA ROAD, NEW DELHI, 110 001, INDIA</t>
  </si>
  <si>
    <t>0016-7622</t>
  </si>
  <si>
    <t>0974-6889</t>
  </si>
  <si>
    <t>J GEOL SOC INDIA</t>
  </si>
  <si>
    <t>J. Geol. Soc. India</t>
  </si>
  <si>
    <t>10.1007/s12594-011-0092-6</t>
  </si>
  <si>
    <t>823ZI</t>
  </si>
  <si>
    <t>WOS:000295167400002</t>
  </si>
  <si>
    <t>Shrivastava, PK; Asthana, R; Beg, MJ; Ravindra, R</t>
  </si>
  <si>
    <t>Shrivastava, Prakash K.; Asthana, Rajesh; Beg, M. Javed; Ravindra, Rasik</t>
  </si>
  <si>
    <t>Ionic characters of lake water of Bharti promontory, Larsemann Hills, East Antarctica</t>
  </si>
  <si>
    <t>Ionic Characters; Water Chemistry; Precipitation; Larsemann Hills; Bharti Promontory</t>
  </si>
  <si>
    <t>DEGLACIATION; GROUNDWATER; HISTORY; BASIN</t>
  </si>
  <si>
    <t>The Larsemann Hills area represents a unique environmental setting between marine and glacial ecosystems. One of the promontories of this region, named Bharti, depicting similar set up was selected for the study of chemical parameters with special reference to its ionic characters. Water samples from 6 selected lakes of Bharti promontory, Larsemann Hills area were collected during the austral summer of 2004-05 and analysed for major ionic concentration and Total Dissolved Solid (TDS). This study is aimed at understanding the water chemistry of lakes of this island with emphasis on correlation between different ionic concentrations, TDS and its possible causes. The study will provide baseline data that will be useful for planning further studies. Analytical result shows that the water chemistry of these lakes is mainly governed by the lithology, precipitation, drainage and marine environment. Minor contribution of evaporation, has also been observed on the chemistry of one of the lake water. The main source of water for these lakes comes mainly from snow precipitation and its melting. The drainage line mostly goes towards eastern direction for these lakes.</t>
  </si>
  <si>
    <t>[Shrivastava, Prakash K.; Asthana, Rajesh] Geol Survey India, Faridabad 121001, India; [Beg, M. Javed; Ravindra, Rasik] Natl Ctr Antarctic &amp; Ocean Res, Vasco Da Gama 403804, Goa, India</t>
  </si>
  <si>
    <t>Geological Survey India; Ministry of Earth Sciences (MoES) - India; National Centre for Polar and Ocean Research (NCPOR)</t>
  </si>
  <si>
    <t>Shrivastava, PK (corresponding author), Geol Survey India, Faridabad 121001, India.</t>
  </si>
  <si>
    <t>antgsi@gmail.com</t>
  </si>
  <si>
    <t>10.1007/s12594-011-0085-5</t>
  </si>
  <si>
    <t>WOS:000295167400003</t>
  </si>
  <si>
    <t>Zwally, HJ; Giovinetto, MB</t>
  </si>
  <si>
    <t>Zwally, H. Jay; Giovinetto, Mario B.</t>
  </si>
  <si>
    <t>Overview and Assessment of Antarctic Ice-Sheet Mass Balance Estimates: 1992-2009</t>
  </si>
  <si>
    <t>SURVEYS IN GEOPHYSICS</t>
  </si>
  <si>
    <t>Antarctica; Ice sheet; Mass balance; ERS; GRACE; ICESat; Input output fluxes</t>
  </si>
  <si>
    <t>SEA-LEVEL RISE; GREENLAND; SNOWFALL; ACCUMULATION; PENINSULA</t>
  </si>
  <si>
    <t>Mass balance estimates for the Antarctic Ice Sheet (AIS) in the 2007 report by the Intergovernmental Panel on Climate Change and in more recent reports lie between approximately +50 to -250 Gt/year for 1992 to 2009. The 300 Gt/year range is approximately 15% of the annual mass input and 0.8 mm/year Sea Level Equivalent (SLE). Two estimates from radar altimeter measurements of elevation change by European Remote-sensing Satellites (ERS) (+28 and -31 Gt/year) lie in the upper part, whereas estimates from the Input-minus-Output Method (IOM) and the Gravity Recovery and Climate Experiment (GRACE) lie in the lower part (-40 to -246 Gt/year). We compare the various estimates, discuss the methodology used, and critically assess the results. We also modify the IOM estimate using (1) an alternate extrapolation to estimate the discharge from the non-observed 15% of the periphery, and (2) substitution of input from a field data compilation for input from an atmospheric model in 6% of area. The modified IOM estimate reduces the loss from 136 Gt/year to 13 Gt/year. Two ERS-based estimates, the modified IOM, and a GRACE-based estimate for observations within 1992-2005 lie in a narrowed range of +27 to -40 Gt/year, which is about 3% of the annual mass input and only 0.2 mm/year SLE. Our preferred estimate for 1992-2001 is -47 Gt/year for West Antarctica, +16 Gt/year for East Antarctica, and -31 Gt/year overall (+0.1 mm/year SLE), not including part of the Antarctic Peninsula (1.07% of the AIS area). Although recent reports of large and increasing rates of mass loss with time from GRACE-based studies cite agreement with IOM results, our evaluation does not support that conclusion.</t>
  </si>
  <si>
    <t>[Zwally, H. Jay; Giovinetto, Mario B.] NASA, Goddard Space Flight Ctr, Cryospher Sci Branch Code 614 1, SGT Inc, Greenbelt, MD 20771 USA</t>
  </si>
  <si>
    <t>Stinger Ghaffarian Technologies, Inc. (SGT); National Aeronautics &amp; Space Administration (NASA); NASA Goddard Space Flight Center</t>
  </si>
  <si>
    <t>Zwally, HJ (corresponding author), NASA, Goddard Space Flight Ctr, Cryospher Sci Branch Code 614 1, SGT Inc, Greenbelt, MD 20771 USA.</t>
  </si>
  <si>
    <t>zwally@icesat2.gsfc.nasa.gov</t>
  </si>
  <si>
    <t>This research was supported by NASA's ICESat Project Science funding. We thank Scott Luthcke for providing his insights on GRACE methodology, issues, and developments, and two anonymous reviewers for helpful suggestions and corrections.</t>
  </si>
  <si>
    <t>0169-3298</t>
  </si>
  <si>
    <t>1573-0956</t>
  </si>
  <si>
    <t>SURV GEOPHYS</t>
  </si>
  <si>
    <t>Surv. Geophys.</t>
  </si>
  <si>
    <t>4-5</t>
  </si>
  <si>
    <t>10.1007/s10712-011-9123-5</t>
  </si>
  <si>
    <t>826DY</t>
  </si>
  <si>
    <t>WOS:000295332800004</t>
  </si>
  <si>
    <t>Huybrechts, P; Goelzer, H; Janssens, I; Driesschaert, E; Fichefet, T; Goosse, H; Loutre, MF</t>
  </si>
  <si>
    <t>Huybrechts, P.; Goelzer, H.; Janssens, I.; Driesschaert, E.; Fichefet, T.; Goosse, H.; Loutre, M. -F.</t>
  </si>
  <si>
    <t>Response of the Greenland and Antarctic Ice Sheets to Multi-Millennial Greenhouse Warming in the Earth System Model of Intermediate Complexity LOVECLIM</t>
  </si>
  <si>
    <t>Ice sheets; Sea-level change; EMIC; Ice-climate interactions</t>
  </si>
  <si>
    <t>CLIMATE; SENSITIVITY; PARAMETERIZATION; 21ST-CENTURY; VEGETATION</t>
  </si>
  <si>
    <t>Calculations were performed with the Earth system model of intermediate complexity LOVECLIM to study the response of the Greenland and Antarctic ice sheets to sustained multi-millennial greenhouse warming. Use was made of fully dynamic 3D thermomechanical ice-sheet models bidirectionally coupled to an atmosphere and an ocean model. Two 3,000-year experiments were evaluated following forcing scenarios with atmospheric CO2 concentration increased to two and four times the pre-industrial value, and held constant thereafter. In the high concentration scenario the model shows a sustained mean annual warming of up to 10A degrees C in both polar regions. This leads to an almost complete disintegration of the Greenland ice sheet after 3,000 years, almost entirely caused by increased surface melting. Significant volume loss of the Antarctic ice sheet takes many centuries to initiate due to the thermal inertia of the Southern Ocean but is equivalent to more than 4 m of global sea-level rise by the end of simulation period. By that time, surface conditions along the East Antarctic ice sheet margin take on characteristics of the present-day Greenland ice sheet. West Antarctic ice shelves have thinned considerably from subshelf melting and grounding lines have retreated over distances of several 100 km, especially for the Ross ice shelf. In the low concentration scenario, corresponding to a local warming of 3-4A degrees C, polar ice-sheet melting proceeds at a much lower rate. For the first 1,200 years, the Antarctic ice sheet is even slightly larger than today on account of increased accumulation rates but contributes positively to sea-level rise after that. The Greenland ice sheet loses mass at a rate equivalent to 35 cm of global sea level rise during the first 1,000 years increasing to 150 cm during the last 1,000 years. For both scenarios, ice loss from the Antarctic ice sheet is still accelerating after 3,000 years despite a constant greenhouse gas forcing after the first 70-140 years of the simulation.</t>
  </si>
  <si>
    <t>[Huybrechts, P.; Goelzer, H.; Janssens, I.] Vrije Univ Brussel, Dept Geog, Brussels, Belgium; [Driesschaert, E.] Catholic Univ Louvain, Fac Sci, B-1348 Louvain, Belgium; [Fichefet, T.; Goosse, H.; Loutre, M. -F.] Catholic Univ Louvain, Georges Lemaitre Ctr Earth &amp; Climate Res TECLIM, Earth &amp; Life Inst, B-1348 Louvain, Belgium</t>
  </si>
  <si>
    <t>Vrije Universiteit Brussel; Universite Catholique Louvain; Universite Catholique Louvain</t>
  </si>
  <si>
    <t>Huybrechts, P (corresponding author), Vrije Univ Brussel, Dept Geog, Brussels, Belgium.</t>
  </si>
  <si>
    <t>phuybrec@vub.ac.be</t>
  </si>
  <si>
    <t>Goelzer, Heiko/M-2367-2016; Loutre, Marie-France/L-3594-2018; Huybrechts, Philippe/J-5278-2013</t>
  </si>
  <si>
    <t>Goelzer, Heiko/0000-0002-5878-9599; Loutre, Marie-France/0000-0001-6944-4038; Huybrechts, Philippe/0000-0003-1406-0525</t>
  </si>
  <si>
    <t>Belgian Federal Science Policy Office within its Research Program on Science for a Sustainable Development [EV/03/9B, SD/CS/01A]</t>
  </si>
  <si>
    <t>Belgian Federal Science Policy Office within its Research Program on Science for a Sustainable Development(Belgian Federal Science Policy Office)</t>
  </si>
  <si>
    <t>This study was carried out in the framework of successive projects funded by the Belgian Federal Science Policy Office within its Research Program on Science for a Sustainable Development under contracts EV/03/9B (MILMO) and SD/CS/01A (ASTER).</t>
  </si>
  <si>
    <t>10.1007/s10712-011-9131-5</t>
  </si>
  <si>
    <t>WOS:000295332800007</t>
  </si>
  <si>
    <t>Bengtsson, L; Koumoutsaris, S; Hodges, K</t>
  </si>
  <si>
    <t>Bengtsson, Lennart; Koumoutsaris, Symeon; Hodges, Kevin</t>
  </si>
  <si>
    <t>Large-Scale Surface Mass Balance of Ice Sheets from a Comprehensive Atmospheric Model</t>
  </si>
  <si>
    <t>Mass balance; Ice sheets; Greenland; Antarctica; Atmospheric models</t>
  </si>
  <si>
    <t>ANTARCTIC PRECIPITATION; HYDROLOGICAL CYCLE; SEA-LEVEL; GREENLAND; MELT</t>
  </si>
  <si>
    <t>The surface mass balance for Greenland and Antarctica has been calculated using model data from an AMIP-type experiment for the period 1979-2001 using the ECHAM5 spectral transform model at different triangular truncations. There is a significant reduction in the calculated ablation for the highest model resolution, T319 with an equivalent grid distance of ca 40 km. As a consequence the T319 model has a positive surface mass balance for both ice sheets during the period. For Greenland, the models at lower resolution, T106 and T63, on the other hand, have a much stronger ablation leading to a negative surface mass balance. Calculations have also been undertaken for a climate change experiment using the IPCC scenario A1B, with a T213 resolution (corresponding to a grid distance of some 60 km) and comparing two 30-year periods from the end of the twentieth century and the end of the twenty-first century, respectively. For Greenland there is change of 495 km(3)/year, going from a positive to a negative surface mass balance corresponding to a sea level rise of 1.4 mm/year. For Antarctica there is an increase in the positive surface mass balance of 285 km(3)/year corresponding to a sea level fall by 0.8 mm/year. The surface mass balance changes of the two ice sheets lead to a sea level rise of 7 cm at the end of this century compared to end of the twentieth century. Other possible mass losses such as due to changes in the calving of icebergs are not considered. It appears that such changes must increase significantly, and several times more than the surface mass balance changes, if the ice sheets are to make a major contribution to sea level rise this century. The model calculations indicate large inter-annual variations in all relevant parameters making it impossible to identify robust trends from the examined periods at the end of the twentieth century. The calculated inter-annual variations are similar in magnitude to observations. The 30-year trend in SMB at the end of the twenty-first century is significant. The increase in precipitation on the ice sheets follows closely the Clausius-Clapeyron relation and is the main reason for the increase in the surface mass balance of Antarctica. On Greenland precipitation in the form of snow is gradually starting to decrease and cannot compensate for the increase in ablation. Another factor is the proportionally higher temperature increase on Greenland leading to a larger ablation. It follows that a modest increase in temperature will not be sufficient to compensate for the increase in accumulation, but this will change when temperature increases go beyond any critical limit. Calculations show that such a limit for Greenland might well be passed during this century. For Antarctica this will take much longer and probably well into following centuries.</t>
  </si>
  <si>
    <t>[Bengtsson, Lennart; Hodges, Kevin] Univ Reading, Environm Syst Sci Ctr, Reading, Berks, England; [Bengtsson, Lennart; Koumoutsaris, Symeon] Int Space Sci Inst, CH-3012 Bern, Switzerland</t>
  </si>
  <si>
    <t>University of Reading</t>
  </si>
  <si>
    <t>Bengtsson, L (corresponding author), Univ Reading, Environm Syst Sci Ctr, Reading, Berks, England.</t>
  </si>
  <si>
    <t>10.1007/s10712-011-9120-8</t>
  </si>
  <si>
    <t>WOS:000295332800010</t>
  </si>
  <si>
    <t>Nicolas, JP; Bromwich, DH</t>
  </si>
  <si>
    <t>Nicolas, Julien P.; Bromwich, David H.</t>
  </si>
  <si>
    <t>Precipitation Changes in High Southern Latitudes from Global Reanalyses: A Cautionary Tale</t>
  </si>
  <si>
    <t>Surface mass balance; Antarctica; Southern Ocean; Global reanalyses; Spurious trends; Hydrological cycle</t>
  </si>
  <si>
    <t>NUMERICAL WEATHER PREDICTION; ANTARCTIC SNOW ACCUMULATION; SURFACE MASS-BALANCE; TEMPORAL VARIABILITY; DATA ASSIMILATION; SATELLITE DATA; TRENDS; TEMPERATURE; ERA-40; RADIOSONDE</t>
  </si>
  <si>
    <t>The temporal consistency of the moisture fields (precipitation, evaporation and total precipitable water) from five global reanalyses is examined over Antarctica and the Southern Ocean during 1989-2009. This concern is important given that (1) global reanalyses are known to be prone to inhomogeneities and artificial trends caused by changes in the observing system, and (2) the period of study has seen a dramatic increase in the volume of satellite observations available for data assimilation. In particular, the study aims to determine whether the recent reanalyses are suitable for investigating changes in Antarctic surface mass balance. The datasets investigated consist of NCEP-2, JRA-25, ERA-Interim, MERRA and CFSR. Strong evidence of spurious changes is found in NCEP-2, JRA-25, MERRA and CFSR, although the magnitude, spatial patterns and timing of these artifacts vary between the reanalyses. MERRA exhibits a jump in Antarctic precipitation-minus-evaporation (P-E) and in Southern Ocean precipitation in the late 1990s. This jump is related to the introduction of sounding radiances from the Advanced Microwave Sounding Unit (AMSU). The impact of AMSU is also discernible, albeit less pronounced, in CFSR data. It is shown that ERA-Interim likely provides the most realistic depiction of the interannual variability and overall change in Antarctic P-E since 1989. We conclude that the presence of spurious changes is not a solved problem in recent global reanalyses. Caution should continue to be exercised when using these datasets for trend analyses in general, particularly in high southern latitudes.</t>
  </si>
  <si>
    <t>[Nicolas, Julien P.; Bromwich, David H.] Ohio State Univ, Polar Meteorol Grp, Byrd Polar Res Ctr, Columbus, OH 43210 USA; [Nicolas, Julien P.; Bromwich, David H.] Ohio State Univ, Atmospher Sci Program, Dept Geog, Columbus, OH 43210 USA</t>
  </si>
  <si>
    <t>University System of Ohio; Ohio State University; University System of Ohio; Ohio State University</t>
  </si>
  <si>
    <t>Nicolas, JP (corresponding author), Ohio State Univ, Polar Meteorol Grp, Byrd Polar Res Ctr, 1090 Carmack Rd,108 Scott Hall, Columbus, OH 43210 USA.</t>
  </si>
  <si>
    <t>nicolas.7@osu.edu</t>
  </si>
  <si>
    <t>Bromwich, David H/C-9225-2016</t>
  </si>
  <si>
    <t>University Corporation for Atmospheric Research [20020793]; National Science Foundation [ANT-0636523]; Center for Remote Sensing of Ice Sheets</t>
  </si>
  <si>
    <t>University Corporation for Atmospheric Research; National Science Foundation(National Science Foundation (NSF)); Center for Remote Sensing of Ice Sheets</t>
  </si>
  <si>
    <t>This research was supported by Subcontract 20020793 from the University Corporation for Atmospheric Research, Grant ANT-0636523 from the National Science Foundation, and by the Center for Remote Sensing of Ice Sheets. The authors would like to thank Andrew Monaghan and Eric Rignot for preliminary discussions, Michael Bosilovich for information regarding MERRA, Dick Dee for information about ERA-Int, Richard Cullather for kindly providing his submitted manuscript, and Sheng-Hung Wang for his valuable help with the data processing. The authors are also grateful to the two anonymous reviewers whose comments improved the initial manuscript.</t>
  </si>
  <si>
    <t>10.1007/s10712-011-9114-6</t>
  </si>
  <si>
    <t>WOS:000295332800011</t>
  </si>
  <si>
    <t>Gallée, H; Agosta, C; Gential, L; Favier, V; Krinner, G</t>
  </si>
  <si>
    <t>Gallee, Hubert; Agosta, Cecile; Gential, Luc; Favier, Vincent; Krinner, Gerhard</t>
  </si>
  <si>
    <t>A Downscaling Approach Toward High-Resolution Surface Mass Balance Over Antarctica</t>
  </si>
  <si>
    <t>Net accumulation; Downscaling; Antarctica; Law Dome</t>
  </si>
  <si>
    <t>SNOW ACCUMULATION; DIAGNOSTIC MODEL; EAST ANTARCTICA; WILKES LAND; PRECIPITATION; SIMULATION; RAINFALL</t>
  </si>
  <si>
    <t>The Antarctic ice sheet surface mass balance shows high spatial variability over the coastal area. As state-of-the-art climate models usually require coarse resolutions to keep computational costs to a moderate level, they miss some local features that can be captured by field measurements. The downscaling approach adopted here consists of using a cascade of atmospheric models from large scale to meso-gamma scale. A regional climate model (ModSle Atmosph,rique R,gional) forced by meteorological reanalyses provides a diagnostic physically-based rain- and snowfall downscaling model with meteorological fields at the regional scale. Although the parameterizations invoked by the downscaling model are fairly simple, the knowledge of small-scale topography significantly improves the representation of spatial variability of precipitation and therefore that of the surface mass balance. Model evaluation is carried out with the help of shallow firn cores and snow height measurements provided by automatic weather stations. Although downscaling of blowing snow still needs to be implemented in the model, the net accumulation gradient across Law Dome summit is shown to be induced mostly by orographic effects on precipitation.</t>
  </si>
  <si>
    <t>[Gallee, Hubert; Agosta, Cecile; Gential, Luc; Favier, Vincent; Krinner, Gerhard] UJF Grenoble 1, CNRS, LGGE, UMR 5183, St Martin Dheres, France</t>
  </si>
  <si>
    <t>Centre National de la Recherche Scientifique (CNRS); Communaute Universite Grenoble Alpes; Universite Grenoble Alpes (UGA)</t>
  </si>
  <si>
    <t>Gallée, H (corresponding author), UJF Grenoble 1, CNRS, LGGE, UMR 5183, 54 Rue Moliere,BP 96, St Martin Dheres, France.</t>
  </si>
  <si>
    <t>gallee@lgge.obs.ujf-grenoble.fr</t>
  </si>
  <si>
    <t>Krinner, Gerhard/A-6450-2011; Krinner, Gerhard/AAB-8837-2022; Agosta, Cécile/B-9625-2013; Agosta, Cécile/HLQ-5577-2023; Favier, Vincent/T-1936-2017</t>
  </si>
  <si>
    <t>Krinner, Gerhard/0000-0002-2959-5920; Agosta, Cécile/0000-0003-4091-1653; Favier, Vincent/0000-0001-6024-9498</t>
  </si>
  <si>
    <t>European Commission [226375, 30]</t>
  </si>
  <si>
    <t>European Commission(European Union (EU)European Commission Joint Research Centre)</t>
  </si>
  <si>
    <t>We acknowledge the ice2sea project, funded by the European Commission's 7th Framework Programme through grant number 226375, ice2sea manuscript number 30. The MAR simulations were run on CNRS/IDRIS computers.</t>
  </si>
  <si>
    <t>10.1007/s10712-011-9125-3</t>
  </si>
  <si>
    <t>WOS:000295332800013</t>
  </si>
  <si>
    <t>Ohmura, A</t>
  </si>
  <si>
    <t>Ohmura, Atsumu</t>
  </si>
  <si>
    <t>Observed Mass Balance of Mountain Glaciers and Greenland Ice Sheet in the 20th Century and the Present Trends</t>
  </si>
  <si>
    <t>Mass balance; Greenland; Mountain glaciers; Trends</t>
  </si>
  <si>
    <t>HIGH-RESOLUTION; PHYSICAL BASIS; SEA-LEVEL; ACCUMULATION; TEMPERATURE; VARIABILITY</t>
  </si>
  <si>
    <t>Glacier mass balance and secular changes in mountain glaciers and ice caps are evaluated from the annual net balance of 137 glaciers from 17 glacierized regions of the world. Further, the winter and summer balances for 35 glaciers in 11 glacierized regions are analyzed. The global means are calculated by weighting glacier and regional surface areas. The area-weighted global mean net balance for the period 1960-2000 is -270 +/- A 34 mm a(-1) w.e. (water equivalent, in mm per year) or (-149 +/- A 19 km(3) a(-1) w.e.), with a winter balance of 890 +/- A 24 mm a(-1) w.e. (490 +/- A 13 km(3) a(-1) w.e.) and a summer balance of -1,175 +/- A 24 mm a(-1) w.e. (-647 +/- A 13 km(3) a(-1) w.e.). The linear-fitted global net balance is accelerating at a rate of -9 +/- A 2.1 mm a(-2). The main driving force behind this change is the summer balance with an acceleration of -10 +/- A 2.0 mm a(-2). The decadal balance, however, shows significant fluctuations: summer melt reached its peak around 1945, followed by a decrease. The negative trend in the annual net balance is interrupted by a period of stagnation from 1960s to 1980s. Some regions experienced a period of positive net balance during this time, for example, Europe. The balance has become strongly negative since the early 1990s. These decadal fluctuations correspond to periods of global dimming (for smaller melt) and global brightening (for larger melt). The total radiation at the surface changed as a result of an imbalance between steadily increasing greenhouse gases and fluctuating aerosol emissions. The mass balance of the Greenland ice sheet and the surrounding small glaciers, averaged for the period of 1950-2000, is negative at -74 +/- A 10 mm a(-1) w.e. (-128 +/- A 18 km(3) a(-1) w.e.) with an accumulation of 297 +/- A 33 mm a(-1) w.e. (519 +/- A 58 km(3) a(-1) w.e.), melt ablation -169 +/- A 18 mm a(-1) w.e. (-296 +/- A 31 km(3) a(-1) w.e.), calving ablation -181 +/- A 19 mm a(-1) w.e. (-316 +/- A 33 km(3) a(-1) w.e.) and the bottom melt-21 +/- A 2 mm a(-1) w.e. (-35 +/- A 4 km(3) a(-1) w.e.). Almost half (-60 +/- A 3 km(3) a(-1)) of the net mass loss comes from mountain glaciers and ice caps around the ice sheet. At present, it is difficult to detect any statistically significant trends for these components. The total mass balance of the Antarctic ice sheet is considered to be too premature to evaluate. The estimated sea-level contributions in the twentieth Century are 5.7 +/- A 0.5 cm by mountain glaciers and ice caps outside Antarctica, 1.9 +/- A 0.5 cm by the Greenland ice sheet, and 2 cm by ocean thermal expansion. The difference of 7 cm between these components and the estimated value with tide-gage networks (17 cm) must result from other sources such as the mass balance of glaciers of Antarctica, especially small glaciers separated from the ice sheet.</t>
  </si>
  <si>
    <t>Swiss Fed Inst Technol, Inst Atmospher &amp; Climate Sci, CH-8092 Zurich, Switzerland</t>
  </si>
  <si>
    <t>Swiss Federal Institutes of Technology Domain; ETH Zurich</t>
  </si>
  <si>
    <t>Ohmura, A (corresponding author), Swiss Fed Inst Technol, Inst Atmospher &amp; Climate Sci, Univ Str 16, CH-8092 Zurich, Switzerland.</t>
  </si>
  <si>
    <t>ohmura@env.ethz.ch</t>
  </si>
  <si>
    <t>10.1007/s10712-011-9124-4</t>
  </si>
  <si>
    <t>WOS:000295332800015</t>
  </si>
  <si>
    <t>Rummel, R; Horwath, M; Yi, WY; Albertella, A; Bosch, W; Haagmans, R</t>
  </si>
  <si>
    <t>Rummel, Reiner; Horwath, Martin; Yi, Weiyong; Albertella, Alberta; Bosch, Wolfgang; Haagmans, Roger</t>
  </si>
  <si>
    <t>GOCE, Satellite Gravimetry and Antarctic Mass Transports</t>
  </si>
  <si>
    <t>GOCE; Satellite gravimetry; GRACE; Antarctica; Ice mass balance; Mean dynamic topography; Geostrophic flow velocity</t>
  </si>
  <si>
    <t>GLACIAL ISOSTATIC-ADJUSTMENT; EARTHS GRAVITY-FIELD; GRACE MEASUREMENTS; ICE SHEETS; BALANCE; VARIABILITY; CALIBRATION; GREENLAND; ANOMALIES; RECOVERY</t>
  </si>
  <si>
    <t>In 2009 the European Space Agency satellite mission GOCE (Gravity Field and Steady-State Ocean Circulation Explorer) was launched. Its objectives are the precise and detailed determination of the Earth's gravity field and geoid. Its core instrument, a three axis gravitational gradiometer, measures the gravity gradient components V (xx) , V (yy) , V (zz) and V (xz) (second-order derivatives of the gravity potential V) with high precision and V (xy) , V (yz) with low precision, all in the instrument reference frame. The long wavelength gravity field is recovered from the orbit, measured by GPS (Global Positioning System). Characteristic elements of the mission are precise star tracking, a Sun-synchronous and very low (260 km) orbit, angular control by magnetic torquing and an extremely stiff and thermally stable instrument environment. GOCE is complementary to GRACE (Gravity Recovery and Climate Experiment), another satellite gravity mission, launched in 2002. While GRACE is designed to measure temporal gravity variations, albeit with limited spatial resolution, GOCE is aiming at maximum spatial resolution, at the expense of accuracy at large spatial scales. Thus, GOCE will not provide temporal variations but is tailored to the recovery of the fine scales of the stationary field. GRACE is very successful in delivering time series of large-scale mass changes of the Antarctic ice sheet, among other things. Currently, emphasis of respective GRACE analyses is on regional refinement and on changes of temporal trends. One of the challenges is the separation of ice mass changes from glacial isostatic adjustment. Already from a few months of GOCE data, detailed gravity gradients can be recovered. They are presented here for the area of Antarctica. As one application, GOCE gravity gradients are an important addition to the sparse gravity data of Antarctica. They will help studies of the crustal and lithospheric field. A second area of application is ocean circulation. The geoid surface from the gravity field model GOCO01S allows us now to generate rather detailed maps of the mean dynamic ocean topography and of geostrophic flow velocities in the region of the Antarctic Circumpolar Current.</t>
  </si>
  <si>
    <t>[Rummel, Reiner; Horwath, Martin; Yi, Weiyong; Albertella, Alberta] Tech Univ Munich, Inst Astron &amp; Phys Geodesy IAPG, D-80290 Munich, Germany; [Bosch, Wolfgang] Deutsch Geodat Forschungsinst DGFI, D-80539 Munich, Germany; [Haagmans, Roger] ESA ESTEC, NL-2201 AZ Noordwijk, Netherlands</t>
  </si>
  <si>
    <t>Technical University of Munich; European Space Agency</t>
  </si>
  <si>
    <t>Horwath, M (corresponding author), Tech Univ Munich, Inst Astron &amp; Phys Geodesy IAPG, D-80290 Munich, Germany.</t>
  </si>
  <si>
    <t>rummel@bv.tum.de; martin.horwath@bv.tum.de</t>
  </si>
  <si>
    <t>Horwath, Martin/F-9239-2011; Yi, Weiyong/K-1695-2012; Bosch, Wolfgang/B-4219-2012; Rummel, Reiner/G-7800-2011; Horwath, Martin/ABH-4320-2020</t>
  </si>
  <si>
    <t>Horwath, Martin/0000-0001-5797-244X;</t>
  </si>
  <si>
    <t>Institute for Advanced Study of Technische Universitat Munchen; Deutsche Forschungsgemeinschaft (DFG)</t>
  </si>
  <si>
    <t>Institute for Advanced Study of Technische Universitat Munchen; Deutsche Forschungsgemeinschaft (DFG)(German Research Foundation (DFG))</t>
  </si>
  <si>
    <t>The work of the first and third author is supported by the Institute for Advanced Study of Technische Universitat Munchen. Additional support of the work of the third author comes from Institute of Geodesy and Geophysics, Chinese Academy of Sciences. The work of the second author was supported by a research fellowship of the Deutsche Forschungsgemeinschaft (DFG). Roman Savcenko (German Geodetic Research Institute, DGFI) together with the fifth author provided the altimetric mean surface from the multi-mission analysis.</t>
  </si>
  <si>
    <t>10.1007/s10712-011-9115-5</t>
  </si>
  <si>
    <t>WOS:000295332800020</t>
  </si>
  <si>
    <t>Louarn, E; Morin, P</t>
  </si>
  <si>
    <t>Louarn, Essyllt; Morin, Pascal</t>
  </si>
  <si>
    <t>Antarctic Intermediate Water influence on Mediterranean Sea Water outflow</t>
  </si>
  <si>
    <t>Mediterranean Sea Water; Formation; Gulf of Cadiz; Antarctic Intermediate Waters</t>
  </si>
  <si>
    <t>OPTIMUM MULTIPARAMETER ANALYSIS; NORTH-ATLANTIC; CANARY-ISLANDS; MASSES; VARIABILITY; CIRCULATION; HYDROGRAPHY; CARBON; GULF</t>
  </si>
  <si>
    <t>This study of the mixing of Mediterranean Sea Water (MW) with the surrounding waters was made possible by the Semane 2002 cruise (Sortie des Eaux Mediterraneennes dans l'Atlantique Nord-Est) that took place in the Gulf of Cadiz in July 2002. Potential temperature, salinity, oxygen, nutrients and CFC data are used to describe the water masses present in the Gulf. In the southern part of the basin, a water mass characterised by low oxygen, high nutrient and low CFC concentrations occurs along the African continental slope. This water has been identified as the modified Antarctic Intermediate Water (AAIW). It has been previously observed south of this section, at the latitude of the Canary Islands, as a northward flow between the African shelf and the islands. The modified AAIW found in the Gulf of Cadiz is situated at a density of 27.5 kg m(-3). Above, at 27.3 kg m(-3), the lower limb of the North Atlantic Central Water is observed as a salinity minimum. The modified AAIW enters the Gulf of Cadiz along the south-western part of the continental shelf. It flows cyclonically and exits north-westward. In the northern part of the gulf, due to the presence of the Mediterranean Undercurrent (MU), the AAIW flows off the coast. An optimum multiparameter analysis was conducted to evaluate the influence of the AAIW on the MW northwest of the basin. We show that the AAIW is present in the lower core of the MU at a proportion of 12.9 +/- 8.2% and is absent in the upper core. Crown Copyright (C) 2011 Published by Elsevier Ltd. All rights reserved.</t>
  </si>
  <si>
    <t>[Louarn, Essyllt; Morin, Pascal] CNRS, Lab Chim Marine, UMR, Roscoff, France; [Louarn, Essyllt; Morin, Pascal] UPMC 7144, Stn Biol Roscoff, Roscoff, France; [Louarn, Essyllt] Univ Paris 11, Chim Phys Lab, UMR 8000, F-91405 Orsay, France</t>
  </si>
  <si>
    <t>Centre National de la Recherche Scientifique (CNRS); Sorbonne Universite; Universite Paris Saclay; Centre National de la Recherche Scientifique (CNRS); CNRS - Institute of Chemistry (INC)</t>
  </si>
  <si>
    <t>Morin, P (corresponding author), CNRS, Lab Chim Marine, UMR, Roscoff, France.</t>
  </si>
  <si>
    <t>pmorin@sb-roscoff.fr</t>
  </si>
  <si>
    <t>Morin, Pascal/AHI-3070-2022</t>
  </si>
  <si>
    <t>Morin, Pascal/0000-0003-2766-1821</t>
  </si>
  <si>
    <t>10.1016/j.dsr.2011.05.009</t>
  </si>
  <si>
    <t>824EV</t>
  </si>
  <si>
    <t>WOS:000295186100003</t>
  </si>
  <si>
    <t>Alderkamp, AC; Garcon, V; de Baar, HJW; Arrigo, KR</t>
  </si>
  <si>
    <t>Alderkamp, Anne-Carlijn; Garcon, Veronique; de Baar, Hein J. W.; Arrigo, Kevin R.</t>
  </si>
  <si>
    <t>Short-term photoacclimation effects on photoinhibition of phytoplankton in the Drake Passage (Southern Ocean)</t>
  </si>
  <si>
    <t>Phytoplankton; Photoacclimation; Antarctic; Xanthophyll; Pigments; Upper mixed layer</t>
  </si>
  <si>
    <t>NATURAL ULTRAVIOLET-RADIATION; PHOTOSYSTEM-II EFFICIENCY; UV-B RADIATION; CHLOROPHYLL FLUORESCENCE; PHAEOCYSTIS-ANTARCTICA; IRON LIMITATION; DIADINOXANTHIN CYCLE; MARINE-PHYTOPLANKTON; EXCESSIVE IRRADIANCE; SPECTRAL IRRADIANCE</t>
  </si>
  <si>
    <t>We assessed whether short-term photoacclimation responses of natural phytoplankton populations in the Drake Passage (Southern Ocean) were affecting protection from photodamage as cells are mixed up to the surface from depth. To this end, we measured phytoplankton fluorescence characteristics and their ratio of xanthophyll cycle pigment to photosynthetic pigments within the upper mixed layer (UML) and in short-term deck incubation experiments. Phytoplankton within the UML photoacclimated by increasing their ratio of xanthophyll cycle (diadinoxanthin [dd] and diatoxanthin [dt]) pigments to chlorophyll a. The photoacclimation processes observed within the UML did, however, not influence the protection of phytoplankton from photodamage during short-term near-surface irradiance experiments. Exposure to near-surface irradiance resulted in photodamage in all experiments, regardless of the phytoplankton community composition and irradiance levels. Incubating phytoplankton for six hours at either 2% or 50% of surface irradiance prior to exposure to near-surface irradiance did not alter the photodamage characteristics. This suggests that short-term photoacclimation processes within the UML are not adequate to protect phytoplankton from photodamage when cells are mixed up to the surface from depth, and that repair of damaged photosystems is crucial for maintaining photosynthesis under fluctuating irradiance conditions, even at very low mean irradiance levels. Likely, continuously operating photoacclimation processes offset to some extent the negative effects of photodamage on photosynthetic performance, albeit with increased metabolic costs. (C) 2011 Elsevier Ltd. All rights reserved.</t>
  </si>
  <si>
    <t>[Alderkamp, Anne-Carlijn; Arrigo, Kevin R.] Stanford Univ, Dept Environm Earth Syst Sci, Stanford, CA 94305 USA; [Alderkamp, Anne-Carlijn; de Baar, Hein J. W.] Univ Groningen, Dept Ocean Ecosyst, Energy &amp; Sustainabil Res Inst Groningen, NL-9747 AG Groningen, Netherlands; [Garcon, Veronique] Lab Etud Geophys &amp; Oceanog Spatiales, FR-31055 Toulouse, France; [de Baar, Hein J. W.] Royal Netherlands Inst Sea Res, NL-1790 AB Den Burg, Texel, Netherlands</t>
  </si>
  <si>
    <t>Stanford University; University of Groningen; Universite de Toulouse; Universite Toulouse III - Paul Sabatier; Centre National de la Recherche Scientifique (CNRS); Institut de Recherche pour le Developpement (IRD); Laboratoire d'Etudes en Geophysique et oceanographie spatiales; Utrecht University; Royal Netherlands Institute for Sea Research (NIOZ)</t>
  </si>
  <si>
    <t>Alderkamp, AC (corresponding author), Stanford Univ, Dept Environm Earth Syst Sci, Stanford, CA 94305 USA.</t>
  </si>
  <si>
    <t>Alderkamp@Stanford.edu</t>
  </si>
  <si>
    <t>Arrigo, Kevin/0000-0002-7364-876X</t>
  </si>
  <si>
    <t>NSF [ANT-0732535]</t>
  </si>
  <si>
    <t>We thank the captain and crew of 'R.V. Polarstern' for their support and cruise leader Eberhard Fahrbach, all ANT XXIV/3 cruise participants for their help and sharing their data. We thank Josepine Ras and Ronald Visser for HPLC analysis, and Phil Boyd and Matt Long for stimulating discussions. This research was sponsored by the NSF DynaLiFe program (Grant ANT-0732535) in the framework of the US-IPY program.</t>
  </si>
  <si>
    <t>10.1016/j.dsr.2011.07.001</t>
  </si>
  <si>
    <t>WOS:000295186100004</t>
  </si>
  <si>
    <t>Gasparin, F; Ganachaud, A; Maes, C</t>
  </si>
  <si>
    <t>Gasparin, Florent; Ganachaud, Alexandre; Maes, Christophe</t>
  </si>
  <si>
    <t>A western boundary current east of New Caledonia: Observed characteristics</t>
  </si>
  <si>
    <t>SPICE; New Caledonia; East Caledonian Current; Island rule</t>
  </si>
  <si>
    <t>SOUTH EQUATORIAL CURRENT; PACIFIC-OCEAN; ZONAL JETS; TEMPERATURE VARIABILITY; CIRCULATION; WATER; SALINITY; VELOCITY; NORTH; HEAT</t>
  </si>
  <si>
    <t>Waters from the South Equatorial Current (SEC), the northern branch of the South Pacific subtropical gyre, are a major supply of heat to the equatorial warm pool, and have an important contribution to climate variability and ENSO which motivated the Southwest Pacific Ocean and Climate Experiment (SPICE, CLIVAR/WCRP). Initially a broad westward current extending from the equator to 30 S, the SEC splits upon arriving at the major islands and archipelagoes of Fiji (18 S, 180 E), Vanuatu (16 S, 168 E), and New Caledonia (22 S, 165 E), resulting in a complex system of western boundary currents and zonal jets that feed the Coral and Solomon Seas. We focus here on the formation of one specific jet feeding the Coral Sea, the North Caledonian Jet (NCJ). Using a combination of recent oceanographic cruises, we describe the ocean circulation to the northeast of New Caledonia, where the SEC forms a western boundary current that ultimately becomes the NCJ. This current, which we document for the first time and propose to refer to as the East Caledonian Current (ECC), has its core located 10-100 km off the east coast of New Caledonia, and extends vertically to at least 1000 m depth. Water mass properties show continuous westward transports through the ECC, from the SEC to the NCJ in both the South Pacific Tropical Waters in the thermocline and Antarctic Intermediate Waters near 700 m depth. The ECC extends about 100 km horizontally; its average 0-1000 m transport was estimated at 14.5 +/- 3 Sv off the north tip of the New Caledonian reef, with a maximum of 20 Sv in May 2010. South of that the upstream branch of the ECC east of the Loyalty is close to 8 Sv suggesting an important additional contribution from central Pacific waters carried by the SEC at 16 degrees S and diverted to our region through the western boundary current system east of Vanuatu. (C) 2011 Elsevier Ltd. All rights reserved.</t>
  </si>
  <si>
    <t>[Gasparin, Florent; Ganachaud, Alexandre; Maes, Christophe] LEGOS, UPS OMP PCA, F-31400 Toulouse, France; [Ganachaud, Alexandre; Maes, Christophe] LEGOS, IRD, UMR5566, Noumea, New Caledonia</t>
  </si>
  <si>
    <t>Universite de Toulouse; Universite Toulouse III - Paul Sabatier; Centre National de la Recherche Scientifique (CNRS); Institut de Recherche pour le Developpement (IRD); Laboratoire d'Etudes en Geophysique et oceanographie spatiales; Institut de Recherche pour le Developpement (IRD)</t>
  </si>
  <si>
    <t>Gasparin, F (corresponding author), LEGOS, UPS OMP PCA, 14 Av Edouard Belin, F-31400 Toulouse, France.</t>
  </si>
  <si>
    <t>florent.gasparin@legos.obs-mip.fr</t>
  </si>
  <si>
    <t>maes, christophe/L-4049-2015; Ganachaud, Alexandre/B-7556-2013; Gasparin, Florent/AAH-2130-2020</t>
  </si>
  <si>
    <t>Ganachaud, Alexandre/0000-0002-9709-1396; Gasparin, Florent/0000-0002-1364-1507</t>
  </si>
  <si>
    <t>IRD; LEGOS; Institut de Recherche pour le Developpement; French Ministry for Education and Research (MESR); INSU/LEFE-IDAO (Solwara; P.I.S. Cravatte)</t>
  </si>
  <si>
    <t>IRD; LEGOS(Centre National D'etudes SpatialesCentre National de la Recherche Scientifique (CNRS)); Institut de Recherche pour le Developpement; French Ministry for Education and Research (MESR)(Ministry of Research, France); INSU/LEFE-IDAO (Solwara; P.I.S. Cravatte)</t>
  </si>
  <si>
    <t>Most of the cruise data were collected from RV Ails, and this paper is dedicated to Christian Fitialeata, sailor aboard RV Ails, who tragically died during a cruise in 2010. We are particularly grateful to the R/V Alis crew, the US-IMAGO (IRD) staff and E. Kestenare (IRD) who made these cruises possible and ensured high quality data. The P21-REVISIT cruise was carried out by JAMSTEC and we wish to thank A. Murata, S. Kouketsu and H. Uchida for releasing their data early for the purpose of our study. L. Gourdeau, F. Mann, G. Eldin, and S. Cravatte provided insightful comments; F. Mann and G. Eldin processed the LADCP from the Alis cruise that we used; and J. Lefevre provided crucial help with programming and analyses at various stages of this work. We would also like to thank three anonymous reviewers for their thoughtful comments. The FRONTALIS 2-3, SECALIS 1-2 and SECARGO cruises were supported by IRD and LEGOS, for the later three as exploratory experiments that contributed to the development of coordinated research in the southwest Pacific Ocean (SPICE, Ganachaud et al., 2008a). Argo data were collected and made freely available by the International Argo Project and the national initiatives that contribute to it (www.argo.net; www.coriolis.eu.org). This study was co-funded by Institut de Recherche pour le Developpement, INSU/LEFE-IDAO (Solwara; P.I.S. Cravatte), and the French Ministry for Education and Research (MESR). It is a contribution to the CLIVAR/SPICE international programme.</t>
  </si>
  <si>
    <t>10.1016/j.dsr.2011.05.007</t>
  </si>
  <si>
    <t>WOS:000295186100005</t>
  </si>
  <si>
    <t>Kaplan, MR; Strelin, JA; Schaefer, JM; Denton, GH; Finkel, RC; Schwartz, R; Putnam, AE; Vandergoes, MJ; Goehring, BM; Travis, SG</t>
  </si>
  <si>
    <t>Kaplan, Michael R.; Strelin, Jorge A.; Schaefer, Joerg M.; Denton, George H.; Finkel, Robert C.; Schwartz, Roseanne; Putnam, Aaron E.; Vandergoes, Marcus J.; Goehring, Brent M.; Travis, Scott G.</t>
  </si>
  <si>
    <t>In-situ cosmogenic 10Be production rate at Lago Argentino, Patagonia: Implications for late-glacial climate chronology</t>
  </si>
  <si>
    <t>Be-10; production rate; cosmogenic nuclide; exposure dating; South America; late glacial</t>
  </si>
  <si>
    <t>PRODUCTION-RATE CALIBRATION; SOUTHERNMOST SOUTH-AMERICA; NUCLIDE PRODUCTION-RATES; ANTARCTIC COLD REVERSAL; FRANZ-JOSEF-GLACIER; NEW-ZEALAND; AGE; ADVANCE; FLUCTUATIONS; HISTORY</t>
  </si>
  <si>
    <t>When calculated with the commonly accepted average Northern Hemisphere production rate, Be-10 dates of surface boulders on moraines in the Lago Argentino area of Patagonia are younger than minimum-limiting C-14 ages for the same landforms. This disagreement could result from the lack of a regional Be-10 production-rate calibration site. To assess this possibility, we here present high-precision measurements of Be-10 in samples collected from surface boulders on the Herminita and Puerto Bandera moraine complexes deposited alongside Lago Argentino on the eastern flank of the Andes at 50 degrees S in Patagonia. Together with maximum- and minimum-limiting C-14 ages for the two moraine systems, these measurements confine the local Be-10 production rate to between 3.60 and 3.82 atoms/g/yr (midpoint = 3.71 +/- 0.11 atoms/g/yr) when using a time-dependent scaling method that incorporates a high-resolution geomagnetic model. This range includes upper and lower error bounds of acceptable production rates derived from both the Herminita and the Puerto Bandera sites. The upper limit of this range is more than 12% below the average Northern Hemisphere production rate, as calculated using the same scaling method, given in Balco et al. [Quat. Geochron 3 (2008) 174-195]. Other scaling models yield production rates with similarly large offsets from the Balco et al. (2008) rate. On the other hand, the range of acceptable production rate values determined from Patagonia overlaps at 1 sigma with, and encompasses, the production rate recently derived in Macaulay valley in the Southern Alps of New Zealand [A. Putnam et al., Quat. Geochron. 5 (2010a) 392-4091. Within uncertainties (i.e., overlap at 1 sigma) this Patagonian production rate range also agrees with a recently determined production rate from low-elevation sites in northeastern North America and northern Norway. When the Macaulay production rate is used to calculate Patagonian exposure dates, C-14 and Be-10 chronologies are mutually compatible for late-glacial moraine systems. Both chronologies then indicate that outlet glaciers of the Southern Patagonian Icefield achieved a late-glacial maximum in the western reaches of Lago Argentino at 13,000 cal. yr BP at the end of the Antarctic Cold Reversal (14,500-12,900 cal. yr BP). Outlet glaciers subsequently receded to near present-day ice margins during the Younger Dryas stadial (12,900-11,700 cal. yr BP). This general retreat was interrupted about 12,200 cal. yr BP when Upsala Glacier constructed an interlobate complex of moraine ridges on Herminita Peninsula. Mountain glaciers in Patagonia and New Zealand, on both sides of the South Pacific Ocean, exhibited a coherent pattern of late-glacial ice-margin fluctuations. (C) 2011 Elsevier B.V. All rights reserved.</t>
  </si>
  <si>
    <t>[Kaplan, Michael R.; Schaefer, Joerg M.; Schwartz, Roseanne; Goehring, Brent M.] Lamont Doherty Earth Observ, Palisades, NY 10964 USA; [Strelin, Jorge A.] Univ Nacl Cordoba, Inst Antartico Argentino, CICTERRA, RA-5000 Cordoba, Argentina; [Schaefer, Joerg M.] Columbia Univ, Dept Earth &amp; Environm Sci, New York, NY 10027 USA; [Denton, George H.; Putnam, Aaron E.; Vandergoes, Marcus J.] Univ Maine, Dept Earth Sci, Orono, ME 04469 USA; [Denton, George H.; Putnam, Aaron E.; Vandergoes, Marcus J.] Univ Maine, Climate Change Inst, Orono, ME 04469 USA; [Finkel, Robert C.] Univ Calif Berkeley, Dept Earth &amp; Planetary Sci, Berkeley, CA 95064 USA; [Finkel, Robert C.] CEREGE, F-13545 Aix En Provence 4, France; [Vandergoes, Marcus J.] GNS Sci, Lower Hutt 5040, New Zealand; [Travis, Scott G.] GCI, Soldiers Grove, WI 54655 USA</t>
  </si>
  <si>
    <t>Columbia University; Consejo Nacional de Investigaciones Cientificas y Tecnicas (CONICET); National University of Cordoba; Instituto Antartico Argentino; Columbia University; University of Maine System; University of Maine Orono; University of Maine System; University of Maine Orono; University of California System; University of California Berkeley; Aix-Marseille Universite; GNS Science - New Zealand</t>
  </si>
  <si>
    <t>Kaplan, MR (corresponding author), Lamont Doherty Earth Observ, Palisades, NY 10964 USA.</t>
  </si>
  <si>
    <t>mkaplan@Ideo.columbia.edu</t>
  </si>
  <si>
    <t>Kaplan, Michael R/D-4720-2011</t>
  </si>
  <si>
    <t>Goehring, Brent/0000-0001-6405-5156; Putnam, Aaron/0000-0002-5358-1473</t>
  </si>
  <si>
    <t>Gary C. Corner Science and Education Foundation; National Oceanographic and Atmospheric Administration; Climate Center of LDEO and GISS; National Science Foundation [EAR-0902363]; American Recovery and Reinvestment Act; [EAR-0936077]; Directorate For Geosciences [0902739] Funding Source: National Science Foundation; Division Of Earth Sciences [0902739] Funding Source: National Science Foundation; Division Of Earth Sciences; Directorate For Geosciences [0902363] Funding Source: National Science Foundation</t>
  </si>
  <si>
    <t>Gary C. Corner Science and Education Foundation; National Oceanographic and Atmospheric Administration(National Oceanic Atmospheric Admin (NOAA) - USA); Climate Center of LDEO and GISS; National Science Foundation(National Science Foundation (NSF)); American Recovery and Reinvestment Act; ; Directorate For Geosciences(National Science Foundation (NSF)NSF - Directorate for Geosciences (GEO)); Division Of Earth Sciences(National Science Foundation (NSF)NSF - Directorate for Geosciences (GEO)); Division Of Earth Sciences; Directorate For Geosciences(National Science Foundation (NSF)NSF - Directorate for Geosciences (GEO))</t>
  </si>
  <si>
    <t>We are grateful to the Corner family and to W.S. Broecker for their support, and also to the Institut Antarctic Argentino (IAA) and Centro de Investigaciones en Ciencias de la Tierra (CICTERRA), and Universidad Nacional de Cordoba (UNC) for supporting the research of JS in Patagonia. We also thank the following students from the UNC and the University of Maine for field assistance: Lucas Oliva, Nadia Curetti, Juan Pablo Lovecchio, Fernando Calabozo, Mateo Martini, Juan Presta, Adrian Heredia, Samuel Kelley, and Juan Luis Garcia. For logistical support and good cheer, we thank Alejandro Tur, the skipper of Olimpo. We also thank the Estancia Cristina (Daniel Moreno), Hielo &amp; Aventura (Jose Pera), and the Administracion de Parques Nacionales (Guardaparque Fernando Spikermann). We thank Jeremy Frisch, Arturo Llano and Jean Hanley for laboratory assistance. Patrick Applegate and Joe Licciardi provided thoughtful and helpful reviews. This research is supported by the Gary C. Corner Science and Education Foundation, the National Oceanographic and Atmospheric Administration (specifically support to G.H.D. and M.V. for field work and 14C dating), The Climate Center of LDEO and GISS, and National Science Foundation awards EAR-0902363 funded through the American Recovery and Reinvestment Act of 2009 (ARRA) and EAR-0936077. This work is LDEO contribution # 7478.</t>
  </si>
  <si>
    <t>SEP 1</t>
  </si>
  <si>
    <t>10.1016/j.epsl.2011.06.018</t>
  </si>
  <si>
    <t>823UG</t>
  </si>
  <si>
    <t>WOS:000295151400003</t>
  </si>
  <si>
    <t>Amsler, CD; McClintock, JB; Baker, JB</t>
  </si>
  <si>
    <t>Amsler, C. D.; McClintock, J. B.; Baker, J. B.</t>
  </si>
  <si>
    <t>AMPHIPODS EXCLUDE FILAMENTOUS ALGAE FROM THE WESTERN ANTARCTIC PENINSULA BENTHOS: EXPERIMENTAL EVIDENCE</t>
  </si>
  <si>
    <t>[Amsler, C. D.; McClintock, J. B.] Univ Alabama, Birmingham, AL USA; [Baker, J. B.] Univ S Florida, Tampa, FL 33620 USA</t>
  </si>
  <si>
    <t>amsler@uab.edu; mcclinto@uab.edu; bjbaker@usf.edu</t>
  </si>
  <si>
    <t>S51</t>
  </si>
  <si>
    <t>822ZO</t>
  </si>
  <si>
    <t>WOS:000295090200155</t>
  </si>
  <si>
    <t>Bucolo, P; Amsler, CD; McClintock, JB; Baker, BJ</t>
  </si>
  <si>
    <t>Bucolo, P.; Amsler, C. D.; McClintock, J. B.; Baker, B. J.</t>
  </si>
  <si>
    <t>EFFECTS OF MACROALGAL CHEMICAL EXTRACTS ON SPORE BEHAVIOR OF THE ANTARCTIC EPIPHYTE ELACHISTA ANTARCTICA</t>
  </si>
  <si>
    <t>[Bucolo, P.; Amsler, C. D.; McClintock, J. B.] Univ Alabama, Birmingham, AL USA; [Baker, B. J.] Univ S Florida, Tampa, FL 33620 USA</t>
  </si>
  <si>
    <t>apbucolo@gmail.com; amsler@uab.edu; mcclinto@uab.edu</t>
  </si>
  <si>
    <t>S9</t>
  </si>
  <si>
    <t>WOS:000295090200030</t>
  </si>
  <si>
    <t>McDowell, RE; Amsler, CA; McClintock, JB; Baker, BJ</t>
  </si>
  <si>
    <t>McDowell, R. E.; Amsler, C. A.; McClintock, J. B.; Baker, B. J.</t>
  </si>
  <si>
    <t>THE ROLE OF REACTIVE OXYGEN SPECIES IN ANTI-HERBIVORE DEFENSE ALONG THE WESTERN ANTARCTIC PENINSULA</t>
  </si>
  <si>
    <t>[McDowell, R. E.; Amsler, C. A.; McClintock, J. B.] Univ Alabama, Birmingham, AL USA; [Baker, B. J.] Univ S Florida, Tampa, FL 33620 USA</t>
  </si>
  <si>
    <t>mcdowellruth@gmail.com</t>
  </si>
  <si>
    <t>S11</t>
  </si>
  <si>
    <t>WOS:000295090200035</t>
  </si>
  <si>
    <t>Schoenrock, KM; Amsler, CD; McClintock, JB; Baker, BJ</t>
  </si>
  <si>
    <t>Schoenrock, K. M.; Amsler, C. D.; McClintock, J. B.; Baker, B. J.</t>
  </si>
  <si>
    <t>THE IMPACT OF ENDOPHYTE PRESENCE ON GROWTH AND SURVIVAL IN ANTARCTIC MACROALGAL HOSTS (RHODOPHYTA)</t>
  </si>
  <si>
    <t>[Schoenrock, K. M.; Amsler, C. D.; McClintock, J. B.] Univ Alabama, Birmingham, AL USA; [Baker, B. J.] Univ S Florida, Tampa, FL 33620 USA</t>
  </si>
  <si>
    <t>ksrock@uab.edu; amsler@uab.edu; mcclinto@uab.edu; bjbaker@usf.edu</t>
  </si>
  <si>
    <t>Schoenrock, Kathryn/B-9082-2018; Baker, Bill/N-4312-2019</t>
  </si>
  <si>
    <t>S15</t>
  </si>
  <si>
    <t>WOS:000295090200047</t>
  </si>
  <si>
    <t>Sellers, CG; Sanders, RW</t>
  </si>
  <si>
    <t>Sellers, C. G.; Sanders, R. W.</t>
  </si>
  <si>
    <t>SELECTIVE FEEDING AND FOREIGN PLASTID RETENTION IN AN ANTARCTIC DINOFLAGELLATE</t>
  </si>
  <si>
    <t>[Sellers, C. G.; Sanders, R. W.] Temple Univ, Philadelphia, PA 19122 USA</t>
  </si>
  <si>
    <t>Pennsylvania Commonwealth System of Higher Education (PCSHE); Temple University</t>
  </si>
  <si>
    <t>cgsellers@temple.edu; robert.sanders@temple.edu</t>
  </si>
  <si>
    <t>Sanders, Robert W./C-1116-2011</t>
  </si>
  <si>
    <t>Sanders, Robert W./0000-0001-7264-1059</t>
  </si>
  <si>
    <t>S48</t>
  </si>
  <si>
    <t>WOS:000295090200144</t>
  </si>
  <si>
    <t>Gattacceca, J; Valenzuela, M; Uehara, M; Jull, AJT; Giscard, M; Rochette, P; Braucher, R; Suavet, C; Gounelle, M; Morata, D; Munayco, P; Bourot-Denise, M; Bourles, D; Demory, F</t>
  </si>
  <si>
    <t>Gattacceca, Jerome; Valenzuela, Millarca; Uehara, Minoru; Jull, A. J. Timothy; Giscard, Marlene; Rochette, Pierre; Braucher, Regis; Suavet, Clement; Gounelle, Matthieu; Morata, Diego; Munayco, Pablo; Bourot-Denise, Michele; Bourles, Didier; Demory, Francois</t>
  </si>
  <si>
    <t>The densest meteorite collection area in hot deserts: The San Juan meteorite field (Atacama Desert, Chile)</t>
  </si>
  <si>
    <t>C-14 TERRESTRIAL AGES; MAGNETIC CLASSIFICATION; ORDINARY CHONDRITES; ROOSEVELT COUNTY; STONY METEORITES; REGION; RECOVERY; FLUX; METAMORPHISM; HISTORY</t>
  </si>
  <si>
    <t>We describe the geological, morphological, and climatic setting of the San Juan meteorite collection area in the Central Depression of the Atacama Desert (Chile). Our recovery activities yielded 48 meteorites corresponding to a minimum of 36 different falls within a 3.88 km(2) area. The recovery density is in the range 9-12 falls km(-2) depending on pairing, making it the densest among meteorite collection areas in hot deserts. This high meteorite concentration is linked to the long-standing hyperaridity of the area, the stability of the surface pebbles (&gt; Ma), and very low erosion rates of surface pebbles (approximately 30 cm Ma(-1) maximum). The San Juan meteorite population is characterized by old terrestrial ages that range from zero to beyond 40 ka, and limited weathering compared with other dense collection areas in hot desert. Chemical weathering in San Juan is slow and mainly controlled by the initial porosity of meteorites. As in the Antarctic and other hot deserts, there is an overabundance of H chondrites and a shortage of LL chondrites compared with the modern falls population, suggesting a recent (&lt; few ka) change in the composition of the meteorite flux to Earth.</t>
  </si>
  <si>
    <t>[Gattacceca, Jerome; Uehara, Minoru; Rochette, Pierre; Braucher, Regis; Bourles, Didier; Demory, Francois] Aix Marseille Univ, CEREGE, CNRS, F-13545 Aix En Provence 4, France; [Valenzuela, Millarca; Morata, Diego] Univ Chile, Dpto Geol, Santiago, Chile; [Jull, A. J. Timothy; Giscard, Marlene] Univ Arizona, Arizona AMS Lab, Tucson, AZ USA; [Giscard, Marlene] Nat Hist Museum, London SW7 5BD, England; [Suavet, Clement] MIT, EAPS Dept, Cambridge, MA 02139 USA; [Gounelle, Matthieu; Bourot-Denise, Michele] CNRS, LMCM, UMR 7202, F-75005 Paris, France; [Bourot-Denise, Michele] MNHN, F-75005 Paris, France; [Munayco, Pablo] CBPF, BR-22290918 Rio De Janeiro, Brazil</t>
  </si>
  <si>
    <t>Aix-Marseille Universite; Centre National de la Recherche Scientifique (CNRS); Universidad de Chile; University of Arizona; Natural History Museum London; Massachusetts Institute of Technology (MIT); Centre National de la Recherche Scientifique (CNRS); Museum National d'Histoire Naturelle (MNHN); Museum National d'Histoire Naturelle (MNHN); Centro Brasileiro de Pesquisas Fisicas</t>
  </si>
  <si>
    <t>Gattacceca, J (corresponding author), Aix Marseille Univ, CEREGE, CNRS, BP 80, F-13545 Aix En Provence 4, France.</t>
  </si>
  <si>
    <t>gattacceca@cerege.fr</t>
  </si>
  <si>
    <t>DEMORY, FRANCOIS/AAC-6641-2019; Munayco, Pablo/AAG-6508-2019; Munayco, Pablo/H-8193-2012; , B/HZK-8896-2023; Gattacceca, Jerome/AAG-5651-2019; Rochette, Pierre/O-4612-2019; , Braucher/Q-5971-2017; Morata, Diego/G-4871-2016</t>
  </si>
  <si>
    <t>Munayco, Pablo/0000-0003-0961-4626; Munayco, Pablo/0000-0003-0961-4626; Gattacceca, Jerome/0000-0002-1639-7140; Rochette, Pierre/0000-0002-7362-0660; , Braucher/0000-0002-4637-4302; Bourles, Didier/0000-0001-5991-6126; Morata, Diego/0000-0002-9751-2429; Uehara, Minoru/0000-0001-6284-846X; Suavet, Clement/0000-0001-9970-0864; Demory, Francois/0000-0002-7526-9886</t>
  </si>
  <si>
    <t>CONICYT/CNRS; INSU/CNRS; French Ministry of Research and Higher Education; NASA [NNX09AM57G]; NSF [EAR0929458]; Directorate For Geosciences; Division Of Earth Sciences [0929458] Funding Source: National Science Foundation; NASA [113263, NNX09AM57G] Funding Source: Federal RePORTER</t>
  </si>
  <si>
    <t>CONICYT/CNRS(Comision Nacional de Investigacion Cientifica y Tecnologica (CONICYT)Centre National de la Recherche Scientifique (CNRS)); INSU/CNRS(Centre National de la Recherche Scientifique (CNRS)); French Ministry of Research and Higher Education; NASA(National Aeronautics &amp; Space Administration (NASA)); NSF(National Science Foundation (NSF)); Directorate For Geosciences; Division Of Earth Sciences(National Science Foundation (NSF)NSF - Directorate for Geosciences (GEO)); NASA(National Aeronautics &amp; Space Administration (NASA))</t>
  </si>
  <si>
    <t>We are grateful to Beda Hofmann and Addi Bischoff whose careful and constructive reviews have greatly improved this paper. This project was partly funded by a CONICYT/CNRS Franco-Chilean programme. We acknowledge C. Nevado (University Montpellier 2, France) for thin sections preparation. M. Arnold, G. Aumaitre are thanked for their assistance during 10 Be measurements at the ASTER AMS national facility (CEREGE, Aix-en-Provence, France), which is supported by the INSU/CNRS, the French Ministry of Research and Higher Education, IRD and CEA. The work at The University of Arizona (USA) was supported by NASA grant NNX09AM57G and instrumental support from NSF grant EAR0929458.</t>
  </si>
  <si>
    <t>10.1111/j.1945-5100.2011.01229.x</t>
  </si>
  <si>
    <t>822MY</t>
  </si>
  <si>
    <t>WOS:000295053300004</t>
  </si>
  <si>
    <t>Li, SJ; Wang, SJ; Bao, HM; Miao, BK; Liu, S; Coulson, IM; Li, XY; Li, Y</t>
  </si>
  <si>
    <t>Li, Shijie; Wang, Shijie; Bao, Huiming; Miao, Bingkui; Liu, Shen; Coulson, Ian M.; Li, Xiongyao; Li, Yang</t>
  </si>
  <si>
    <t>The Antarctic achondrite, Grove Mountains 021663: An olivine-rich winonaite</t>
  </si>
  <si>
    <t>METEORITICAL BULLETIN; OXYGEN-ISOTOPE; REE MOBILIZATION; PARENT BODY; ACAPULCOITES; CONSTRAINTS; LODRANITES; CHONDRITES; EVOLUTION; TROILITE</t>
  </si>
  <si>
    <t>The Grove Mountains (GRV) 021663 meteorite was collected from the Grove Mountains region of Antarctica. The meteorite is composed primarily of olivine (Fa(5.4)), orthopyroxene (Fs(4.7)Wo(3.0)), chromian diopside (En(53.6)Fs(2.4)Wo(44)), troilite, kamacite, and plagioclase (Ab(74.5)Or(4)An(21.5)). Minor phases include schreibersite and K-feldspar. The meteorite is highly weathered (W3) and weakly shocked (S2). We determine a whole rock oxygen isotopic composition of delta O-18 = 7.50 parts per thousand, delta O-17 = 3.52 parts per thousand. Comparisons of these data with other primitive achondrites have resulted in the reclassification of this meteorite as a member of the winonaite group. The occurrences of troilite, metal, and schreibersite in GRV 021663 indicate that these minerals were once completely molten. Euhedral inclusions of pyroxene within plagioclase further suggest that these may have crystallized from a silicate melt, while the depletion of plagioclase, metal, and troilite indicates that GRV 021663 could represent a residuum following partial melting on its parent asteroid. Trace element distributions in silicate minerals do not, however, confirm this scenario. As with other winonaite meteorites, the formation of GRV 021663 probably relates to brecciation and mixing of heterogeneous lithologies, followed by varying degrees of thermal metamorphism on the parent body asteroid. Peak metamorphic conditions may have resulted in localized partial melting of metal and silicate mineralogies, but our data are not conclusive.</t>
  </si>
  <si>
    <t>[Li, Shijie; Wang, Shijie; Liu, Shen; Li, Xiongyao; Li, Yang] Chinese Acad Sci, Inst Geochem, Guiyang 550002, Peoples R China; [Bao, Huiming] Louisiana State Univ, Dept Geol &amp; Geophys, Baton Rouge, LA 70803 USA; [Miao, Bingkui] Guilin Inst Technol, Dept Resources &amp; Environm Engn, Guilin 541004, Peoples R China; [Coulson, Ian M.] Univ Regina, Solid Earth Studies Lab, Dept Geol, Regina, SK S4S 0A2, Canada; [Li, Yang] Chinese Acad Sci, Grad Univ, Beijing 100039, Peoples R China</t>
  </si>
  <si>
    <t>Chinese Academy of Sciences; Institute of Geochemistry, CAS; Louisiana State University System; Louisiana State University; Guilin University of Technology; University of Regina; Chinese Academy of Sciences; University of Chinese Academy of Sciences, CAS</t>
  </si>
  <si>
    <t>Wang, SJ (corresponding author), Chinese Acad Sci, Inst Geochem, Guiyang 550002, Peoples R China.</t>
  </si>
  <si>
    <t>wangshijie@vip.skleg.cn</t>
  </si>
  <si>
    <t>Bao, Huiming/C-1069-2012; Li, Yang/ADG-2895-2022; Liu, Yongsheng/D-4440-2011</t>
  </si>
  <si>
    <t>Liu, Yongsheng/0000-0002-9340-9205</t>
  </si>
  <si>
    <t>National High Technology Research and Development Program of China [2010AA122200]; Chinese Academy of Sciences [kzcx2-yw-Q08]; National Natural Science Foundation of China [40803019, 40873055, 41003027]; Chinese Academy of Sciences (Geochemical Institute); Experimental Standardization and Sharing of the Polar Region Biological and Geological Samples Project [2005DKA21406]</t>
  </si>
  <si>
    <t>National High Technology Research and Development Program of China(National High Technology Research and Development Program of China); Chinese Academy of Sciences(Chinese Academy of Sciences); National Natural Science Foundation of China(National Natural Science Foundation of China (NSFC)); Chinese Academy of Sciences (Geochemical Institute)(Chinese Academy of Sciences); Experimental Standardization and Sharing of the Polar Region Biological and Geological Samples Project</t>
  </si>
  <si>
    <t>We are grateful to Professor Y. Lin and A. C. Zhang for their constructive reviews. X. M. Liu is thanked for assistance during LA-ICP-MS analyses at Northwest University. Sample GRV 021663 was supplied by the Polar Research Institute of China. This work was supported by the National High Technology Research and Development Program of China (grant no. 2010AA122200), pilot project of knowledge innovation program of Chinese Academy of Sciences (grant no. kzcx2-yw-Q08), National Natural Science Foundation of China (grants 40803019, 40873055, &amp; 41003027), Knowledge Innovation Program of the Chinese Academy of Sciences (Lunar Program of Geochemical Institute), and Experimental Standardization and Sharing of the Polar Region Biological and Geological Samples Project (grant no. 2005DKA21406).</t>
  </si>
  <si>
    <t>10.1111/j.1945-5100.2011.01232.x</t>
  </si>
  <si>
    <t>WOS:000295053300007</t>
  </si>
  <si>
    <t>Dobrica, E; Engrand, C; Quirico, E; Montagnac, G; Duprat, J</t>
  </si>
  <si>
    <t>Dobrica, E.; Engrand, C.; Quirico, E.; Montagnac, G.; Duprat, J.</t>
  </si>
  <si>
    <t>Raman characterization of carbonaceous matter in CONCORDIA Antarctic micrometeorites</t>
  </si>
  <si>
    <t>INTERPLANETARY DUST PARTICLES; COMET HALLEY DUST; INSOLUBLE ORGANIC-MATTER; MICRO-RAMAN; COSMIC SPHERULES; ACCRETION RATE; SPECTROSCOPY; CHONDRITES; NITROGEN; METEORITES</t>
  </si>
  <si>
    <t>We report a multi-wavelength Raman spectroscopy study of carbonaceous matter in 38 Antarctic micrometeorites (AMMs) from the 2006 CONCORDIA collection. The particles were selected as a function of their degree of thermal alteration developed during the deceleration in the atmosphere. These samples range from unmelted (fine-grained-Fg; ultracarbonaceous-UCAMMs) to partially melted AMMs (scorias-Sc) and completely melted particles (cosmic spherules-CS). More than half of the analyzed AMMs contain a substantial amount of polyaromatic carbonaceous matter with a high degree of disorder. The proportion of particles where carbon is not detected increase from the Fg to the Fg-Sc and to the Sc-AMMs, and no carbon is detected in CS. In addition, the spectral characteristics of the G and D bands of the carbonaceous matter in Sc-AMMs plot apart from the trend formed by the data from Fg-AMMs and UCAMMs. These results suggest that oxidation processes occurred during the deceleration of the particles in the atmosphere. In Fg-AMMs and UCAMMs, the spectral characteristics of the G and D bands reveal the high degree of disorder of the carbonaceous matter, precluding a long duration thermal metamorphism on the parent body and suggesting that AMMs have a connection with C1-C2 chondrites. The Raman parameters of the deuterium-rich carbonaceous matter of UCAMMs do not differ from that of Fg-AMMs. Using a 244 nm excitation, we detected the cyanide (-CN) functional group for the first time in a UCAMM, reinforcing the likely cometary origin of this type of micrometeorites.</t>
  </si>
  <si>
    <t>[Dobrica, E.; Engrand, C.; Duprat, J.] Univ Paris 11, CNRS, Ctr Spectrometrie Nucl &amp; Spectrometrie Masse, F-91405 Orsay, France; [Quirico, E.] CNRS INSU, Inst Planetol &amp; Astrophys Grenoble, UJF Grenoble 1, UMR 5274, F-38041 Grenoble, France; [Montagnac, G.] Ecole Normale Super Lyon, LST, F-69364 Lyon 07, France</t>
  </si>
  <si>
    <t>Centre National de la Recherche Scientifique (CNRS); Universite Paris Saclay; Communaute Universite Grenoble Alpes; Universite Grenoble Alpes (UGA); Institut de Planetologie et d'Astrophysique de Grenoble (IPAG); Centre National de la Recherche Scientifique (CNRS); CNRS - National Institute for Earth Sciences &amp; Astronomy (INSU); Ecole Normale Superieure de Lyon (ENS de LYON)</t>
  </si>
  <si>
    <t>Dobrica, E (corresponding author), Univ Paris 11, CNRS, Ctr Spectrometrie Nucl &amp; Spectrometrie Masse, F-91405 Orsay, France.</t>
  </si>
  <si>
    <t>Montagnac, Gilles/S-6440-2019; quirico, eric/K-9650-2013</t>
  </si>
  <si>
    <t>Montagnac, Gilles/0000-0001-9938-0282; quirico, eric/0000-0003-2768-0694; Dobrica, Elena/0000-0002-7653-3431</t>
  </si>
  <si>
    <t>European Marie Curie Research Training Network Origins [MRTN-CT-2006-035519]; ANR [05-JC05-51407]; INSU (PNP); CNES; CNRS</t>
  </si>
  <si>
    <t>European Marie Curie Research Training Network Origins(Marie Curie ActionsEuropean Union (EU)); ANR(Agence Nationale de la Recherche (ANR)); INSU (PNP); CNES(Centre National D'etudes Spatiales); CNRS(Centre National de la Recherche Scientifique (CNRS))</t>
  </si>
  <si>
    <t>Meteorite samples were all supplied by the Laboratoire de Mineralogie et Cosmochimie du Museum National d'Histoire Naturelle (LMCM Paris, France). The authors thank J.-N. Rouzaud and C. Le Guillou for many helpful discussions about the structure of carbonaceous matter. The CTU/IEF Minerve and IDES, Orsay Campus are thanked for the benefit of using their scanning electron microscopes. This study was made possible through the logistic support of the French and Italian polar institutes (IPEV and PNRA) and by their valuable help in Antarctica. This research was supported by the European Marie Curie Research Training Network Origins (MRTN-CT-2006-035519), by grants from ANR 05-JC05-51407, INSU (PNP), IN2P3, CNES, and CNRS.</t>
  </si>
  <si>
    <t>10.1111/j.1945-5100.2011.01235.x</t>
  </si>
  <si>
    <t>WOS:000295053300009</t>
  </si>
  <si>
    <t>Tsuchiya, C; Sato, K; Nasuno, T; Noda, AT; Satoh, M</t>
  </si>
  <si>
    <t>Tsuchiya, Chikara; Sato, Kaoru; Nasuno, Tomoe; Noda, Akira T.; Satoh, Masaki</t>
  </si>
  <si>
    <t>Universal Frequency Spectra of Surface Meteorological Fluctuations</t>
  </si>
  <si>
    <t>ATMOSPHERIC GRAVITY-WAVES; JULIAN OSCILLATION EVENT; KINETIC-ENERGY SPECTRUM; RESOLVING MODEL; TEMPERATURE; TROPOSPHERE; SIMULATIONS; VARIABILITY; TURBULENCE; MOTIONS</t>
  </si>
  <si>
    <t>Statistical characteristics of surface meteorology are examined in terms of frequency spectra. According to a recent work using hourly data over 50 yr in the Antarctic, the frequency spectra have a characteristic shape proportional to two different powers of the frequency in the frequency ranges lower and higher than a transition frequency of (several days)(-1). To confirm the universality of the characteristic spectra, hourly data-including surface temperature, sea level pressure, and zonal and meridional winds-collected over 45 yr at 138 stations in Japan were analyzed. Similar spectral shapes are obtained for any physical quantities at all stations. The spectral slopes clearly depend on the latitude, particularly for sea level pressure, which in the high-frequency range are steeper at higher latitudes. Next, the analysis was extended using realistic simulation data over one month with a nonhydrostatic model to examine the global characteristics of the spectra in the high-frequency range. The model spectra accord well with the observations in Japan. The spectral slopes are largely dependent on the latitude-that is, shallow in the low latitudes, and steep in the middle and high latitudes for all the physical quantities. The latitudinal change of the spectral slope is severe around 308, which may be due to the dynamical transition from nongeostrophy to geostrophy. The longitudinal variations are also observed according to the geography. The variance is large in the storm-track region for surface pressure, on the continents for temperature and over the ocean for winds.</t>
  </si>
  <si>
    <t>[Tsuchiya, Chikara] Univ Tokyo, Dept Earth &amp; Planetary Sci, Bunkyo Ku, Tokyo 1130033, Japan; [Nasuno, Tomoe; Noda, Akira T.; Satoh, Masaki] Japan Agcy Marine Earth Sci &amp; Technol, Kanagawa, Japan; [Satoh, Masaki] Univ Tokyo, Atmosphere &amp; Ocean Res Inst, Chiba, Japan</t>
  </si>
  <si>
    <t>University of Tokyo; Japan Agency for Marine-Earth Science &amp; Technology (JAMSTEC); University of Tokyo</t>
  </si>
  <si>
    <t>Tsuchiya, C (corresponding author), Univ Tokyo, Dept Earth &amp; Planetary Sci, Bunkyo Ku, 7-3-1 Hongo, Tokyo 1130033, Japan.</t>
  </si>
  <si>
    <t>chikara@eps.s.u-tokyo.ac.jp</t>
  </si>
  <si>
    <t>Satoh, Masaki/G-3325-2015; Satoh, Kaoru/P-2047-2015; Sato, Kaoru/E-1693-2012</t>
  </si>
  <si>
    <t>Satoh, Masaki/0000-0003-3580-8897; Sato, Kaoru/0000-0002-6225-6066; Nasuno, Tomoe/0000-0002-0064-9286</t>
  </si>
  <si>
    <t>Ministry of Education, Culture, Sports, Science and Technology (MEXT), Japan; Japan Science and Technology Agency (JST); Grants-in-Aid for Scientific Research [22340134] Funding Source: KAKEN</t>
  </si>
  <si>
    <t>Ministry of Education, Culture, Sports, Science and Technology (MEXT), Japan(Ministry of Education, Culture, Sports, Science and Technology, Japan (MEXT)); Japan Science and Technology Agency (JST)(Japan Science &amp; Technology Agency (JST)); Grants-in-Aid for Scientific Research(Ministry of Education, Culture, Sports, Science and Technology, Japan (MEXT)Japan Society for the Promotion of ScienceGrants-in-Aid for Scientific Research (KAKENHI))</t>
  </si>
  <si>
    <t>We thank Michio Yamada and Hisashi Nakamura for their fruitful discussion. Data at Batavia was kindly provided by Kevin Hamilton. This study is supported by Grant-in-Aid for Scientific Research (B) 22340134 of the Ministry of Education, Culture, Sports, Science and Technology (MEXT), Japan. The NICAM simulations were performed using the Earth Simulator at the Japan Agency for Marine-Earth Science and Technology (JAMSTEC) under the support by the Core Research for Evolutional Science and Technology (CREST) of the Japan Science and Technology Agency (JST). Figures were drawn using the GFD-DENNOU library. This manuscript was proofread by a proofreading/editing assistant from the Global COE program From the Earth to Earths.</t>
  </si>
  <si>
    <t>10.1175/2011JCLI4196.1</t>
  </si>
  <si>
    <t>821SD</t>
  </si>
  <si>
    <t>WOS:000294993800014</t>
  </si>
  <si>
    <t>Agangi, A; McPhie, J; Kamenetsky, VS</t>
  </si>
  <si>
    <t>Agangi, Andrea; McPhie, Jocelyn; Kamenetsky, Vadim S.</t>
  </si>
  <si>
    <t>Magma chamber dynamics in a silicic LIP revealed by quartz: The Mesoproterozoic Gawler Range Volcanics</t>
  </si>
  <si>
    <t>Quartz; Crystal stratigraphy; Cathodoluminescence; Rhyolite; Silicic large igneous province; Australia</t>
  </si>
  <si>
    <t>SOUTH-AUSTRALIA; ANTARCTIC PENINSULA; EASTERN ERZGEBIRGE; VINALHAVEN GRANITE; FELSIC MAGMATISM; TRACE-ELEMENTS; CATHODOLUMINESCENCE; PLAGIOCLASE; EVOLUTION; CRYSTALLIZATION</t>
  </si>
  <si>
    <t>Silicic-dominated large igneous provinces (SLIP) represent vast amounts of magma (&gt;= 10(5) km(3)) erupted onto the Earth's surface or injected into the crust over short time spans, and are important components of the continental crust. The conditions of formation and evolution of these large magmatic provinces and their magma chambers are still poorly constrained. In this contribution, we examine cathodoluminescence textures and trace element (Al, Ti, Fe) zoning of quartz in a Mesoproterozoic SLIP, the Gawler Range Volcanics (GRV), South Australia. We describe intra-granular textures such as truncation of growth textures and reverse zoning (rimwards increase of Ti content). These characteristics of quartz, together with remelting of already crystallised portions of the magma chamber (felsic enclaves), suggest a complex history of crystallisation and resorption, and fluctuating magma temperature. Titanium-in-quartz geothermometry indicates that adjacent quartz zones record temperature variations (Delta T) up to 70 degrees C in volcanic units. We also report contrasting (non-correlatable) zoning patterns amongst quartz crystals, each indicating different crystallisation conditions. The juxtaposition of quartz crystals with contrasting zoning patterns is consistent with a dynamic regime (convection, stirring, overturning) of the GRV magma chamber. These results point to pulsating magmatic conditions, compatible with a non-linear evolution of the GRV magma chamber. Heat, necessary to explain both intra-granular and infra-granular textural variations, may have been provided in different pulses by underplating of mafic magma. (C) 2011 Elsevier B.V. All rights reserved.</t>
  </si>
  <si>
    <t>[Agangi, Andrea] Univ Tasmania, ARC Ctr Excellence Ore Deposits, Hobart, Tas 7001, Australia; Univ Tasmania, Sch Earth Sci, Hobart, Tas 7001, Australia</t>
  </si>
  <si>
    <t>Agangi, A (corresponding author), Univ Tasmania, ARC Ctr Excellence Ore Deposits, Private Bag 79, Hobart, Tas 7001, Australia.</t>
  </si>
  <si>
    <t>aagangi@utas.edu.au</t>
  </si>
  <si>
    <t>McPhie, Jocelyn/AFK-3399-2022; Kamenetsky, Vadim/K-2200-2019; McPhie, Jocelyn/AAG-2101-2022; Kamenetsky, Vadim/CAF-7424-2022; Kamenetsky, Vadim/B-1019-2008</t>
  </si>
  <si>
    <t>Agangi, Andrea/0000-0001-6315-3918; Kamenetsky, Vadim/0000-0002-2734-8790</t>
  </si>
  <si>
    <t>ARC-CODES</t>
  </si>
  <si>
    <t>ARC-CODES(Australian Research Council)</t>
  </si>
  <si>
    <t>This research was funded by ARC-CODES grants to the authors. Field and logistical support was provided by the Primary Industries and Resources of South Australia (PIRSA). Dr. Karsten Gomann, Philip Robinson and Katie McGoldrick (University of Tasmania) are thanked for analytical assistance. The manuscript was significantly improved by the comments of two anonymous reviewers.</t>
  </si>
  <si>
    <t>10.1016/j.lithos.2011.06.005</t>
  </si>
  <si>
    <t>822QH</t>
  </si>
  <si>
    <t>WOS:000295064200005</t>
  </si>
  <si>
    <t>Szteren, D; Aurioles-Gamboa, D</t>
  </si>
  <si>
    <t>Szteren, D.; Aurioles-Gamboa, D.</t>
  </si>
  <si>
    <t>Ecological regionalization of Zalophus californianus rookeries, as a tool for conservation in the Gulf of California</t>
  </si>
  <si>
    <t>CIENCIAS MARINAS</t>
  </si>
  <si>
    <t>California sea lion; Gulf of California; grouping; multivariate analysis; Zalophus californianus</t>
  </si>
  <si>
    <t>ANTARCTIC FUR SEALS; NATAL SITE FIDELITY; FORAGING ENERGETICS; MARINE PREDATOR; LIONS; BEHAVIOR; HABITAT; DIET; SUBDIVISION; POPULATIONS</t>
  </si>
  <si>
    <t>California sea lion (Zalophus californianus) rookeries in the Gulf of California are structured genetically in distinct groups. Despite this evidence for regional differentiation, the sea lion population of the Gulf of California is managed as a single unit. To prioritize the allocation of limited resources for conservation and to improve the effectiveness of management actions, ecological differences among rookeries should also be considered. This is important to be able to further define and subsequently manage the rookeries on a regional level. The aim of the present study was to identify patterns of similarity among California sea lion rookeries in the Gulf of California, using, nine demographic, biological, ecological, and biogeochemical databases: population censuses, trace metal content in bone, diet diversity, presence of Leptospira serovarieties, stable isotopes, incidence of osteoarthritis, sea surface temperature, and chlorophyll a concentration. A second objective was to characterize each region on the basis of these variables in order to focus management efforts. To examine the overall structure of the sea lion rookeries in the Gulf of California, we analyzed data for different combinations of variables and rookeries using multivariate analysis. The scenario with the highest explanatory power resulted in the separation of the rookeries into four groups: Northern Gulf, Angel de la Guarda, Central Gulf, and Southern Gulf. Diet and sea surface temperature were the variables that contributed most strongly to the definition of the groups. Groupings showed geographic coherence and were consistent with previously proposed genetic units and oceanographic regions of the Gulf of California. The resulting multivariate pattern should facilitate the management of California sea lion rookeries, provide better tools to protect against environmental contingencies, and help to guide future management plans.</t>
  </si>
  <si>
    <t>[Szteren, D.] Fac Ciencias, Secc Zool Vertebrados, Montevideo 11400, Uruguay; [Aurioles-Gamboa, D.] Inst Politecn Nacl, Lab Ecol Pinnipedos Burney J Le Boeuf, Ctr Interdisciplinario Ciencias Marinas, La Paz 23096, Baja California, Mexico</t>
  </si>
  <si>
    <t>Universidad de la Republica, Uruguay; Instituto Politecnico Nacional - Mexico</t>
  </si>
  <si>
    <t>Szteren, D (corresponding author), Fac Ciencias, Secc Zool Vertebrados, Igua 4225, Montevideo 11400, Uruguay.</t>
  </si>
  <si>
    <t>diana@fcien.edu.uy</t>
  </si>
  <si>
    <t>Szteren, Diana/AAV-3712-2021</t>
  </si>
  <si>
    <t>Szteren, Diana/0000-0002-7632-0866</t>
  </si>
  <si>
    <t>SEP-CONACYT [400302-5-3371-N, 26430-N, 2004-C01-46806]; SEMARNAT-CONACYT [2002-C01-1230]; CGPI-IPN [20030385, 20040084, 20050113]; LASPAU-OEA Academic and Professional Programs</t>
  </si>
  <si>
    <t>SEP-CONACYT(Consejo Nacional de Ciencia y Tecnologia (CONACyT)); SEMARNAT-CONACYT(Consejo Nacional de Ciencia y Tecnologia (CONACyT)); CGPI-IPN; LASPAU-OEA Academic and Professional Programs</t>
  </si>
  <si>
    <t>This study was supported by SEP-CONACYT (400302-5-3371-N, 26430-N, and 2004-C01-46806), SEMARNAT-CONACYT (2002-C01-1230), and CGPI-IPN (20030385, 20040084, and 20050113) during different stages of the project. Many thanks to SEMARNAT (National Institute of Ecology, Department of Wildlife) for the respective research permits: 240996-213-03 (1996), DOO.750-4172/97 (1997), DOO.750-4443/98 (1998), DOO.02-327O (1999), DOO.02-3345 (2000), SGPA/DGVS-0579 (2002), SGPA/DGVS-03473 (2003), and SGPA/DGVS-04160(2004). The first author is grateful to LASPAU-OEA Academic and Professional Programs for the Americas for a scholarship (2004 2006) to conduct doctoral studies. Also, a grant was provided by the Oak Foundation Mini-Grants in Marine Conservation and Duke University (Center for Marine Conservation, USA) supporting the development of this project. We are very grateful to the three referees whose comments greatly contributed to improve the article.</t>
  </si>
  <si>
    <t>INST INVESTIGACIONES OCEANOLOGICAS, U A B C</t>
  </si>
  <si>
    <t>BAJA CALIFORNIA</t>
  </si>
  <si>
    <t>APARTADO POSTAL 423, ENSENADA, BAJA CALIFORNIA 22800, MEXICO</t>
  </si>
  <si>
    <t>0185-3880</t>
  </si>
  <si>
    <t>CIENC MAR</t>
  </si>
  <si>
    <t>Cienc. Mar.</t>
  </si>
  <si>
    <t>10.7773/cm.v37i3.1818</t>
  </si>
  <si>
    <t>820VO</t>
  </si>
  <si>
    <t>WOS:000294934400009</t>
  </si>
  <si>
    <t>Hageman, SJ; Jackson, PNW; Abernethy, AR; Steinthorsdottir, M</t>
  </si>
  <si>
    <t>Hageman, Steven J.; Jackson, Patrick N. Wyse; Abernethy, Aaron R.; Steinthorsdottir, Margret</t>
  </si>
  <si>
    <t>CALENDAR SCALE, ENVIRONMENTAL VARIATION PRESERVED IN THE SKELETAL PHENOTYPE OF A FOSSIL BRYOZOAN (RHOMBOPORA BLAKEI N. SP.), FROM THE MISSISSIPPIAN OF IRELAND</t>
  </si>
  <si>
    <t>JOURNAL OF PALEONTOLOGY</t>
  </si>
  <si>
    <t>HOOK HEAD FORMATION; ZOOID SIZE; ANTARCTIC BRYOZOANS; PALEOZOIC BRYOZOAN; COLONY GROWTH; QUANTITATIVE GENETICS; CHEILOSTOME BRYOZOANS; MELICERITA-OBLIQUA; FOLIACEA BRYOZOA; ELECTRA-PILOSA</t>
  </si>
  <si>
    <t>A single large colony (20 cm) of Rhombopora blakei n. sp. from the Hook Head Formation of Ireland (Tournaisian Stage, Mississippian) permits an analysis of within-colony variation associated with environmental change at a calendar scale (days to decades). Morphometric data for three external characters-apertures spacing along a branch and diagonal to a branch as well as lateral zooecial spacing-were collected as growth series (16-30 generations) from 13 segments within the colony. ANOVA, post-hoc means testing and graphical analysis of standardized data revealed nearest neighbor effects at the zooecial level and non-random distribution of variances across the colony. Parametric tests for sequential nonrandomness revealed cyclic variation through growth transects at three levels (23.3, 9.4 and 5.3 generations). Comparisons to growth rates of modern bryozoans suggests that the longer-term cycles are annual and that the shortest cycles may be related to lunar tidal cycles. The exceptional size and preservation of this single specimen, which is a new species of rhabdomesine Bryozoa, reinforces the importance of collecting individual morphological measurements from randomly selected and widely spaced parts of a colony for taxonomic, evolutionary and ecological applications.</t>
  </si>
  <si>
    <t>[Hageman, Steven J.; Abernethy, Aaron R.] Appalachian State Univ, Dept Geol, Boone, NC 28608 USA; [Jackson, Patrick N. Wyse; Steinthorsdottir, Margret] Trinity Coll Dublin, Dept Geol, Dublin, Ireland; [Steinthorsdottir, Margret] Univ Coll Dublin, Sch Biol &amp; Environm Sci, Dublin 2, Ireland</t>
  </si>
  <si>
    <t>University of North Carolina; Appalachian State University; Trinity College Dublin; University College Dublin</t>
  </si>
  <si>
    <t>Hageman, SJ (corresponding author), Appalachian State Univ, Dept Geol, Boone, NC 28608 USA.</t>
  </si>
  <si>
    <t>hagemansj@appstate.edu; wysjcknp@tcd.ie</t>
  </si>
  <si>
    <t>Wyse Jackson, Patrick/N-2864-2014</t>
  </si>
  <si>
    <t>Wyse Jackson, Patrick/0000-0001-5605-0670; Steinthorsdottir, Margret/0000-0002-7893-1142</t>
  </si>
  <si>
    <t>Trinity College, Dublin</t>
  </si>
  <si>
    <t>The authors are most grateful to G. Sevastopulo, Trinity College, Dublin, who found the holotype. We thank E. Cullen (TCD) who drafted the reconstruction showing the colony in life position (Fig. 6). We thank F.K. McKinney for comments and suggestions that improved early versions of this paper and J. Pachut and P. Taylor for careful review and suggestions the improved this paper. M.S. acknowledges receipt of a postgraduate Trinity Award from Trinity College, Dublin. This paper is an outgrowth of an undergraduate senior thesis completed at Appalachian State University by A.R.A.</t>
  </si>
  <si>
    <t>PALEONTOLOGICAL SOC INC</t>
  </si>
  <si>
    <t>810 EAST 10TH ST, LAWRENCE, KS 66044 USA</t>
  </si>
  <si>
    <t>0022-3360</t>
  </si>
  <si>
    <t>J PALEONTOL</t>
  </si>
  <si>
    <t>J. Paleontol.</t>
  </si>
  <si>
    <t>10.1666/10-132.1</t>
  </si>
  <si>
    <t>820DG</t>
  </si>
  <si>
    <t>WOS:000294885100003</t>
  </si>
  <si>
    <t>Nicodemus-Johnson, J; Silic, S; Ghigliotti, L; Pisano, E; Cheng, CHC</t>
  </si>
  <si>
    <t>Nicodemus-Johnson, Jessie; Silic, Stephen; Ghigliotti, Laura; Pisano, Eva; Cheng, C. -H. Christina</t>
  </si>
  <si>
    <t>Assembly of the antifreeze glycoprotein/trypsinogen-like protease genomic locus in the Antarctic toothfish Dissostichus mawsoni (Norman)</t>
  </si>
  <si>
    <t>GENOMICS</t>
  </si>
  <si>
    <t>Antarctic notothenioids; Dissostichus mawsoni; BAC library; AFGP; Chimeric gene; Repetitive sequence assembly; Gene family evolution</t>
  </si>
  <si>
    <t>COLD ADAPTATION; EVOLUTION; CONTIGS; GENE</t>
  </si>
  <si>
    <t>To investigate the genomic architecture underlying the quintessential adaptive phenotype, antifreeze glycoprotein (AFGP) that enables Antarctic notothenioid survival in the frigid Southern Ocean, we isolated the AFGP genomic locus from a bacterial artificial chromosome library for Dissostichus mawsoni. Through extensive shotgun sequencing of pertinent clones and sequence assembly verifications, we reconstructed the highly repetitive AFGP genomic locus. The locus comprises two haplotypes of different lengths (363.6 kbp and 467.4 kbp) containing tandem AFGP, two TLP (trypsinogen-like protease), and surprisingly three chimeric AFGP/TLP, one of which was previously hypothesized to be a TLP-to-AFGP evolutionary intermediate. The similar to 100 kbp haplotype length variation results from different AFGP copy number, suggesting substantial dynamism existed in the evolutionary history of the AFGP gene family. This study provided the data for fine resolution sequence analyses that would yield insight into the molecular mechanisms of notothenioid AFGP gene family evolution driven by Southern Ocean glaciation. (C) 2011 Elsevier Inc. All rights reserved.</t>
  </si>
  <si>
    <t>[Silic, Stephen; Cheng, C. -H. Christina] Univ Illinois, Dept Anim Biol, Urbana, IL 61801 USA; [Nicodemus-Johnson, Jessie] Univ Illinois, Dept Mol &amp; Integrat Physiol, Urbana, IL 61801 USA; [Ghigliotti, Laura; Pisano, Eva] Univ Genoa, Dept Biol, Genoa, Italy</t>
  </si>
  <si>
    <t>University of Illinois System; University of Illinois Urbana-Champaign; University of Illinois System; University of Illinois Urbana-Champaign; University of Genoa</t>
  </si>
  <si>
    <t>Cheng, CHC (corresponding author), Univ Illinois, Dept Anim Biol, 515 Morrill Hall,505 S Goodwin Ave, Urbana, IL 61801 USA.</t>
  </si>
  <si>
    <t>c-cheng@illinois.edu</t>
  </si>
  <si>
    <t>Ghigliotti, Laura/AAN-6843-2021; Ghigliotti, Laura/J-3076-2012</t>
  </si>
  <si>
    <t>Ghigliotti, Laura/0000-0003-2139-1381;</t>
  </si>
  <si>
    <t>National Science Foundation [OPP 0231006, OPP 0636696]</t>
  </si>
  <si>
    <t>We are deeply grateful to Chris Amemiya for making his laboratory facilities at the Benaroya Research Institute, Seattle available as well as providing guidance for the construction of the BAC library. The research was supported by National Science Foundation grants OPP 0231006 and OPP 0636696 to C-HCC.</t>
  </si>
  <si>
    <t>0888-7543</t>
  </si>
  <si>
    <t>1089-8646</t>
  </si>
  <si>
    <t>Genomics</t>
  </si>
  <si>
    <t>10.1016/j.ygeno.2011.06.002</t>
  </si>
  <si>
    <t>819OL</t>
  </si>
  <si>
    <t>WOS:000294836100006</t>
  </si>
  <si>
    <t>Fauchereau, N; Tagliabue, A; Bopp, L; Monteiro, PMS</t>
  </si>
  <si>
    <t>Fauchereau, Nicolas; Tagliabue, Alessandro; Bopp, Laurent; Monteiro, Pedro M. S.</t>
  </si>
  <si>
    <t>The response of phytoplankton biomass to transient mixing events in the Southern Ocean</t>
  </si>
  <si>
    <t>ANTARCTIC WATERS; IRON</t>
  </si>
  <si>
    <t>We examine the sensitivity of surface chlorophyll-a concentrations (as a proxy for phytoplankton biomass) to short-term, transient Mixed-Layer variability in the High Nutrient-Low Chlorophyll Southern Ocean during the austral summer. To investigate this sensitivity, we use satellite remote sensing data, Ocean reanalyses, and the biogeochemical model NEMO-PISCES. We find an unexpectedly large spatial variability in the nature of the chlorophyll-a response to mixing events in both the observations and the model outputs and our results suggest that the degree of iron limitation (relative to light) seems to be instrumental in dictating these patterns. We propose a conceptual model that provides a first order explanation of the regional and seasonal differences in the response of Chlorophyll-a anomalies to transient Mixed-Layer-Depth (MLD) variability. Overall, we suggest that it is the relationship between the seasonal MLD and the corresponding light and iron vertical distributions that dictates the degree of light and iron limitation. This balance then governs the sign of the response to phytoplankton biomass to transient mixing events. Citation: Fauchereau, N., A. Tagliabue, L. Bopp, and P. M. S. Monteiro (2011), The response of phytoplankton biomass to transient mixing events in the Southern Ocean, Geophys. Res. Lett., 38, L17601, doi: 10.1029/2011GL048498.</t>
  </si>
  <si>
    <t>[Fauchereau, Nicolas; Monteiro, Pedro M. S.] CSIR, ZA-7600 Stellenbosch, South Africa; [Bopp, Laurent] Lab Sci Climat &amp; Environm, F-91191 Gif Sur Yvette, France; [Fauchereau, Nicolas; Tagliabue, Alessandro; Monteiro, Pedro M. S.] Univ Cape Town, Dept Oceanog, ZA-7701 Cape Town, South Africa</t>
  </si>
  <si>
    <t>Council for Scientific &amp; Industrial Research (CSIR) - South Africa; CEA; Centre National de la Recherche Scientifique (CNRS); Universite Paris Saclay; University of Cape Town</t>
  </si>
  <si>
    <t>Fauchereau, N (corresponding author), CSIR, Jan Cilliers St, ZA-7600 Stellenbosch, South Africa.</t>
  </si>
  <si>
    <t>nfauchereau@csir.co.za</t>
  </si>
  <si>
    <t>bopp, laurent/ABF-5302-2020; Monteiro, Pedro M. S./D-3767-2009</t>
  </si>
  <si>
    <t>bopp, laurent/0000-0003-4732-4953; Tagliabue, Alessandro/0000-0002-3572-3634</t>
  </si>
  <si>
    <t>Southern Ocean Carbon and Climate Observatory (SOCCO) Programme</t>
  </si>
  <si>
    <t>The authors wish to thank Phil Boyd, Andrew Lenton, Jean-Baptiste Sallee and Sandy Thomalla for valuable comments on this study and stimulating discussions on the role of mixed-layer dynamics in modulating primary production, as well as Marina Levy and an anonymous reviewer for greatly improving the quality of the paper. This work was undertaken and supported through the Southern Ocean Carbon and Climate Observatory (SOCCO) Programme.</t>
  </si>
  <si>
    <t>L17601</t>
  </si>
  <si>
    <t>10.1029/2011GL048498</t>
  </si>
  <si>
    <t>816PZ</t>
  </si>
  <si>
    <t>WOS:000294615900001</t>
  </si>
  <si>
    <t>Mo, T</t>
  </si>
  <si>
    <t>Mo, Tsan</t>
  </si>
  <si>
    <t>Calibration of the NOAA AMSU-A Radiometers With Natural Test Sites</t>
  </si>
  <si>
    <t>11th Specialist Meeting on Microwave Radiometry and Remote Sensing Applications (MicroRad 2010)</t>
  </si>
  <si>
    <t>MAR 01-04, 2010</t>
  </si>
  <si>
    <t>Washington, DC</t>
  </si>
  <si>
    <t>Advanced Microwave Sounding Unit-A (AMSU-A) measurements; brightness temperatures over Antarctica; microwave radiometers; microwave remote sensing; ocean brightness temperatures; satellite data</t>
  </si>
  <si>
    <t>BRIGHTNESS TEMPERATURES; MICROWAVE RADIOMETERS; LAND; CHANNELS</t>
  </si>
  <si>
    <t>The Advanced Microwave Sounding Unit-A (AMSU-A) instruments onboard NOAA-18 and NOAA-19 are investigated by comparison of the measurements from the two satellites over Antarctica and the tropical ocean. Characteristics of the data over the two test sites are demonstrated. Thirty-day mean brightness temperatures at nadir over Antarctica from NOAA-18 and NOAA-19 measurements show that there is minimal diurnal variability (&lt; 0.5 K) in the measurements during the Antarctic winter months. Therefore, these measurements provide a practical approach to determine the relative intersatellite/intersensor calibration biases. The resultant biases for the two satellites are &lt; 0.2 K for channels 1-5 and 8 and &lt; 0.6 K for the other channels. Monthly mean angular distributions of brightness temperatures at the four window channels 1-3 and 15 from the satellites over the tropical ocean are compared to those of simulations, which are obtained with an ocean model of radiative transfer. These AMSU-A data provide a unique opportunity for the investigation of the scan-position-dependent biases (or asymmetries) of the data. The biases are revealed by the difference between the observed brightness temperatures and the simulations. The results in this study provide a useful guide for the calibration and validation of microwave instruments.</t>
  </si>
  <si>
    <t>Natl Ocean &amp; Atmospher Adm, Ctr Satellite Applicat &amp; Res, Natl Environm Satellite Data &amp; Informat Serv, Camp Springs, MD 20746 USA</t>
  </si>
  <si>
    <t>Mo, T (corresponding author), Natl Ocean &amp; Atmospher Adm, Ctr Satellite Applicat &amp; Res, Natl Environm Satellite Data &amp; Informat Serv, Camp Springs, MD 20746 USA.</t>
  </si>
  <si>
    <t>Mo, Tsan/F-5614-2010</t>
  </si>
  <si>
    <t>10.1109/TGRS.2011.2104417</t>
  </si>
  <si>
    <t>815PE</t>
  </si>
  <si>
    <t>WOS:000294536700017</t>
  </si>
  <si>
    <t>Sewell, MA; Jury, JA</t>
  </si>
  <si>
    <t>Sewell, Mary A.; Jury, Jennifer A.</t>
  </si>
  <si>
    <t>Seasonal patterns in diversity and abundance of the High Antarctic meroplankton: Plankton sampling using a Ross Sea desalination plant</t>
  </si>
  <si>
    <t>BENTHIC MARINE-INVERTEBRATES; MCMURDO SOUND; STERECHINUS-NEUMAYERI; PELAGIC LARVAE; BETA DIVERSITY; COMMUNITY; REPRODUCTION; RECRUITMENT; COLD; BIODIVERSITY</t>
  </si>
  <si>
    <t>The Antarctic marine environment is thermally stable, yet shows pronounced seasonality in the light : dark cycle, primary productivity, and the extent of sea-ice cover. Thorson's Rule, predicting reduced meroplankton diversity at high latitudes, was based on the perceived difficulties in completing larval development at low temperatures and within the short summer period of phytoplankton production. Yet few studies have addressed seasonal patterns in Antarctic meroplankton diversity and abundance, especially in the High Antarctic. Here we circumvented logistical difficulties in conducting winter plankton sampling by using the 100-mu m primary filter on the desalination plant at Scott Base in McMurdo Sound, Ross Sea (77 degrees 51'S), to sample embryos and larvae. Using samples from an entire calendar year we found no seasonal changes in either embryo or larval operational taxonomic unit (OTU) diversity with season, no seasonal changes in embryo abundance (5000 L(-1)), but a peak in larval abundance during the period of the summer phytoplankton bloom (maximum 295 larvae 5000 L(-1)). While some OTUs showed a strong seasonality, there was also a high diversity of both embryos and larvae during the autumn and winter, and some OTUs were present in the meroplankton year-round. Annelids, molluscs, and echinoderms were dominant members of the Ross Sea meroplankton, showing similar prevalence to that seen at Signy (60 degrees 43'S) and Adelaide Islands (67 degrees 34.5'S). The use of the desalination plant primary filter allows plankton samples to be collected year-round, even in the High Antarctic with permanent sea-ice and 4 months of 24-h darkness.</t>
  </si>
  <si>
    <t>[Sewell, Mary A.; Jury, Jennifer A.] Univ Auckland, Sch Biol Sci, Auckland 1, New Zealand</t>
  </si>
  <si>
    <t>University of Auckland</t>
  </si>
  <si>
    <t>Sewell, MA (corresponding author), Univ Auckland, Sch Biol Sci, Auckland 1, New Zealand.</t>
  </si>
  <si>
    <t>m.sewell@auckland.ac.nz</t>
  </si>
  <si>
    <t>Sewell, Mary A/C-9017-2009</t>
  </si>
  <si>
    <t>Sewell, Mary A/0000-0002-1595-7951; Jury, Jennifer/0000-0001-5444-3008</t>
  </si>
  <si>
    <t>We thank L. Sanson, D. Peterson, and K. Rigalsford (Antarctica New Zealand) for approving staff-time for the collection of the seasonal samples and logistic support; the Scott Base engineers, Peter Wederall and Mark Hay, for collecting the samples; the University of Auckland for research funding; and M. Hauber, K. Ruggiero, M. Anderson, A. Clarke, and two anonymous reviewers for insightful comments that improved the manuscript.</t>
  </si>
  <si>
    <t>AMER SOC LIMNOLOGY OCEANOGRAPHY</t>
  </si>
  <si>
    <t>WACO</t>
  </si>
  <si>
    <t>5400 BOSQUE BLVD, STE 680, WACO, TX 76710-4446 USA</t>
  </si>
  <si>
    <t>10.4319/lo.2011.56.5.1667</t>
  </si>
  <si>
    <t>816MA</t>
  </si>
  <si>
    <t>WOS:000294603500009</t>
  </si>
  <si>
    <t>Konfirst, MA; Kuhn, G; Monien, D; Scherer, RP</t>
  </si>
  <si>
    <t>Konfirst, Matthew A.; Kuhn, Gerhard; Monien, Donata; Scherer, Reed P.</t>
  </si>
  <si>
    <t>Correlation of Early Pliocene diatomite to low amplitude Milankovitch cycles in the ANDRILL AND-1B drill core</t>
  </si>
  <si>
    <t>MARINE MICROPALEONTOLOGY</t>
  </si>
  <si>
    <t>ANDRILL MIS; Southern Ocean diatoms; Early Pliocene; Milankovitch cycles; Nearshore marine environments</t>
  </si>
  <si>
    <t>EUSTATIC SEA-LEVEL; MIDDLE PLIOCENE; ATLANTIC SECTOR; ICE; CLIMATE; BIOSTRATIGRAPHY; OCEAN</t>
  </si>
  <si>
    <t>In the austral summer of 2006/7 the ANDRILL MIS (ANtarctic geological DRILLing-McMurdo Ice Shelf) project recovered a 1285 m sediment core from beneath the Ross Ice Shelf near Ross Island, Antarctica in a flexural moat associated with volcanic loading. The upper similar to 600 m of this core contain sediments recording 38 glacial/interglacial cycles of Early Pliocene to Pleistocene time, including 13 discrete diatomite units (DUs). The longest of these, DU XI, is similar to 76 m-thick, and has been assigned an Early to Mid-Pliocene age (5-3 Ma). A detailed record of the siliceous microfossil assemblages in DU XI is used in conjunction with geochemical and sedimentological data to subdivide DU XI into four discrete subunits of continuous sedimentation. Within each subunit, changes in diatom assemblages have been correlated with the delta O-18 record, providing a temporal resolution up to 600 yr, and allowing for the construction of a detailed age model and calculation of associated sediment accumulation rates within DU XI. Results indicate a productivity-dominated sedimentary record with greater proportions of hemipelagic mud accumulating during relatively cool periods. This implies that even during periods of substantial warmth, Milankovitch-paced changes in Antarctic ice volume can be linked to ecological changes recorded in diatom assemblages. (C) 2011 Elsevier B.V. All rights reserved.</t>
  </si>
  <si>
    <t>[Konfirst, Matthew A.; Kuhn, Gerhard; Monien, Donata] Stiftung Alfred Wegener Inst Polar &amp; Meeresforsch, D-27568 Bremerhaven, Germany; [Scherer, Reed P.] No Illinois Univ, Dept Geol &amp; Environm Geosci, De Kalb, IL 60115 USA</t>
  </si>
  <si>
    <t>Helmholtz Association; Alfred Wegener Institute, Helmholtz Centre for Polar &amp; Marine Research; Northern Illinois University</t>
  </si>
  <si>
    <t>Konfirst, MA (corresponding author), Stiftung Alfred Wegener Inst Polar &amp; Meeresforsch, Alten Hafen 26, D-27568 Bremerhaven, Germany.</t>
  </si>
  <si>
    <t>mk@mattkonfirst.com</t>
  </si>
  <si>
    <t>Kuhn, Gerhard/0000-0001-6069-7485</t>
  </si>
  <si>
    <t>Raytheon Polar Services Corporation; ANDRILL Science Management Office at the University of Nebraska-Lincoln; US National Science Foundation; New Zealand Foundation for Research Science and Technology; Royal Society of New Zealand; Italian Antarctic Research Program; German Research Foundation [KU 683/8]; Alfred Wegener Institute for Polar and Marine Research; Fulbright Research Grant</t>
  </si>
  <si>
    <t>Raytheon Polar Services Corporation; ANDRILL Science Management Office at the University of Nebraska-Lincoln; US National Science Foundation(National Science Foundation (NSF)); New Zealand Foundation for Research Science and Technology(New Zealand Foundation for Research, Science and Technology); Royal Society of New Zealand(Royal Society of New Zealand); Italian Antarctic Research Program; German Research Foundation(German Research Foundation (DFG)); Alfred Wegener Institute for Polar and Marine Research; Fulbright Research Grant</t>
  </si>
  <si>
    <t>The ANDRILL project is a multinational collaboration between the Antarctic programs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The scientific studies are jointly supported by the US National Science Foundation, the New Zealand Foundation for Research Science and Technology and the Royal Society of New Zealand Marsden Fund, the Italian Antarctic Research Program, the German Research Foundation (project KU 683/8) and the Alfred Wegener Institute for Polar and Marine Research. Special thanks to Andy Mclean for his help in sample preparation and Diane Winter for her support and insight during the data generation phase. Additional funding for this project was provided by a Fulbright Research Grant, which was carried out at the Alfred Wegener Institute for Polar and Marine Research. Many thanks to Catherine Stickley and Andrey Gladenkov for their comments and input, which helped make this a better manuscript.</t>
  </si>
  <si>
    <t>0377-8398</t>
  </si>
  <si>
    <t>1872-6186</t>
  </si>
  <si>
    <t>MAR MICROPALEONTOL</t>
  </si>
  <si>
    <t>Mar. Micropaleontol.</t>
  </si>
  <si>
    <t>10.1016/j.marmicro.2011.06.005</t>
  </si>
  <si>
    <t>816GL</t>
  </si>
  <si>
    <t>WOS:000294586600006</t>
  </si>
  <si>
    <t>Pant, V; Siingh, D; Kamra, AK</t>
  </si>
  <si>
    <t>Pant, Vimlesh; Siingh, Devendraa; Kamra, A. K.</t>
  </si>
  <si>
    <t>Size distribution of atmospheric aerosols at Maitri, Antarctica</t>
  </si>
  <si>
    <t>Antarctic aerosols; Aerosol size distribution; Nucleation mode particles; Marine aerosols</t>
  </si>
  <si>
    <t>SEA-SALT PARTICLES; CONDENSATION NUCLEI; PHYSICAL-PROPERTIES; PALMER STATION; COASTAL; SULFUR; CHEMISTRY; METHANESULFONATE; CONSTITUENTS; TROPOSPHERE</t>
  </si>
  <si>
    <t>Measurements of the concentration and size distribution of the atmospheric aerosol particle in the size range of 0.003-20 mu m diameter have been made at Maitri (70 degrees 45'52 '' S. 11 degrees 44'03 '' E) during January, February, 2005. The measured particle size ranges extended from 0.5 to 20 mu m throughout the period, from 0.016 to 0.7 mu m in January and 0.01 to 0.4 mu m in February. For short intervals of time, comprising a total period of 210 h, the measurements were made for particles in the size range of 0.003-0.16 mu m. Total particle number concentrations of coarse and fine particles vary from 0.1 to 0.8 and from 100 to 2000 particles cm(-3), respectively. The fine particle concentration undergoes a diurnal variation with values remaining low (300-400 cm(-3)) during low sun periods and increasing up to similar to 750 cm(-3) at noontime. the monthly-averaged number size distributions show maxima in accumulation mode at 0.772 +/- 0.023 mu m, Aitken mode at 0.089 +/- 0.005 mu m in January which shifts to 0.03 +/- 0.003 mu m in February, and in nucleation mode at 0.018 +/- 0.002 mu m. The hourly-averaged curves can have one mode each in coarse, accumulation, and nucleation size ranges, and two modes in Aitken size range of particles. Total number concentration of particles in coarse mode is higher in oceanic than in continental air masses. Further, while the oceanic air masses have nucleation mode at 0.01 mu m and Aitken mode at 0.024 mu m, continental air masses have nucleation mode at 0.017 mu m. Intermixing of the two air masses at coastal site results in multi-modal size distributions. It is inferred that while in continental air masses the nucleation mode particles are aged, in oceanic air masses these are likely to be transported from the upper troposphere under subsidence of cyclonic storms revolving around the continent of Antartica. (C) 2011 Elsevier Ltd. All rights reserved.</t>
  </si>
  <si>
    <t>[Pant, Vimlesh; Siingh, Devendraa; Kamra, A. K.] Indian Inst Trop Meteorol, Pune, Maharashtra, India</t>
  </si>
  <si>
    <t>Siingh, D (corresponding author), Indian Inst Trop Meteorol, Pune, Maharashtra, India.</t>
  </si>
  <si>
    <t>devendraasiingh@tropmet.res.in</t>
  </si>
  <si>
    <t>Siingh, Dr Devendraa/ABF-2491-2021</t>
  </si>
  <si>
    <t>Siingh, Dr Devendraa/0000-0003-3044-596X; Siingh, Devendraa Siingh/0000-0002-1716-3688; Pant, Vimlesh/0000-0002-9564-8605</t>
  </si>
  <si>
    <t>INSA</t>
  </si>
  <si>
    <t>Authors express their gratitude to the National Centre for Antarctic and Ocean Research, Goa for participation in the 24th Indian Scientific Expedition to Antarctica. The meteorological data provided by the India Meteorological Department is thankfully acknowledged. The authors gratefully acknowledge the NOAA Air Resources Laboratory (ARL) for the provision of the HYSPLIT transport and dispersion model and READY website (http://www.arl.noaa.gov/ready.html) used in this publication. One of us (AKK) acknowledge the support under INSA Senior Scientist Programme.</t>
  </si>
  <si>
    <t>10.1016/j.atmosenv.2011.06.028</t>
  </si>
  <si>
    <t>809XY</t>
  </si>
  <si>
    <t>WOS:000294091200008</t>
  </si>
  <si>
    <t>Goelzer, H; Huybrechts, P; Loutre, MF; Goosse, H; Fichefet, T; Mouchet, A</t>
  </si>
  <si>
    <t>Goelzer, H.; Huybrechts, P.; Loutre, M. F.; Goosse, H.; Fichefet, T.; Mouchet, A.</t>
  </si>
  <si>
    <t>Impact of Greenland and Antarctic ice sheet interactions on climate sensitivity</t>
  </si>
  <si>
    <t>Ice sheets; Climate sensitivity; EMIC; Ensemble; Ice-climate interactions</t>
  </si>
  <si>
    <t>EARTH SYSTEM MODEL; THERMOHALINE CIRCULATION; PARAMETERIZATION; 21ST-CENTURY</t>
  </si>
  <si>
    <t>We use the Earth system model of intermediate complexity LOVECLIM to show the effect of coupling interactive ice sheets on the climate sensitivity of the model on a millennial time scale. We compare the response to a 2xCO(2) warming scenario between fully coupled model versions including interactive Greenland and Antarctic ice sheet models and model versions with fixed ice sheets. For this purpose an ensemble of different parameter sets have been defined for LOVECLIM, covering a wide range of the model's sensitivity to greenhouse warming, while still simulating the present-day climate and the climate evolution over the last millennium within observational uncertainties. Additional freshwater fluxes from the melting ice sheets have a mitigating effect on the model's temperature response, leading to generally lower climate sensitivities of the fully coupled model versions. The mitigation is effectuated by changes in heat exchange within the ocean and at the sea-air interface, driven by freshening of the surface ocean and amplified by sea-ice-related feedbacks. The strength of the effect depends on the response of the ice sheets to the warming and on the model's climate sensitivity itself. The effect is relatively strong in model versions with higher climate sensitivity due to the relatively large polar amplification of LOVECLIM. With the ensemble approach in this study we cover a wide range of possible model responses.</t>
  </si>
  <si>
    <t>[Goelzer, H.; Huybrechts, P.] Vrije Univ Brussel, Dept Geog, Brussels, Belgium; [Loutre, M. F.; Goosse, H.; Fichefet, T.] Catholic Univ Louvain, Earth &amp; Life Inst, Georges Lemaitre Ctr Earth &amp; Climate Res TECLIM, B-1348 Louvain, Belgium; [Mouchet, A.] Univ Liege, Lab Phys Atmospher &amp; Planetaire, Liege, Belgium</t>
  </si>
  <si>
    <t>Vrije Universiteit Brussel; Universite Catholique Louvain; University of Liege</t>
  </si>
  <si>
    <t>Goelzer, H (corresponding author), Vrije Univ Brussel, Dept Geog, Brussels, Belgium.</t>
  </si>
  <si>
    <t>heiko.goelzer@vub.ac.be</t>
  </si>
  <si>
    <t>Goelzer, Heiko/M-2367-2016; Huybrechts, Philippe/J-5278-2013; Mouchet, Anne/K-1911-2014; Loutre, Marie-France/L-3594-2018</t>
  </si>
  <si>
    <t>Goelzer, Heiko/0000-0002-5878-9599; Huybrechts, Philippe/0000-0003-1406-0525; Mouchet, Anne/0000-0002-8846-3063; Loutre, Marie-France/0000-0001-6944-4038</t>
  </si>
  <si>
    <t>Belgian Federal Public Planning Service [SD/CS/01]</t>
  </si>
  <si>
    <t>Belgian Federal Public Planning Service</t>
  </si>
  <si>
    <t>We acknowledge support through the Belgian Federal Public Planning Service Science Policy Research Programme on Science for a Sustainable Development under Contract SD/CS/01. H. Goosse is Research Associate with the Fonds National de la Recherche Scientifique (FNRS-Belgium).</t>
  </si>
  <si>
    <t>10.1007/s00382-010-0885-0</t>
  </si>
  <si>
    <t>814ZU</t>
  </si>
  <si>
    <t>WOS:000294496700011</t>
  </si>
  <si>
    <t>Wang, L; Yu, J</t>
  </si>
  <si>
    <t>Wang, Lei; Yu, Jaehyung</t>
  </si>
  <si>
    <t>Spatiotemporal Segmentation of Spaceborne Passive Microwave Data for Change Detection</t>
  </si>
  <si>
    <t>IEEE GEOSCIENCE AND REMOTE SENSING LETTERS</t>
  </si>
  <si>
    <t>Passive microwave (PM) data; segmentation; snowmelt of Antarctica; spatiotemporal data</t>
  </si>
  <si>
    <t>DURATION; EXTENT</t>
  </si>
  <si>
    <t>Highly repetitive global-scale remote sensing systems, such as the Special Sensor Microwave/Imager (SSM/I), provide essential tools for monitoring changes on the Earth's surface. This letter presents a time-series segmentation and classification method to identify surface changes and to estimate the duration (days) for the changes using daily SSM/I observations. The method was developed based on a bottom-up segmentation algorithm for time-series data. The attributes of the linear segments provide the basis for understanding and classifying the surface changes. In the application examples, we calculated the number of surface snowmelt days at various locations on the Antarctic Ice Sheet by classifying the segmented time series of SSM/I brightness temperature observations. It is demonstrated that this novel method is robust to the data noise and efficient for processing large volume of spatially and temporally continuous remote sensing data for environmental monitoring.</t>
  </si>
  <si>
    <t>[Wang, Lei] Louisiana State Univ, Dept Geog &amp; Anthropol, Baton Rouge, LA 70803 USA; [Yu, Jaehyung] Texas A&amp;M Univ, Dept Phys &amp; Geosci, Kingsville, TX 78363 USA</t>
  </si>
  <si>
    <t>Louisiana State University System; Louisiana State University; Texas A&amp;M University System; Texas A&amp;M University Kingsville</t>
  </si>
  <si>
    <t>Wang, L (corresponding author), Louisiana State Univ, Dept Geog &amp; Anthropol, Baton Rouge, LA 70803 USA.</t>
  </si>
  <si>
    <t>leiwang@lsu.edu; jaehyung.yu@tamuk.edu</t>
  </si>
  <si>
    <t>1545-598X</t>
  </si>
  <si>
    <t>1558-0571</t>
  </si>
  <si>
    <t>IEEE GEOSCI REMOTE S</t>
  </si>
  <si>
    <t>IEEE Geosci. Remote Sens. Lett.</t>
  </si>
  <si>
    <t>10.1109/LGRS.2011.2140312</t>
  </si>
  <si>
    <t>815RY</t>
  </si>
  <si>
    <t>WOS:000294546900015</t>
  </si>
  <si>
    <t>De Laeter, J</t>
  </si>
  <si>
    <t>De Laeter, John</t>
  </si>
  <si>
    <t>THE ROSETTA STONE OF ISOTOPE SCIENCE AND THE URANIUM/LEAD SYSTEM</t>
  </si>
  <si>
    <t>MASS SPECTROMETRY REVIEWS</t>
  </si>
  <si>
    <t>coral ages; geochronology; isotope fingerprints; mass spectrometry; nuclear fission; thermochronology</t>
  </si>
  <si>
    <t>MASS-SPECTROMETRY; ANTHROPOGENIC LEAD; ATMOSPHERIC LEAD; SOURCE SIGNATURES; GREENLAND SNOWS; GEOLOGICAL TIME; ANTARCTIC SNOW; COMMON LEAD; ICP-MS; AGE</t>
  </si>
  <si>
    <t>The nucleosynthetic characteristics of U and Pb, together with the interconnectivity between these elements by two radioactive decay chains, are the foundation on which the U/Pb system was able to make a unique contribution to isotope science. The Rosetta Stone is an ancient Egyptian tablet that enabled previously indecipherable hieroglyphics to be translated. In a similar manner, the isotopic investigation of the U/Pb system, by a variety of mass spectrometric instrumentation, has led to our knowledge of the age of the Earth and contributed to thermochronology. In a similar manner, climate change information has been garnered by utilizing the U-Disequilibrium Series to measure the ages of marine archives. The impact of Pb in the environment has been demonstrated in human health, particularly at the peak of leaded petrol consumption in motor vehicles in the 1970s. Variations in the isotopic composition of lead in samples enable the source of the lead to be fingerprinted so as to trace the history of the Pb in ice cores and aerosols. The discovery of nuclear fission of U-235 led to the development of nuclear reactors and the isotopic investigation of the Oklo natural reactors. The mass spectrometer is the modern Rosetta Stone of isotope science, which has enabled the isotopic hieroglyphics of the U/Pb system to be investigated to reveal new horizons in our understanding of nature, and to address a number of societal and environmental problems. (C) 2010 Wiley Periodicals, Inc., Mass Spec Rev 30: 757-771, 2011</t>
  </si>
  <si>
    <t>Curtin Univ Technol, Dept Appl Phys, Perth, WA 6845, Australia</t>
  </si>
  <si>
    <t>Curtin University</t>
  </si>
  <si>
    <t>De Laeter, J (corresponding author), Curtin Univ Technol, Dept Appl Phys, GPO Box U1987, Perth, WA 6845, Australia.</t>
  </si>
  <si>
    <t>j.delaeter@curtin.edu.au</t>
  </si>
  <si>
    <t>Australian Research Council; Government of Western Australia</t>
  </si>
  <si>
    <t>Australian Research Council(Australian Research Council); Government of Western Australia</t>
  </si>
  <si>
    <t>Contract grant sponsor: Australian Research Council; Contract grant sponsor: Government of Western Australia.</t>
  </si>
  <si>
    <t>0277-7037</t>
  </si>
  <si>
    <t>1098-2787</t>
  </si>
  <si>
    <t>MASS SPECTROM REV</t>
  </si>
  <si>
    <t>Mass Spectrom. Rev.</t>
  </si>
  <si>
    <t>10.1002/mas.20300</t>
  </si>
  <si>
    <t>812DW</t>
  </si>
  <si>
    <t>WOS:000294269000003</t>
  </si>
  <si>
    <t>Nott, GJ; Duck, TJ</t>
  </si>
  <si>
    <t>Nott, Graeme J.; Duck, Thomas J.</t>
  </si>
  <si>
    <t>Lidar studies of the polar troposphere</t>
  </si>
  <si>
    <t>METEOROLOGICAL APPLICATIONS</t>
  </si>
  <si>
    <t>Arctic; Antarctic; aerosols; clouds; water vapour; ozone</t>
  </si>
  <si>
    <t>MIXED-PHASE CLOUDS; ATMOSPHERIC ICE CRYSTALS; WATER-VAPOR MEASUREMENTS; SURFACE HEAT-BUDGET; ARCTIC HAZE; OPTICAL-PROPERTIES; BOUNDARY-LAYER; SOUTH-POLE; STRATOSPHERIC AEROSOL; VERTICAL-DISTRIBUTION</t>
  </si>
  <si>
    <t>The lidar is a widely-used remote sensing tool for measurements of tropospheric constituents and processes. Despite considerable operational challenges, lidars have been deployed in the polar regions to study the unique characteristics of the high-latitude atmosphere. The relevant technologies and techniques used for profiling the polar troposphere are reviewed. Lidars and their measurements are described, from the first single-wavelength lidar aircraft campaign to today's multiple-wavelength, multiple-data product systems and satellite-borne lidars providing large-area polar coverage. Significant advancements in our understanding of tropospheric aerosols, clouds, structure, and trace gases in both the Antarctic and Arctic have been made possible through the use of lidars and these will be discussed. Copyright (C) 2011 Royal Meteorological Society</t>
  </si>
  <si>
    <t>[Nott, Graeme J.; Duck, Thomas J.] Dalhousie Univ, Dept Phys &amp; Atmospher Sci, 1459 Oxford St, Halifax, NS B3H 4R2, Canada</t>
  </si>
  <si>
    <t>Dalhousie University</t>
  </si>
  <si>
    <t>Nott, GJ (corresponding author), Dalhousie Univ, Dept Phys &amp; Atmospher Sci, 1459 Oxford St, Halifax, NS B3H 4R2, Canada.</t>
  </si>
  <si>
    <t>graeme.nott@dal.ca</t>
  </si>
  <si>
    <t>Canadian Network for the Detection of Atmospheric Change (CANDAC)</t>
  </si>
  <si>
    <t>C. Ritter and R. Neuber very kindly shared some of the challenges of operating in the Arctic. The authors thank G. Lesins, N. T. O'Neill, J. R. Pierce, and two referees for valuable feedback on the manuscript. GJN acknowledges the financial support of the Canadian Network for the Detection of Atmospheric Change (CANDAC).</t>
  </si>
  <si>
    <t>1350-4827</t>
  </si>
  <si>
    <t>1469-8080</t>
  </si>
  <si>
    <t>METEOROL APPL</t>
  </si>
  <si>
    <t>Meteorol. Appl.</t>
  </si>
  <si>
    <t>10.1002/met.289</t>
  </si>
  <si>
    <t>813WN</t>
  </si>
  <si>
    <t>WOS:000294401000011</t>
  </si>
  <si>
    <t>Sun, JQ; Ahn, JB</t>
  </si>
  <si>
    <t>Sun Jianqi; Ahn, Joong Bae</t>
  </si>
  <si>
    <t>A GCM-based forecasting model for the landfall of tropical cyclones in China</t>
  </si>
  <si>
    <t>ADVANCES IN ATMOSPHERIC SCIENCES</t>
  </si>
  <si>
    <t>statistical-dynamical model; cyclone forecast; tropical cyclone; coupled model; cross validation</t>
  </si>
  <si>
    <t>WESTERN NORTH PACIFIC; ASIAN SUMMER MONSOON; INTERDECADAL VARIABILITY; ANTARCTIC OSCILLATION; TYPHOON FREQUENCY; PREDICTION; PATTERNS</t>
  </si>
  <si>
    <t>A statistical dynamic model for forecasting Chinese landfall of tropical cyclones (CLTCs) was developed based on the empirical relationship between the observed CLTC variability and the hindcast atmospheric circulations from the Pusan National University coupled general circulation model (PNU-CGCM). In the last 31 years, CLTCs have shown strong year-to-year variability, with a maximum frequency in 1994 and a minimum frequency in 1987. Such features were well forecasted by the model. A cross-validation test showed that the correlation between the observed index and the forecasted CLTC index was high, with a coefficient of 0.71. The relative error percentage (16.3%) and root-mean-square error (1.07) were low. Therefore the coupled model performs well in terms of forecasting CLTCs; the model has potential for dynamic forecasting of landfall of tropical cyclones.</t>
  </si>
  <si>
    <t>[Sun Jianqi] Chinese Acad Sci, Inst Atmospher Phys, Nansen Zhu Int Res Ctr, Beijing 100029, Peoples R China; [Sun Jianqi; Ahn, Joong Bae] Pusan Natl Univ, Div Earth Environm Syst, Pusan 609735, South Korea</t>
  </si>
  <si>
    <t>Chinese Academy of Sciences; Institute of Atmospheric Physics, CAS; Pusan National University</t>
  </si>
  <si>
    <t>Sun, JQ (corresponding author), Chinese Acad Sci, Inst Atmospher Phys, Nansen Zhu Int Res Ctr, Beijing 100029, Peoples R China.</t>
  </si>
  <si>
    <t>Sun, Jianqi/A-7084-2016</t>
  </si>
  <si>
    <t>Chinese Academy of Sciences [KZCX2-YW-Q03-3]; Korea Meteorological Administration Research and Development Program [CATER 2009-1147]; Korea Rural Development Administration Research and Development Program; National Basic Research Program of China [2009CB421406]</t>
  </si>
  <si>
    <t>Chinese Academy of Sciences(Chinese Academy of Sciences); Korea Meteorological Administration Research and Development Program(Korea Meteorological Administration (KMA)); Korea Rural Development Administration Research and Development Program; National Basic Research Program of China(National Basic Research Program of China)</t>
  </si>
  <si>
    <t>This work was jointly supported by the Chinese Academy of Sciences key program (Grant No. KZCX2-YW-Q03-3), the Korea Meteorological Administration Research and Development Program (Grant No. CATER 2009-1147), the Korea Rural Development Administration Research and Development Program, and the National Basic Research Program of China (Grant No. 2009CB421406).</t>
  </si>
  <si>
    <t>0256-1530</t>
  </si>
  <si>
    <t>1861-9533</t>
  </si>
  <si>
    <t>ADV ATMOS SCI</t>
  </si>
  <si>
    <t>Adv. Atmos. Sci.</t>
  </si>
  <si>
    <t>10.1007/s00376-011-0122-8</t>
  </si>
  <si>
    <t>809PI</t>
  </si>
  <si>
    <t>WOS:000294068800007</t>
  </si>
  <si>
    <t>Arróniz-Crespo, M; Gwynn-Jones, D; Callaghan, TV; Núñez-Olivera, E; Martínez-Abaigar, J; Horton, P; Phoenix, GK</t>
  </si>
  <si>
    <t>Arroniz-Crespo, M.; Gwynn-Jones, D.; Callaghan, T. V.; Nunez-Olivera, E.; Martinez-Abaigar, J.; Horton, P.; Phoenix, G. K.</t>
  </si>
  <si>
    <t>Impacts of long-term enhanced UV-B radiation on bryophytes in two sub-Arctic heathland sites of contrasting water availability</t>
  </si>
  <si>
    <t>ANNALS OF BOTANY</t>
  </si>
  <si>
    <t>Enhanced long-term UV-B; water availability; sub-Arctic bryophytes; xanthophylls; chlorophyll fluorescence; sporophytes</t>
  </si>
  <si>
    <t>STRATOSPHERIC OZONE DEPLETION; ULTRAVIOLET-RADIATION; ANTARCTIC MOSS; HYLOCOMIUM-SPLENDENS; PIGMENT COMPOSITION; AQUATIC BRYOPHYTES; PHOTOSYNTHESIS; RESPONSES; PLANTS; PROTECTION</t>
  </si>
  <si>
    <t>Background and Aims Anthropogenic depletion of stratospheric ozone in Arctic latitudes has resulted in an increase of ultraviolet-B radiation (UV-B) reaching the biosphere. UV-B exposure is known to reduce above-ground biomass and plant height, to increase DNA damage and cause accumulation of UV-absorbing compounds in polar plants. However, many studies on Arctic mosses tended to be inconclusive. The importance of different water availability in influencing UV-B impacts on lower plants in the Arctic has been poorly explored and might partially explain the observed wide variation of responses, given the importance of water in controlling bryophyte physiology. This study aimed to assess the long-term responses of three common sub-Arctic bryophytes to enhanced UV-B radiation (+ UV-B) and to elucidate the influence of water supply on those responses. Methods Responses of three sub-Arctic bryophytes (the mosses Hylocomium splendens and Polytrichum commune and the liverwort Barbilophozia lycopodioides) to + UV-B for 15 and 13 years were studied in two field experiments using lamps for UV-B enhancement with identical design and located in neighbouring areas with contrasting water availability (naturally mesic and drier sites). Responses evaluated included bryophyte abundance, growth, sporophyte production and sclerophylly; cellular protection by accumulation of UV-absorbing compounds, beta-carotene, xanthophylls and development of non-photochemical quenching (NPQ); and impacts on photosynthesis performance by maximum quantum yield (F-v/F-m) and electron transport rate (ETR) through photosystem II (PSII) and chlorophyll concentrations. Results Responses were species specific: H. splendens responded most to + UV-B, with reduction in both annual growth (-22%) and sporophyte production (-44%), together with increased beta-carotene, violaxanthin, total chlorophyll and NPQ, and decreased zeaxanthin and de-epoxidation of the xanthophyll cycle pool (DES). Barbilophozia lycopodioides responded less to + UV-B, showing increased beta-carotene and sclerophylly and decreased UV-absorbing compounds. Polytrichum commune only showed small morphogenetic changes. No effect of UV-B on bryophyte cover was observed. Water availability had profound effects on bryophyte ecophysiology, and plants showed, in general, lower growth and ETR, together with a higher photoprotection in the drier site. Water availability also influenced bryophyte responses to + UV-B and, in particular, responses were less detectable in the drier site. Conclusions Impacts of UV-B exposure on Arctic bryophytes were significant, in contrast to modest or absent UV-B effects measured in previous studies. The impacts were more easily detectable in species with high plasticity such as H. splendens and less obvious, or more subtle, under drier conditions. Species biology and water supply greatly influences the impact of UV-B on at least some Arctic bryophytes and could contribute to the wide variation of responses observed previously.</t>
  </si>
  <si>
    <t>[Arroniz-Crespo, M.; Callaghan, T. V.; Phoenix, G. K.] Univ Sheffield, Dept Anim &amp; Plant Sci, Sheffield S10 2TN, S Yorkshire, England; [Gwynn-Jones, D.] Univ Wales, Inst Biol Environm &amp; Rural Sci, Aberystwyth SY23 3DA, Dyfed, Wales; [Callaghan, T. V.] Royal Swedish Acad Sci, SE-11418 Stockholm, Sweden; [Nunez-Olivera, E.; Martinez-Abaigar, J.] Univ La Rioja, Logrono 26006, La Rioja, Spain; [Horton, P.] Univ Sheffield, Dept Mol Biol &amp; Biotechnol, Sheffield S10 2TN, S Yorkshire, England</t>
  </si>
  <si>
    <t>University of Sheffield; UK Research &amp; Innovation (UKRI); Biotechnology and Biological Sciences Research Council (BBSRC); Institute of Biological, Environmental, Rural &amp; Sciences (IBERS); Aberystwyth University; Royal Swedish Academy of Sciences; Universidad de La Rioja; University of Sheffield</t>
  </si>
  <si>
    <t>Arróniz-Crespo, M (corresponding author), Univ Complutense Madrid, Fac Farm, Dept Biol Vegetal 2, E-28040 Madrid, Spain.</t>
  </si>
  <si>
    <t>maria.arroniz@gmail.com</t>
  </si>
  <si>
    <t>Arróniz-Crespo, María/O-1198-2018; Martinez-Abaigar, Javier/L-7000-2014; Callaghan, Terens V./N-7640-2014; Nunez-Olivera, Encarnacion/L-7164-2014; Horton, Peter/A-3958-2012</t>
  </si>
  <si>
    <t>Arróniz-Crespo, María/0000-0003-0246-7432; Martinez-Abaigar, Javier/0000-0002-9762-9862; Nunez-Olivera, Encarnacion/0000-0002-7221-3852; Horton, Peter/0000-0002-6095-1460; Phoenix, Gareth/0000-0002-0911-8107</t>
  </si>
  <si>
    <t>Royal Society UK [2006/R1]; Swedish Environmental Protection Agency; Royal Swedish Academy of Sciences; EU [EV5V-CT910032]; Ministerio de Educacion y Ciencia of Spain; Abisko Scientific Research Station; RCUK academic fellowship; Ministerio de Ciencia e Innovacion of Spain [CGL2008-04450]</t>
  </si>
  <si>
    <t>Royal Society UK(Royal Society); Swedish Environmental Protection Agency; Royal Swedish Academy of Sciences; EU(European Union (EU)); Ministerio de Educacion y Ciencia of Spain(Spanish Government); Abisko Scientific Research Station; RCUK academic fellowship(UK Research &amp; Innovation (UKRI)); Ministerio de Ciencia e Innovacion of Spain(Spanish Government)</t>
  </si>
  <si>
    <t>This work was funded by the Royal Society UK (Research Grant 2006/R1). Long-term funding for the experiments has been provided by the Swedish Environmental Protection Agency, the Royal Swedish Academy of Sciences and the EU (UVECOS: contract EV5V-CT910032). M. A.-C. benefited from a postdoctoral grant from the Ministerio de Educacion y Ciencia of Spain and an ATANS grant from the Abisko Scientific Research Station. G. K. P. was funded by an RCUK academic fellowship. E.N.O., J.M.A. and M. A.-C. are grateful to the Ministerio de Ciencia e Innovacion of Spain (Project CGL2008-04450) for financial support. T. G. A. Green provided helpful comments on the manuscript. We are indebted to L. O. Bjorn and M. Sonesson who, together with T. V. Callaghan, were PIs on the 1991 experiment, and also to J. A. Lee, PI on the 1993 experiment. We thank staff at the Abisko Scientific Research Station for help and support.</t>
  </si>
  <si>
    <t>0305-7364</t>
  </si>
  <si>
    <t>1095-8290</t>
  </si>
  <si>
    <t>ANN BOT-LONDON</t>
  </si>
  <si>
    <t>Ann. Bot.</t>
  </si>
  <si>
    <t>10.1093/aob/mcr178</t>
  </si>
  <si>
    <t>809OQ</t>
  </si>
  <si>
    <t>WOS:000294067000015</t>
  </si>
  <si>
    <t>Yang, G; Li, CL; Sun, S</t>
  </si>
  <si>
    <t>Yang Guang; Li Chaolun; Sun Song</t>
  </si>
  <si>
    <t>Population dynamics of four dominant copepods in Prydz Bay, Antarctica, during austral summer from 1999 to 2006</t>
  </si>
  <si>
    <t>copepods; population structure; inter-annual variations; Prydz Bay; Southern Ocean</t>
  </si>
  <si>
    <t>LIFE-CYCLE STRATEGIES; WESTERN WEDDELL SEA; COMMUNITY STRUCTURE; RHINCALANUS-GIGAS; SOUTHERN-OCEAN; ROSS SEA; MESOSCALE DISTRIBUTION; CALANOIDES-ACUTUS; ICE-EDGE; ZOOPLANKTON COMMUNITY</t>
  </si>
  <si>
    <t>Population dynamics of four dominant Antarctic copepods, Calanoides acutus, Calanus propinquus, Metridia gerlachei and Rhincalanus gigas were studied based on zooplankton samples collected in the Prydz Bay during austral summer from 1999 to 2006. We found that C. acutus was the most abundant species among these four copepods, followed by C. propinquus, M. gerlachei and R. gigas. R. gigas occurred mainly in the warmer oceanic regions and showed distribution patterns discrete from the other three species, whose distribution in the whole survey area overlapped. By December 15(th) (about one month before our sampling) of the years 1999, 2003 and 2006, sea ice retreated earlier and polynyas existed in the neritic region one month before sampling. These periods were characterized by numerical dominance of C. acutus, C. propinquus and M. gerlachei, elevated proportions of Copepodite I and Copepodite II stages especially in the neritic region. While for the years 2000, 2002, and 2005, the ice edge located more northerly and polynyas did not exist in the neritic region, the copepods abundance was lower, indicating poor recruitment. Population structure of R. gigas was mainly composed of advanced stages Copepodite V and female during all cruises. Log(10) (x+1) transformed densities of C. acutus, C. propinquus and M. gerlachei showed positive correlation with temperature and chlorophyll a concentration, while mean population stages of these copopods were negatively correlated with these environmental variables. Younger copepodite stages of C. acutus, C. propinquus and M. gerlachei appeared more often in neritic regions. We confirmed that the polynyas had a great contribution to phytoplankton blooms, which promote copepods reproduction and recruitment success. The study suggested that population dynamics of the four copepods have good correspondence with sea ice and polynya variations during all cruises of the Prydz Bay.</t>
  </si>
  <si>
    <t>[Yang Guang; Li Chaolun; Sun Song] Chinese Acad Sci, Inst Oceanol, Key Lab Marine Ecol &amp; Environm Sci, Qingdao 266071, Peoples R China; [Yang Guang] Chinese Acad Sci, Grad Univ, Beijing 100049, Peoples R China; [Sun Song] Chinese Acad Sci, Inst Oceanol, Jiaozhou Bay Marine Ecosyst Res Stn, Qingdao 266071, Peoples R China</t>
  </si>
  <si>
    <t>Chinese Academy of Sciences; Institute of Oceanology, CAS; Chinese Academy of Sciences; University of Chinese Academy of Sciences, CAS; Chinese Academy of Sciences; Institute of Oceanology, CAS</t>
  </si>
  <si>
    <t>Li, CL (corresponding author), Chinese Acad Sci, Inst Oceanol, Key Lab Marine Ecol &amp; Environm Sci, Qingdao 266071, Peoples R China.</t>
  </si>
  <si>
    <t>lcl@qdio.ac.cn</t>
  </si>
  <si>
    <t>Li, Chao/GSM-8117-2022</t>
  </si>
  <si>
    <t>Li, Chao/0000-0001-6110-6210; Li, Chaolun/0000-0003-1890-0587</t>
  </si>
  <si>
    <t>National Key Technology Research and Development Program of China [2006BAB18B07]; National Natural Science Foundation of China [40821004]; National Polar Project of China [JDZX20110016]; China International Polar Year (IPY) Program</t>
  </si>
  <si>
    <t>National Key Technology Research and Development Program of China(National Key Technology R&amp;D ProgramNational High Technology Research and Development Program of China); National Natural Science Foundation of China(National Natural Science Foundation of China (NSFC)); National Polar Project of China; China International Polar Year (IPY) Program</t>
  </si>
  <si>
    <t>Supported by National Key Technology Research and Development Program of China (No. 2006BAB18B07), the National Natural Science Foundation of China (No. 40821004), National Polar Project of China (No. JDZX20110016), and the China International Polar Year (IPY) Program</t>
  </si>
  <si>
    <t>10.1007/s00343-011-0230-4</t>
  </si>
  <si>
    <t>804CU</t>
  </si>
  <si>
    <t>WOS:000293632500020</t>
  </si>
  <si>
    <t>Shen, JH; Kan, GF; Shi, CJ; Lei, ZH; Xie, QJ; Qian, WJ</t>
  </si>
  <si>
    <t>Shen Jihong; Kan Guangfeng; Shi Cuijuan; Lei Zhenhuan; Xie Qiuju; Qian Wenjia</t>
  </si>
  <si>
    <t>Purification and characterization of cold-active endo-1,4-β-glucanase produced by Pseudoalteromonas sp AN545 from Antarctica</t>
  </si>
  <si>
    <t>Pseudoalteromonas; endo-1,4-beta-glucanase; cold-active enzyme; Antarctic sea ice; stability</t>
  </si>
  <si>
    <t>CELLULASE; BACILLUS; ENDOGLUCANASE; PROTEIN</t>
  </si>
  <si>
    <t>A bacterium hydrolyzing carboxymethylcellulose, isolated from Antarctic sea ice, was identified as Pseudoalteromonas sp. based on 16S rDNA gene sequences and named as Pseudoalteromonas sp. AN545. The extracellular endo-1,4-beta-glucanase AN-1 was purified successively by ammonium sulfate precipitation, DEAE-Sepharose ion exchange chromatography and Sephadex G-75 gel filtration chromatography. The molecular mass of AN-1 was estimated to be 47.5 kDa utilizing SDS-PAGE and gel chromatography analysis. AN-1 could hydrolyze caboxymethylcellulose, avicel and beta-glucan, but not cellobiose, xylan and p-Nitrophenyl-beta-D-glucopyranoside. The optimal temperature and pH for the beta-glucanase activity of AN-1 were determined to be at 30A degrees C and pH 6.0, respectively. AN-1 was stable at acidic solutions of pH 5.0-6.5 and temperatures below 30A degrees C for 1 h. Moreover, the specific activity was enhanced by Ca2+ and Mg2+, and inhibited by Cu2+. The kinetic parameters Michaelis constant (K (m)) and maximum velocity (V (max)) of AN-1 were 3.96 mg/mL and 6.06x10(-2) mg/(min center dot mL), respectively.</t>
  </si>
  <si>
    <t>[Kan Guangfeng; Shi Cuijuan; Lei Zhenhuan; Xie Qiuju; Qian Wenjia] Harbin Inst Technol Weihai, Sch Ocean, Weihai 264209, Peoples R China; [Shen Jihong] State Ocean Adm, Key Lab Marine Bioact Subst, Qingdao 266061, Peoples R China</t>
  </si>
  <si>
    <t>Kan, GF (corresponding author), Harbin Inst Technol Weihai, Sch Ocean, Weihai 264209, Peoples R China.</t>
  </si>
  <si>
    <t>National High Technology Research and Development Program of China (863 Program) [2007AA091905]; Natural Science Foundation of Shandong Province [ZR2010DQ010]; Fundamental Research Funds for the Central Universities [HIT. IBRSEM.2009148]</t>
  </si>
  <si>
    <t>National High Technology Research and Development Program of China (863 Program)(National High Technology Research and Development Program of China); Natural Science Foundation of Shandong Province(Natural Science Foundation of Shandong Province); Fundamental Research Funds for the Central Universities(Fundamental Research Funds for the Central Universities)</t>
  </si>
  <si>
    <t>Supported by the National High Technology Research and Development Program of China (863 Program) (No. 2007AA091905), the Natural Science Foundation of Shandong Province (No. ZR2010DQ010), and the Fundamental Research Funds for the Central Universities (No. HIT. IBRSEM.2009148)</t>
  </si>
  <si>
    <t>10.1007/s00343-011-0311-4</t>
  </si>
  <si>
    <t>WOS:000293632500022</t>
  </si>
  <si>
    <t>Hawes, I; Sumner, DY; Andersen, DT; Mackey, TJ</t>
  </si>
  <si>
    <t>Hawes, I.; Sumner, D. Y.; Andersen, D. T.; Mackey, T. J.</t>
  </si>
  <si>
    <t>Legacies of recent environmental change in the benthic communities of Lake Joyce, a perennially ice-covered Antarctic lake</t>
  </si>
  <si>
    <t>GEOBIOLOGY</t>
  </si>
  <si>
    <t>DRY VALLEY LAKES; MICROBIAL MATS; SPECIES COMPOSITION; CLIMATE-CHANGE; TAYLOR VALLEY; HOARE; EVOLUTION; ECOSYSTEM; PHOTOSYNTHESIS; LITHIFICATION</t>
  </si>
  <si>
    <t>Many Antarctic lakes provide habitat for extensive microbial mats that respond on various timescales to environmental change. Lake Joyce contains calcifying microbialites and provides a natural laboratory to constrain how environmental changes influence microbialite development. In Lake Joyce, depth-specific distributions of calcitic microbialites, organic carbon, photosynthetic pigments and photosynthetic potential cannot be explained by current growth conditions, but are a legacy of a 7-m lake level rise between 1973 and 2009. In the well-illuminated margins of the lake, photosynthetically active benthic communities colonised surfaces submerged for just a few years. However, observed increases in accumulated organic material with depth from 5 to 20 m (2-40 mg ash-free dry weight cm(-2)) and the presence of decimetre-scale calcite microbialites at 20-22 m depth, apparently related to in situ photosynthetic growth, are inconsistent with the current distributions of irradiance, photosynthetic pigments and mat photosynthetic potential (as revealed by pulse-amplitude-modulated fluorometry). The microbialites appeared photosynthetically active in 1986 and 1997, but were outside the depth zone where significant phototrophic growth was possible and were weakly photosynthetically competent in 2009. These complex microbial structures have persisted after growth has ceased, demonstrating how fluctuating environmental conditions and the hysteresis between environmental change, biological response and microbialite development can be important factors to consider when interpreting modern, and by inference ancient, microbially mediated structures.</t>
  </si>
  <si>
    <t>[Hawes, I.] Univ Canterbury, Christchurch 1, New Zealand; [Sumner, D. Y.; Mackey, T. J.] Univ Calif Davis, Dept Geol, Davis, CA 95616 USA; [Andersen, D. T.] SETI Inst, Carl Sagan Ctr Study Life Universe, Mountain View, CA USA</t>
  </si>
  <si>
    <t>University of Canterbury; University of California System; University of California Davis</t>
  </si>
  <si>
    <t>Hawes, I (corresponding author), Univ Canterbury, Christchurch 1, New Zealand.</t>
  </si>
  <si>
    <t>Andersen, Dale T/B-4816-2013; Sumner, Dawn/E-8744-2011</t>
  </si>
  <si>
    <t>Andersen, Dale T/0000-0001-8827-1259; Mackey, Tyler/0000-0001-6377-3797; Sumner, Dawn/0000-0002-7343-2061; Hawes, Ian/0000-0003-2471-6903</t>
  </si>
  <si>
    <t>NASA [NNZ09AE77A]; New Zealand Foundation for Research, Science and Technology [C01X0306]</t>
  </si>
  <si>
    <t>NASA(National Aeronautics &amp; Space Administration (NASA)); New Zealand Foundation for Research, Science and Technology(New Zealand Foundation for Research, Science and Technology)</t>
  </si>
  <si>
    <t>This research was supported by NASA's Exobiology Programme (NNZ09AE77A) and the New Zealand Foundation for Research, Science and Technology (C01X0306). The US National Science Foundation Office of Polar Programmes provided logistic support. We thank all of our field colleagues for support throughout, Mark Gall and Chris Cunningham (NIWA, New Zealand) for assistance with HPLC and colleagues and reviewers for assistance with various stages of this manuscript.</t>
  </si>
  <si>
    <t>1472-4677</t>
  </si>
  <si>
    <t>1472-4669</t>
  </si>
  <si>
    <t>Geobiology</t>
  </si>
  <si>
    <t>10.1111/j.1472-4669.2011.00289.x</t>
  </si>
  <si>
    <t>Biology; Environmental Sciences; Geosciences, Multidisciplinary</t>
  </si>
  <si>
    <t>Life Sciences &amp; Biomedicine - Other Topics; Environmental Sciences &amp; Ecology; Geology</t>
  </si>
  <si>
    <t>810ZZ</t>
  </si>
  <si>
    <t>WOS:000294172100002</t>
  </si>
  <si>
    <t>Reusch, DN</t>
  </si>
  <si>
    <t>Reusch, Douglas N.</t>
  </si>
  <si>
    <t>New Caledonian carbon sinks at the onset of Antarctic glaciation</t>
  </si>
  <si>
    <t>EOCENE-OLIGOCENE TRANSITION; ORGANIC-CARBON; DIOXIDE CONCENTRATIONS; ATMOSPHERIC CO2; OCEAN; CLIMATE; PACIFIC; CYCLE; INITIATION; BURIAL</t>
  </si>
  <si>
    <t>During the latest Eocene, as Earth's climate transitioned from a greenhouse to an icehouse state, likely forced by declining atmospheric carbon dioxide pressure (pCO(2)), a large tract of basic and ultrabasic seafloor breached sea level in the New Caledonian region of the southwestern Pacific Ocean. A plausible mechanism for CO2 drawdown at this precise time, 35-34 Ma, invokes weathering of the seafloor rocks, composed of highly soluble Ca- and Mg-rich silicates, and related organic carbon burial. Carbon burial fluxes based on estimates of paleo-area, paleo-erosion rate, and paleo-sedimentation rate suggest a peak perturbation of 0.3-0.5 Emol (10(18) mol) m.y(.-1) This perturbation may have been sufficient to lower atmospheric pCO(2) similar to 100 ppmv, thus triggering growth of the East Antarctic ice sheet and a host of related environmental changes.</t>
  </si>
  <si>
    <t>Univ Maine, Dept Geol, Farmington, ME 04938 USA</t>
  </si>
  <si>
    <t>University of Maine System; University of Maine Orono; University of Maine Farmington</t>
  </si>
  <si>
    <t>Reusch, DN (corresponding author), Univ Maine, Dept Geol, 173 High St, Farmington, ME 04938 USA.</t>
  </si>
  <si>
    <t>10.1130/G31981.1</t>
  </si>
  <si>
    <t>809KJ</t>
  </si>
  <si>
    <t>WOS:000294053300008</t>
  </si>
  <si>
    <t>Chandrapavan, A; Gardner, C; Green, BS; Linnane, A; Hobday, D</t>
  </si>
  <si>
    <t>Chandrapavan, Arani; Gardner, Caleb; Green, Bridget S.; Linnane, Adrian; Hobday, David</t>
  </si>
  <si>
    <t>Improving marketability through translocation: a lobster case study from southern Australia</t>
  </si>
  <si>
    <t>lobster fishery; marketability; shell colour; stock enhancement; value-add</t>
  </si>
  <si>
    <t>ROCK-LOBSTER; JASUS-EDWARDSII; STOCK ENHANCEMENT; CALLINECTES-SAPIDUS; HOMARUS-AMERICANUS; SPATIAL VARIATION; GROWTH; FISHERIES; COLOR; SURVIVAL</t>
  </si>
  <si>
    <t>Translocation as a method to increase the value of less-marketable, deep-water southern rock lobster Jasus edwardsii was explored. First, variation in the commercially important shell colouration and body shape between deep-and shallow-water Tasmanian populations and among South Australian and Victorian populations was quantified. Deep-water J. edwardsii were pale in colour, with longer walking legs but less meat content than shallow-water, red-coloured J. edwardsii. Traits in body shape were variable among deep-water populations across the three states and between sexes in each population. Deep-water lobsters were then translocated to a shallow-water inshore reef to determine whether the observed variation in traits was plastic and whether translocation could be used to improve the quality of deep-water lobsters. Translocated lobsters were then monitored over a 14-month post-release period, and during this time, they changed from a pale/white colour to the more marketable red colour within a single moult. Plasticity was observed in tail morphology, but not in leg morphology. The translocation experiment was successful in transforming pale/white deep-water lobsters into red lobsters with higher market value in a phenotypic response to habitat manipulation. Translocation appears to have commercial application for exploiting natural plasticity in the market traits of lobsters to increase price.</t>
  </si>
  <si>
    <t>[Chandrapavan, Arani; Gardner, Caleb; Green, Bridget S.] Univ Tasmania, Inst Marine &amp; Antarctic Studies, Hobart, Tas 7001, Australia; [Linnane, Adrian] S Australian Res &amp; Dev Inst, Henley Beach, SA 5022, Australia; [Hobday, David] Primary Ind Res Victoria, Dept Primary Ind, Victoria 3225, Australia</t>
  </si>
  <si>
    <t>University of Tasmania; Victorian Department of Environment &amp; Primary Industries</t>
  </si>
  <si>
    <t>Chandrapavan, A (corresponding author), Western Australian Fisheries &amp; Marine Res Labs, POB 20, North Beach, WA 6920, Australia.</t>
  </si>
  <si>
    <t>arani.chandrapavan@fish.wa.gov.au</t>
  </si>
  <si>
    <t>Gardner, Caleb/0000-0003-0324-4337</t>
  </si>
  <si>
    <t>Fisheries Research and Development Corporation; Australian Seafood CRC</t>
  </si>
  <si>
    <t>Fisheries Research and Development Corporation; Australian Seafood CRC(Australian GovernmentDepartment of Industry, Innovation and ScienceCooperative Research Centres (CRC) Programme)</t>
  </si>
  <si>
    <t>We thank the research staff, rock lobster industry members, and many volunteers involved in the project across all three states. Special thanks are due to S. Ibbott for the construction of the field photo apparatus and to D. Reilly and P. Hawthorn for the collection of samples from the South Australian and Victorian sites. The project was supported by the Fisheries Research and Development Corporation and the Australian Seafood CRC through the Future Harvest Theme.</t>
  </si>
  <si>
    <t>10.1093/icesjms/fsr128</t>
  </si>
  <si>
    <t>810EI</t>
  </si>
  <si>
    <t>WOS:000294107800003</t>
  </si>
  <si>
    <t>Basilyan, AE; Anisimov, MA; Nikolskiy, PA; Pitulko, VV</t>
  </si>
  <si>
    <t>Basilyan, A. E.; Anisimov, M. A.; Nikolskiy, P. A.; Pitulko, V. V.</t>
  </si>
  <si>
    <t>Wooly mammoth mass accumulation next to the Paleolithic Yana RHS site, Arctic Siberia: its geology, age, and relation to past human activity</t>
  </si>
  <si>
    <t>JOURNAL OF ARCHAEOLOGICAL SCIENCE</t>
  </si>
  <si>
    <t>Mammoth; Paleolithic; Pleistocene; Arctic Siberia; Yana river; Yana RHS site; Mammoth mass accumulation</t>
  </si>
  <si>
    <t>MORAVIA</t>
  </si>
  <si>
    <t>In 2001, the Yana RHS archaeological site was discovered in the lower Yana river valley, Arctic Siberia. Its radiocarbon age is about 28 000 BP. While enormous amount of Pleistocene mammal bones was excavated from the site, the mammoth bones occurred at an unexpectedly low frequency. That was interpreted as an indication of the limited role of mammoths in the subsistence economy of the Pleistocene Yana people. In 2008, next to the excavation local ivory miners opened a mass accumulation of mammoth accompanied by the artifacts. About one thousand mammoth bones from at least 26 individuals, and few wooly rhinoceros, bison, horse, reindeer, and bear bones have been unearthed there. Stratigraphy and radiocarbon dating provide evidence for cultural layer of Yana RHS and the mass accumulation of mammoth to be coeval. The geology and taphonomy of Yana mass accumulation of mammoth indicate its anthropogenic nature. Discovery of the anthropogenic mass accumulation of mammoth next to the Yana site suggests a greater role of mammoth in the subsistence practices of the Pleistocene Yana people than previously thought. (C) 2011 Elsevier Ltd. All rights reserved.</t>
  </si>
  <si>
    <t>[Basilyan, A. E.; Nikolskiy, P. A.] Russian Acad Sci, Inst Geol, Moscow 119017, Russia; [Anisimov, M. A.] Arctic &amp; Antarctic Res Inst, St Petersburg 199397, Russia; [Pitulko, V. V.] Russian Acad Sci, Inst Mat Culture Hist, St Petersburg 191186, Russia</t>
  </si>
  <si>
    <t>Russian Academy of Sciences; Geological Institute, Russian Academy of Sciences; Arctic &amp; Antarctic Research Institute; Russian Academy of Sciences; St. Petersburg Scientific Centre of the Russian Academy of Sciences</t>
  </si>
  <si>
    <t>Nikolskiy, PA (corresponding author), Russian Acad Sci, Inst Geol, Pyzhevsky 7, Moscow 119017, Russia.</t>
  </si>
  <si>
    <t>cervalces@mail.ru</t>
  </si>
  <si>
    <t>Nikolskiy, Pavel A/C-5041-2012; Pitulko, Vladimir/N-4009-2019; Nikolskiy, Pavel/JNT-4697-2023; Pitulko, Vladimir/E-2200-2015</t>
  </si>
  <si>
    <t>Pitulko, Vladimir/0000-0001-5672-2756</t>
  </si>
  <si>
    <t>0305-4403</t>
  </si>
  <si>
    <t>J ARCHAEOL SCI</t>
  </si>
  <si>
    <t>J. Archaeol. Sci.</t>
  </si>
  <si>
    <t>10.1016/j.jas.2011.05.017</t>
  </si>
  <si>
    <t>Anthropology; Archaeology; Geosciences, Multidisciplinary</t>
  </si>
  <si>
    <t>Science Citation Index Expanded (SCI-EXPANDED); Social Science Citation Index (SSCI); Arts &amp; Humanities Citation Index (A&amp;HCI)</t>
  </si>
  <si>
    <t>Anthropology; Archaeology; Geology</t>
  </si>
  <si>
    <t>803AD</t>
  </si>
  <si>
    <t>WOS:000293551200044</t>
  </si>
  <si>
    <t>Wege, M; Bester, MN; van der Merwe, DS; Postma, M</t>
  </si>
  <si>
    <t>Wege, Mia; Bester, Marthan N.; van der Merwe, Derek S.; Postma, Martin</t>
  </si>
  <si>
    <t>Oedipus complex in an Antarctic fur seal pup?</t>
  </si>
  <si>
    <t>JOURNAL OF ETHOLOGY</t>
  </si>
  <si>
    <t>Oedipus complex; Arctocephalus gazella; Sexual coercion; Sexual play; Marion Island</t>
  </si>
  <si>
    <t>SEXUAL-HARASSMENT; PLAY-BEHAVIOR; MORTALITY; VITULINA</t>
  </si>
  <si>
    <t>We present the first evidence of a possible case of the Oedipus complex in a non-primate. An Antarctic fur seal pup, Arctocephalus gazella, unsuccessfully directed what appeared to be copulatory behaviour towards its own mother on several occasions. A herding sub-adult bull chased the pup from the female, which strengthens our suggestion that it was copulatory behaviour we witnessed. This seemed to constitute innocent sexual play with elements of the Oedipus complex rather than coercion because the female was not stressed nor did the pup possess the physical strength to coerce the female.</t>
  </si>
  <si>
    <t>[Wege, Mia; Bester, Marthan N.; van der Merwe, Derek S.; Postma, Martin] Univ Pretoria, Mammal Res Inst, Dept Zool &amp; Entomol, ZA-0083 Pretoria, South Africa</t>
  </si>
  <si>
    <t>Wege, M (corresponding author), Univ Pretoria, Mammal Res Inst, Dept Zool &amp; Entomol, ZA-0083 Pretoria, South Africa.</t>
  </si>
  <si>
    <t>mwege@zoology.up.ac.za</t>
  </si>
  <si>
    <t>Wege, Mia/B-1103-2016; Bester, Marthán N/E-5387-2010</t>
  </si>
  <si>
    <t>Wege, Mia/0000-0002-9022-3069;</t>
  </si>
  <si>
    <t>Department of Science and Technology through the National Research Foundation (South Africa)</t>
  </si>
  <si>
    <t>The Department of Environmental Affairs provided logistic support within the South African National Antarctic Programme. The Department of Science and Technology, through the National Research Foundation (South Africa), provided financial support. We thank the anonymous reviewers for their pertinent comments.</t>
  </si>
  <si>
    <t>0289-0771</t>
  </si>
  <si>
    <t>1439-5444</t>
  </si>
  <si>
    <t>J ETHOL</t>
  </si>
  <si>
    <t>J. Ethol.</t>
  </si>
  <si>
    <t>10.1007/s10164-011-0273-1</t>
  </si>
  <si>
    <t>Behavioral Sciences; Zoology</t>
  </si>
  <si>
    <t>811CL</t>
  </si>
  <si>
    <t>WOS:000294179500015</t>
  </si>
  <si>
    <t>Reisinger, RR; de Bruyn, PJN; Bester, MN</t>
  </si>
  <si>
    <t>Reisinger, R. R.; de Bruyn, P. J. N.; Bester, M. N.</t>
  </si>
  <si>
    <t>Predatory impact of killer whales on pinniped and penguin populations at the Subantarctic Prince Edward Islands: fact and fiction</t>
  </si>
  <si>
    <t>JOURNAL OF ZOOLOGY</t>
  </si>
  <si>
    <t>Orcinus orca; top-down control; predator-prey interactions; elephant seal; fur seal; penguin; apex predator</t>
  </si>
  <si>
    <t>MARION ISLAND; SOUTHERN-OCEAN; ORCINUS-ORCA; FUR SEALS; ELEPHANT SEALS; HUNTING BEHAVIOR; NUMBERS; TRENDS; INDICATORS; DEMOGRAPHY</t>
  </si>
  <si>
    <t>Killer whales are the oceans' apex predators and their potential effects on ecosystems have been demonstrated. In the Southern Ocean, the role of killer whale predation in population declines of southern elephant seals remains largely speculative. We aimed to assess whether top-down control of pinniped and penguin populations at the Subantarctic Prince Edward Islands (PEIs) is generally plausible using a simple process of elimination. Based on published data, we predicted the energetic ingestion requirements of adult male and female killer whales as 1394 and 1028MJday(-1), respectively. Expanding these requirements to the 37 killer whales photographically identified at the PEIs, the population requires 40 600MJday(-1). Based on the energy density and mass data available, we predicted the energy content of available pinniped and penguin prey and calculated the rates at which killer whales would consume these prey in various scenarios. Penguins and Subantarctic fur seals are relatively insensitive to killer whale predation owing to their large population sizes (10 000-100 000 s). Conversely, the smaller populations (100-1000 s) of Antarctic fur seals and southern elephant seals are sensitive to predation, particularly the latter, as they have a high energy content (c. 2000-9000 MJ). Populations of these seals are currently increasing or stable and we conclude that presently killer whale predation is not driving population declines, although they clearly have the potential for the regulation of these smaller populations. Thus, if population sizes were reduced by bottom-up processes, if killer whale diet shifted or if prey availability changed, top-down predation by killer whales could become significant. By eliminating the possibility of some predation scenarios,</t>
  </si>
  <si>
    <t>[Reisinger, R. R.; de Bruyn, P. J. N.; Bester, M. N.] Univ Pretoria, Mammal Res Inst, Dept Zool &amp; Entomol, ZA-0028 Hatfield, South Africa</t>
  </si>
  <si>
    <t>Reisinger, RR (corresponding author), Univ Pretoria, Mammal Res Inst, Dept Zool &amp; Entomol, Private Bag X20, ZA-0028 Hatfield, South Africa.</t>
  </si>
  <si>
    <t>rrreisinger@zoology.up.ac.za</t>
  </si>
  <si>
    <t>Reisinger, Ryan R/D-6151-2014; Bester, Marthán N/E-5387-2010; de Bruyn, P. J. Nico/E-4176-2010</t>
  </si>
  <si>
    <t>Reisinger, Ryan R/0000-0002-8933-6875; de Bruyn, P. J. Nico/0000-0002-9114-9569</t>
  </si>
  <si>
    <t>Department of Science and Technology</t>
  </si>
  <si>
    <t>Department of Science and Technology(Department of Science &amp; Technology (India))</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</si>
  <si>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 The Marion Island seal biologists of 2006, 2007 and 2008 are thanked for their killer whale observations. David Ainley and an anonymous reviewer provided valuable comments on this manuscript.</t>
  </si>
  <si>
    <t>0952-8369</t>
  </si>
  <si>
    <t>J ZOOL</t>
  </si>
  <si>
    <t>J. Zool.</t>
  </si>
  <si>
    <t>10.1111/j.1469-7998.2011.00815.x</t>
  </si>
  <si>
    <t>810ZO</t>
  </si>
  <si>
    <t>WOS:000294170500001</t>
  </si>
  <si>
    <t>von Harbou, L; Dubischar, CD; Pakhomov, EA; Hunt, BPV; Hagen, W; Bathmann, UV</t>
  </si>
  <si>
    <t>von Harbou, Lena; Dubischar, Corinna D.; Pakhomov, Evgeny A.; Hunt, Brian P. V.; Hagen, Wilhelm; Bathmann, Ulrich V.</t>
  </si>
  <si>
    <t>Salps in the Lazarev Sea, Southern Ocean: I. Feeding dynamics</t>
  </si>
  <si>
    <t>MARGINAL ICE-ZONE; APPENDICULARIAN OIKOPLEURA-DIOICA; FUSIFORMIS CUVIER TUNICATA; KRILL EUPHAUSIA-SUPERBA; EASTERN ATLANTIC SECTOR; ANTARCTIC ZOOPLANKTON; SALP/KRILL INTERACTIONS; COMMUNITY STRUCTURE; INGESTION RATES; AUSTRAL SUMMER</t>
  </si>
  <si>
    <t>Feeding dynamics of the Antarctic salps Ihlea racovitzai and Salpa thompsoni were studied in the Lazarev Sea in fall 2004, summer 2005-2006 and winter 2006. Pigment concentrations in the guts of both species were positively correlated with ambient surface chlorophyll a (chl a). No evidence was found for salp clogging even at dense surface concentrations of up to 7 mu g chl a L-1. However, gut pigment concentrations had a lower range than ambient pigment concentrations, suggesting that salps increased retention times of ingested material in low-food environments. For medium-sized I. racovitzai and S. thompsoni, estimated individual daily rations reached 7-10 and &gt; 100% of body carbon in winter and summer, respectively. Daily respiratory needs of I. racovitzai and S. thompsoni accounted for 28 and 22% of daily carbon assimilation based on pigment ingestion rates in winter, and for 2 and 1% in summer, respectively. The grazing impact of the salp populations on the phytoplankton standing stock was negligible during all seasons due to generally low salp densities. Fatty acid trophic biomarkers in the salps suggest high year-round contributions of flagellates and modest contributions of diatoms to the salp's diet. These markers showed low seasonal variability for I. racovitzai. The more pronounced seasonality of trophic markers in S. thompsoni were likely related to their generally deeper residence depth in winter linked to a seasonal alternation of sexual and asexual generations.</t>
  </si>
  <si>
    <t>[von Harbou, Lena; Dubischar, Corinna D.; Bathmann, Ulrich V.] Alfred Wegener Inst Polar &amp; Marine Res, D-27515 Bremerhaven, Germany; [Pakhomov, Evgeny A.; Hunt, Brian P. V.] Univ British Columbia, Dept Earth &amp; Ocean Sci, Vancouver, BC V6T 1Z4, Canada; [Hagen, Wilhelm] Univ Bremen, D-28334 Bremen, Germany</t>
  </si>
  <si>
    <t>Helmholtz Association; Alfred Wegener Institute, Helmholtz Centre for Polar &amp; Marine Research; University of British Columbia; University of Bremen</t>
  </si>
  <si>
    <t>von Harbou, L (corresponding author), Alfred Wegener Inst Polar &amp; Marine Res, Handelshafen 12, D-27515 Bremerhaven, Germany.</t>
  </si>
  <si>
    <t>Lena.von.Harbou@awi.de</t>
  </si>
  <si>
    <t>Hagen, Wilhelm/0000-0002-7462-9931</t>
  </si>
  <si>
    <t>German Ministry of Education and Science (Bundesministerium fur Bildung und Forschung, BMBF Forschungsvorhaben) [03F0406A/B]; German National Science Foundation (DFG) [BA-1508/5-1]; Alexander von Humboldt Foundation</t>
  </si>
  <si>
    <t>German Ministry of Education and Science (Bundesministerium fur Bildung und Forschung, BMBF Forschungsvorhaben)(Federal Ministry of Education &amp; Research (BMBF)); German National Science Foundation (DFG)(German Research Foundation (DFG)); Alexander von Humboldt Foundation(Alexander von Humboldt Foundation)</t>
  </si>
  <si>
    <t>We would like to thank the captains and crew of RV Polarstern for enabling us to complete our sampling programme, and K. Klinck, G. Schmidt, M. Brenner, L. Gurney, J. Kitchener, L. Wurzberg, M. Vortkamp and M. Haraldsson for invaluable assistance in sample collection. We also thank T. Brey for assistance in statistical analyses. Constructive comments on the manuscript were provided by A. Atkinson and two anonymous referees. The surveys were part of the Lazarev Sea Krill Study (LAKRIS) Project, which was funded by the German Ministry of Education and Science (Bundesministerium fur Bildung und Forschung, BMBF Forschungsvorhaben, grant number 03F0406A/B). This study was financially supported by the German National Science Foundation (DFG, grant number BA-1508/5-1). An AWI Research stay of E. A. P. was supported by the Alexander von Humboldt Foundation.</t>
  </si>
  <si>
    <t>10.1007/s00227-011-1709-4</t>
  </si>
  <si>
    <t>811RE</t>
  </si>
  <si>
    <t>WOS:000294230000007</t>
  </si>
  <si>
    <t>Mitchell, EG</t>
  </si>
  <si>
    <t>Mitchell, Emily G.</t>
  </si>
  <si>
    <t>Functional Programming through Deep Time: Modeling the first complex ecosystems on Earth Experience Report</t>
  </si>
  <si>
    <t>ACM SIGPLAN NOTICES</t>
  </si>
  <si>
    <t>16th ACM SIGPLAN International Conference on Functional Programming (ICFP 11)</t>
  </si>
  <si>
    <t>SEP 19-21, 2011</t>
  </si>
  <si>
    <t>Tokyo, JAPAN</t>
  </si>
  <si>
    <t>Languages; Experimentation; Haskell; R; Palaeontology; Ecology</t>
  </si>
  <si>
    <t>MISTAKEN POINT</t>
  </si>
  <si>
    <t>The ecology of Earth's first large organisms is an unsolved problem in palaeontology. This experience report discusses the determination of which ecosystems could have been feasible, by considering the biological feedbacks within them. Haskell was used to model the ecosystems for these first large organisms - the Ediacara biota. For verification of the results, the statistical language R was used. Neither Haskell nor R would have been sufficient for this work Haskell's libraries for statistics are weak, while R lacks the structure for expressing algorithms in a maintainable manner. This work is the first to quantify all feedback loops in an ecosystem, and has generated considerable interest from both the ecological and palaeontological communities.</t>
  </si>
  <si>
    <t>[Mitchell, Emily G.] Univ Cambridge, Cambridge, England; [Mitchell, Emily G.] British Antarctic Survey, Cambridge CB3 0ET, England</t>
  </si>
  <si>
    <t>University of Cambridge; UK Research &amp; Innovation (UKRI); Natural Environment Research Council (NERC); NERC British Antarctic Survey</t>
  </si>
  <si>
    <t>Mitchell, EG (corresponding author), Univ Cambridge, Cambridge, England.</t>
  </si>
  <si>
    <t>ek338@cam.ac.uk</t>
  </si>
  <si>
    <t>Mitchell, Emily/AAK-1991-2020</t>
  </si>
  <si>
    <t>NERC; Natural Environment Research Council [bas0100026] Funding Source: researchfish; NERC [bas0100026] Funding Source: UKRI</t>
  </si>
  <si>
    <t>Neil Mitchell for introducing me to Haskell, Mike Dodds for feedback on this paper and my supervisors Nicholas Butterfield and Anje Neutel. This work was funded by a NERC studentship.</t>
  </si>
  <si>
    <t>ASSOC COMPUTING MACHINERY</t>
  </si>
  <si>
    <t>1601 Broadway, 10th Floor, NEW YORK, NY USA</t>
  </si>
  <si>
    <t>0362-1340</t>
  </si>
  <si>
    <t>1558-1160</t>
  </si>
  <si>
    <t>ACM Sigplan Not.</t>
  </si>
  <si>
    <t>10.1145/2034574.2034779</t>
  </si>
  <si>
    <t>Computer Science, Software Engineering</t>
  </si>
  <si>
    <t>856IL</t>
  </si>
  <si>
    <t>WOS:000297632700004</t>
  </si>
  <si>
    <t>Sévellec, F; Fedorov, AV</t>
  </si>
  <si>
    <t>Sevellec, Florian; Fedorov, Alexey V.</t>
  </si>
  <si>
    <t>Stability of the Atlantic meridional overturning circulation and stratification in a zonally averaged ocean model: Effects of freshwater flux, Southern Ocean winds, and diapycnal diffusion</t>
  </si>
  <si>
    <t>Ocean circulation; AMOC; Southern Ocean; Stability; Hysteresis; Freshwater fluxes</t>
  </si>
  <si>
    <t>ANTARCTIC CIRCUMPOLAR CURRENT; THERMOHALINE CIRCULATION; MULTIPLE EQUILIBRIA; ABYSSAL CIRCULATION; NORTHERN ATLANTIC; THERMAL STRUCTURE; WORLD OCEAN; CLIMATE; VARIABILITY; SENSITIVITY</t>
  </si>
  <si>
    <t>The Atlantic Meridional Overturning Circulation (AMOC) is a crucial component of the global climate system. In this study, using a zonally averaged ocean model, we reexamine the sensitivity of this circulation, and ocean density structure in general, to several types of external forcing. The basin of the model extends from northern high latitudes to Antarctica and includes an implicit representation of a circumpolar channel in the South, and ocean circulation is driven by surface buoyancy fluxes and wind forcing. In contrast to earlier two-dimensional studies of the AMOC, our approach involves a careful treatment of the residual mean circulation (comprising the Eulerian-mean and eddy-induced flows), which is especially important for the Southern Ocean dynamics. Using boundary conditions consistent with present-day observations the model reproduces realistic ocean stratification and meridional overturning. The structure, intensity, and stability of the overturning are then extensively studied using three control parameters: the strength of westerly wind stress over the Southern Ocean, the magnitude of freshwater fluxes imposed on the northern Atlantic, and ocean diapycnal diffusivity. In a realistic parameter range, we estimate the AMOC sensitivity to changes in the Southern Ocean winds on the order of 1 Sv per 20% increase in the wind stress. The overturning also increases with diapycnal diffusivity, but the dependence is weaker than in the absence of the winds. The model can undergo a shutdown of the overturning (subject to a hysteresis) when either the freshwater forcing gradually increases or the wind stress decreases. The hysteresis loop disappears for large values of isopycnal diffusivity. Changes in the AMOC intensity are accompanied by changes in the volume transport of the Antarctic Circumpolar Current. Specifically, the AMOC collapse leads to a strengthening of this transport. Ultimately, our calculations produce stability maps for the steady states of the meridional overturning circulation and provide a general framework that potentially can be used to compare different models, or to understand past abrupt climate changes related to reorganization of the AMOC. (C) 2011 Elsevier Ltd. All rights reserved.</t>
  </si>
  <si>
    <t>[Sevellec, Florian; Fedorov, Alexey V.] Yale Univ, Dept Geol &amp; Geophys, New Haven, CT 06520 USA</t>
  </si>
  <si>
    <t>Yale University</t>
  </si>
  <si>
    <t>Sévellec, F (corresponding author), Yale Univ, Dept Geol &amp; Geophys, 210 Whitney Ave,POB 208109, New Haven, CT 06520 USA.</t>
  </si>
  <si>
    <t>florian.sevellec@yale.edu</t>
  </si>
  <si>
    <t>fedorov, alexey/F-1879-2010; Sevellec, Florian/L-3125-2015</t>
  </si>
  <si>
    <t>Sevellec, Florian/0000-0002-8498-0004</t>
  </si>
  <si>
    <t>NSF [OCE-0901921]; DOE Office of Science [DE-FG02-08ER64590]; David and Lucile Packard Foundation</t>
  </si>
  <si>
    <t>NSF(National Science Foundation (NSF)); DOE Office of Science(United States Department of Energy (DOE)); David and Lucile Packard Foundation(The David &amp; Lucile Packard Foundation)</t>
  </si>
  <si>
    <t>This research was supported by grants from NSF (OCE-0901921), DOE Office of Science (DE-FG02-08ER64590), and the The David and Lucile Packard Foundation. A.V.F. thanks David Marshall for a helpful discussion.</t>
  </si>
  <si>
    <t>17-18</t>
  </si>
  <si>
    <t>10.1016/j.dsr2.2010.10.070</t>
  </si>
  <si>
    <t>801ZY</t>
  </si>
  <si>
    <t>WOS:000293480300016</t>
  </si>
  <si>
    <t>Rietkerk, M; Brovkin, V; van Bodegom, PM; Claussen, M; Dekker, SC; Dijkstra, HA; Goryachkin, SV; Kabat, P; van Nes, EH; Neutel, AM; Nicholson, SE; Nobre, C; Petoukhov, V; Provenzale, A; Scheffer, M; Seneviratne, SI</t>
  </si>
  <si>
    <t>Rietkerk, Max; Brovkin, Victor; van Bodegom, Peter M.; Claussen, Martin; Dekker, Stefan C.; Dijkstra, Henk A.; Goryachkin, Sergey V.; Kabat, Pavel; van Nes, Egbert H.; Neutel, Anje-Margriet; Nicholson, Sharon E.; Nobre, Carlos; Petoukhov, Vladimir; Provenzale, Antonello; Scheffer, Marten; Seneviratne, Sonia I.</t>
  </si>
  <si>
    <t>Local ecosystem feedbacks and critical transitions in the climate</t>
  </si>
  <si>
    <t>ECOLOGICAL COMPLEXITY</t>
  </si>
  <si>
    <t>Climate; Complexity; Ecosystems; Feedbacks; Hierarchy; Scales</t>
  </si>
  <si>
    <t>AFRICAN HUMID PERIOD; STABLE STATES; SOIL-MOISTURE; WATER-BALANCE; VEGETATION; SAHEL; SCALE; SYSTEM; VARIABILITY; COVER</t>
  </si>
  <si>
    <t>Global and regional climate models, such as those used in IPCC assessments, are the best tools available for climate predictions. Such models typically account for large-scale land-atmosphere feedbacks. However, these models omit local vegetation-environment feedbacks that may be crucial for critical transitions in ecosystems at larger scales. In this viewpoint paper, we propose the hypothesis that, if the balance of feedbacks is positive at all scales, local vegetation-environment feedbacks may trigger a cascade of amplifying effects, propagating from local to large scale, possibly leading to critical transitions in the large-scale climate. We call for linking local ecosystem feedbacks with large-scale land-atmosphere feedbacks in global and regional climate models in order to improve climate predictions. (C) 2011 Elsevier B.V. All rights reserved.</t>
  </si>
  <si>
    <t>[Rietkerk, Max; Dekker, Stefan C.] Univ Utrecht, Dept Environm Sci, NL-3508 TC Utrecht, Netherlands; [Brovkin, Victor; Claussen, Martin] Max Planck Inst Meteorol, D-20146 Hamburg, Germany; [van Bodegom, Peter M.] Vrije Univ Amsterdam, Dept Syst Ecol, Amsterdam, Netherlands; [Dijkstra, Henk A.] Univ Utrecht, Dept Phys &amp; Astron, NL-3584 CC Utrecht, Netherlands; [Goryachkin, Sergey V.] Russian Acad Sci, Inst Geog, Moscow 117901, Russia; [Kabat, Pavel] Wageningen Univ, Earth Syst Sci &amp; Climate Change Grp, NL-6700 AA Wageningen, Netherlands; [van Nes, Egbert H.; Scheffer, Marten] Wageningen Univ, Aquat Ecol &amp; Water Qual Management Grp, NL-6700 AA Wageningen, Netherlands; [Neutel, Anje-Margriet] British Antarctic Survey, Cambridge CB3 OET, England; [Nicholson, Sharon E.] Florida State Univ, Dept Meteorol, Tallahassee, FL 32306 USA; [Nobre, Carlos] CPTEC INPE, Sao Paulo, Brazil; [Petoukhov, Vladimir] Potsdam Inst Climate Impact Res, D-14412 Potsdam, Germany; [Provenzale, Antonello] CNR, Inst Atmospher Sci &amp; Climate, I-10133 Turin, Italy; [Seneviratne, Sonia I.] ETH, Inst Atmospher &amp; Climate Sci, CH-8092 Zurich, Switzerland</t>
  </si>
  <si>
    <t>Utrecht University; Max Planck Society; Vrije Universiteit Amsterdam; Utrecht University; Institute of Geography, Russian Academy of Sciences; Russian Academy of Sciences; Wageningen University &amp; Research; Wageningen University &amp; Research; UK Research &amp; Innovation (UKRI); Natural Environment Research Council (NERC); NERC British Antarctic Survey; State University System of Florida; Florida State University; Instituto Nacional de Pesquisas Espaciais (INPE); Potsdam Institut fur Klimafolgenforschung; Consiglio Nazionale delle Ricerche (CNR); Istituto di Scienze dell'Atmosfera e del Clima (ISAC-CNR); Swiss Federal Institutes of Technology Domain; ETH Zurich</t>
  </si>
  <si>
    <t>Rietkerk, M (corresponding author), Univ Utrecht, Dept Environm Sci, POB 80115, NL-3508 TC Utrecht, Netherlands.</t>
  </si>
  <si>
    <t>m.rietkerk@geo.uu.nl; victor.brovkin@zmaw.de; peter.van.bodegom@ecology.falw.vu.nl; martin.claussen@zmaw.de; H.A.Dijkstra@phys.uu.nl; sergey.gory@gmail.com; pavel.kabat@wur.nl; egbert.vannes@wur.nl; anjute@bas.ac.uk; sen@met.fsu.edu; nobre@cptec.inpe.br; Vladimir.Petukhov@pik-potsdam.de; A.Provenzale@isac.cnr.it; marten.scheffer@wur.nl; sonia.seneviratne@env.ethz.ch</t>
  </si>
  <si>
    <t>Kabat, Pavel/AAJ-2245-2020; Rietkerk, Max/H-6235-2011; Brovkin, Victor/C-2803-2016; van Nes, Egbert H/F-2681-2011; Seneviratne, Sonia I./G-8761-2011; Dijkstra, Henk A./H-2559-2016; Brovkin, Victor/I-7450-2012; Scheffer, Marten/C-1852-2012; Dekker, Stefan/F-5581-2013; van Bodegom, Peter/N-8150-2015; Goryachkin, Sergey/H-3357-2016</t>
  </si>
  <si>
    <t>Brovkin, Victor/0000-0001-6420-3198; Seneviratne, Sonia I./0000-0001-9528-2917; Dekker, Stefan/0000-0001-7764-2464; van Bodegom, Peter/0000-0003-0771-4500; van Nes, Egbert/0000-0002-6345-104X; Goryachkin, Sergey/0000-0002-3489-6584; Rietkerk, Max/0000-0002-2698-3848</t>
  </si>
  <si>
    <t>Natural Environment Research Council [bas0100026] Funding Source: researchfish; NERC [bas0100026] Funding Source: UKRI</t>
  </si>
  <si>
    <t>1476-945X</t>
  </si>
  <si>
    <t>1476-9840</t>
  </si>
  <si>
    <t>ECOL COMPLEX</t>
  </si>
  <si>
    <t>Ecol. Complex.</t>
  </si>
  <si>
    <t>10.1016/j.ecocom.2011.03.001</t>
  </si>
  <si>
    <t>809FO</t>
  </si>
  <si>
    <t>WOS:000294037400001</t>
  </si>
  <si>
    <t>Tribelli, PM; López, NI</t>
  </si>
  <si>
    <t>Tribelli, Paula M.; Lopez, Nancy I.</t>
  </si>
  <si>
    <t>Poly(3-hydroxybutyrate) influences biofilm formation and motility in the novel Antarctic species Pseudomonas extremaustralis under cold conditions</t>
  </si>
  <si>
    <t>Biofilms; Polyhydroxybutyrate; Pseudomonas; Cold; Motility</t>
  </si>
  <si>
    <t>AERUGINOSA BIOFILM; OXIDATIVE STRESS; LOW-TEMPERATURE; ALGINATE PRODUCTION; SWARMING MOTILITY; ESCHERICHIA-COLI; EXOPOLYSACCHARIDE; FLAGELLA; POLYHYDROXYALKANOATES; BIOSYNTHESIS</t>
  </si>
  <si>
    <t>Polyhydroxyalkanoates (PHAs) are highly reduced bacterial storage compounds that increase fitness in changing environments. It has previously shown that polyhydroxybutyrate (PHB) accumulation is essential during the growth under cold conditions. In this work, the relationship between PHB accumulation and biofilm development at low temperature was investigated. P. extremaustralis, an Antarctic strain able to accumulate PHB, and its phaC mutant, impaired in the synthesis of this polymer, were used to analyze microaerobic growth, biofilm development, EPS content and motility. PHB accumulation increased motility and survival of planktonic cells in the biofilms developed by P. extremaustralis under cold conditions. Microaerobic conditions rescued the cold growth defect of the mutant strain. The PHB accumulation capability could constitute an adaptative advantage for the colonization of new ecological niches in stressful environments.</t>
  </si>
  <si>
    <t>[Tribelli, Paula M.; Lopez, Nancy I.] Univ Buenos Aires, Fac Ciencias Exactas &amp; Nat, Dept Quim Biol, Buenos Aires, DF, Argentina</t>
  </si>
  <si>
    <t>López, NI (corresponding author), Univ Buenos Aires, Fac Ciencias Exactas &amp; Nat, Dept Quim Biol, Intendente Guiraldes 2160,C1428EGA, Buenos Aires, DF, Argentina.</t>
  </si>
  <si>
    <t>nan@qb.fcen.uba.ar</t>
  </si>
  <si>
    <t>Tribelli, Paula Maria/0000-0001-9558-6275; Lopez, Nancy/0000-0002-2966-3014</t>
  </si>
  <si>
    <t>UBA; ANPCyT; CONICET</t>
  </si>
  <si>
    <t>UBA(University of Buenos Aires); ANPCyT(ANPCyT); CONICET(Consejo Nacional de Investigaciones Cientificas y Tecnicas (CONICET))</t>
  </si>
  <si>
    <t>This work was supported by grants from UBA and ANPCyT. N.I.L. is a career investigator from CONICET. P.M.T. has a graduate student fellowship from CONICET. We thank Karl G. Rueggeberg for his useful comments and language revision.</t>
  </si>
  <si>
    <t>10.1007/s00792-011-0384-1</t>
  </si>
  <si>
    <t>810GG</t>
  </si>
  <si>
    <t>WOS:000294113200001</t>
  </si>
  <si>
    <t>Fernandez-Carazo, R; Hodgson, DA; Convey, P; Wilmotte, A</t>
  </si>
  <si>
    <t>Fernandez-Carazo, Rafael; Hodgson, Dominic A.; Convey, Peter; Wilmotte, Annick</t>
  </si>
  <si>
    <t>Low cyanobacterial diversity in biotopes of the Transantarctic Mountains and Shackleton Range (80-82°S), Antarctica</t>
  </si>
  <si>
    <t>Transantarctic Mountains; Forlidas Pond; Lundstrom Lake; cyanobacterial biodiversity; Antarctica; endemism</t>
  </si>
  <si>
    <t>BENTHIC CYANOBACTERIA; COMMUNITIES; BIOGEOGRAPHY; PHYLOGENY; SEQUENCES; ENDEMISM; STRAINS; PROGRAM</t>
  </si>
  <si>
    <t>The evolutionary history and geographical isolation of the Antarctic continent have produced a unique environment rich in endemic organisms. In many regions of Antarctica, cyanobacteria are the dominant phototrophs in both aquatic and terrestrial ecosystems. We have used microscopic and molecular approaches to examine the cyanobacterial diversity of biotopes at two inland continental Antarctic sites (80-82 degrees S). These are among the most southerly locations where freshwater-related ecosystems are present. The results showed a low cyanobacterial diversity, with only 3-7 operational taxonomic units (OTUs) per sample obtained by a combination of strain isolations, clone libraries and denaturing gradient gel electrophoresis based on 16S rRNA genes. One OTU was potentially endemic to Antarctica and is present in several regions of the continent. Four OTUs were shared by the samples from Forlidas Pond and the surrounding terrestrial mats. Only one OTU, but no internal transcribed spacer (ITS) sequences, was common to Forlidas Pond and Lundstrom Lake. The ITS sequences were shown to further discriminate different genotypes within the OTUs. ITS sequences from Antarctic locations appear to be more closely related to each other than to non-Antarctic sequences. Future research in inland continental Antarctica will shed more light on the geographical distribution and evolutionary isolation of cyanobacteria in these extreme habitats.</t>
  </si>
  <si>
    <t>[Fernandez-Carazo, Rafael; Wilmotte, Annick] Univ Liege, Inst Chem, Ctr Prot Engn, B-4000 Liege, Belgium; [Hodgson, Dominic A.; Convey, Peter] NERC, British Antarctic Survey, Cambridge, England</t>
  </si>
  <si>
    <t>University of Liege; UK Research &amp; Innovation (UKRI); Natural Environment Research Council (NERC); NERC British Antarctic Survey</t>
  </si>
  <si>
    <t>Wilmotte, A (corresponding author), Univ Liege, Inst Chem B6, Ctr Prot Engn, B-4000 Liege, Belgium.</t>
  </si>
  <si>
    <t>awilmotte@ulg.ac.be</t>
  </si>
  <si>
    <t>Wilmotte, Annick/H-1686-2011; Convey, Peter/AAV-5728-2020</t>
  </si>
  <si>
    <t>Convey, Peter/0000-0001-8497-9903; Wilmotte, Annick/0000-0003-3546-3489</t>
  </si>
  <si>
    <t>BELSPO [SD/BA/01A]; HOLANT [SD/CA/01A]; FRS-FNRS [1.5.104.04.F, F.R.F.C. 2.4.570.09.F]; British Antarctic Survey; BIRESA project; Fundacion Alfonso Martin Escudero; Natural Environment Research Council [bas0100024] Funding Source: researchfish; NERC [bas0100024] Funding Source: UKRI</t>
  </si>
  <si>
    <t>BELSPO(Belgian Federal Science Policy Office); HOLANT; FRS-FNRS(Fonds de la Recherche Scientifique - FNRS); British Antarctic Survey; BIRESA project; Fundacion Alfonso Martin Escudero; Natural Environment Research Council(UK Research &amp; Innovation (UKRI)Natural Environment Research Council (NERC)); NERC(UK Research &amp; Innovation (UKRI)Natural Environment Research Council (NERC))</t>
  </si>
  <si>
    <t>This study was supported by the BELSPO projects AMBIO (SD/BA/01A) and HOLANT (SD/CA/01A), the FRS-FNRS (Credit aux Chercheurs 1.5.104.04.F and F.R.F.C. 2.4.570.09.F) and the British Antarctic Survey CACHE-PEP project led by D.A.H. and the BIRESA project led by P C. We thank Dr Jiri Komarek for his useful advice on the identification of the isolated strains. Thanks are due to the Fundacion Alfonso Martin Escudero for funding R.F.-C. A.W. is Research Associate of the FRS-FNRS (National Funds for Scientific Research of Belgium). The editor and anonymous referees are also thanked for constructive and helpful comments. This paper also contributes to the SCAR Evolution and Biodiversity in Antarctica (EBA) research program, and the MERGE IPY project.</t>
  </si>
  <si>
    <t>1574-6941</t>
  </si>
  <si>
    <t>10.1111/j.1574-6941.2011.01132.x</t>
  </si>
  <si>
    <t>804WJ</t>
  </si>
  <si>
    <t>WOS:000293684700004</t>
  </si>
  <si>
    <t>Jennings, ES; Marschall, HR; Hawkesworth, CJ; Storey, CD</t>
  </si>
  <si>
    <t>Jennings, E. S.; Marschall, H. R.; Hawkesworth, C. J.; Storey, C. D.</t>
  </si>
  <si>
    <t>Characterization of magma from inclusions in zircon: Apatite and biotite work well, feldspar less so</t>
  </si>
  <si>
    <t>TRACE-ELEMENT COMPOSITIONS; DETRITAL ZIRCONS; ELECTRON-MICROPROBE; JACK HILLS; CRUST; CONSTRAINTS; SATURATION; ALKALINE; ROCKS</t>
  </si>
  <si>
    <t>Detrital zircon grains are employed to decipher sediment provenances and crustal evolution, and they provide unique evidence of Hadean crust-mantle differentiation processes. We demonstrate that mineral inclusions in zircon provide valuable information on the conditions under which zircon crystallized. Zircon grains from selected plutonic rocks from Dronning Maud Land, Antarctica, contain inclusions of apatite, biotite, amphibole, and pyroxenes that accurately reflect the chemical compositions of the equivalent phases in the host-rock matrix, and the compositions of the whole rocks. High concentrations of Y and low concentrations of Sr in apatite inclusions in zircon are diagnostic of evolved, felsic granitoid host rocks. In contrast, the relative abundances and compositions of plagioclase and alkali feldspar inclusions in zircon are decoupled from the composition of the whole rock, and they are generally indicative of granitic melts regardless of the bulk rock. This is best explained by the late crystallization of zircon relative to the bulk of the feldspars. We conclude that inclusions of apatite and mafic phases in zircon constrain the potential source rocks of detrital zircon, whereas feldspar inclusions do not.</t>
  </si>
  <si>
    <t>[Jennings, E. S.; Marschall, H. R.] Univ Bristol, Dept Earth Sci, Bristol BS8 1RJ, Avon, England; [Marschall, H. R.] Woods Hole Oceanog Inst, Dept Geol &amp; Geophys, Woods Hole, MA 02543 USA; [Hawkesworth, C. J.] Univ St Andrews, Dept Earth Sci, St Andrews KY16 9AL, Fife, Scotland; [Storey, C. D.] Univ Portsmouth, Sch Earth &amp; Environm Sci, Portsmouth PO1 3QL, Hants, England</t>
  </si>
  <si>
    <t>University of Bristol; Woods Hole Oceanographic Institution; University of St Andrews; University of Portsmouth</t>
  </si>
  <si>
    <t>Jennings, ES (corresponding author), Univ Bristol, Dept Earth Sci, Bristol BS8 1RJ, Avon, England.</t>
  </si>
  <si>
    <t>Storey, Craig/AAC-7832-2020; Marschall, Horst/E-1661-2011</t>
  </si>
  <si>
    <t>Marschall, Horst/0000-0002-0609-682X; Storey, Craig/0000-0002-4945-7381; Jennings, Eleanor/0000-0001-9828-810X</t>
  </si>
  <si>
    <t>Natural Environment Research Council [NE/D008689/1]; NERC [NE/D008891/2, NE/D008891/1, NE/D008689/1] Funding Source: UKRI; Natural Environment Research Council [NE/D008891/1, NE/D008689/1, NE/D008891/2] Funding Source: researchfish</t>
  </si>
  <si>
    <t>We thank H.-P. Meyer (Heidelberg), M. Tabecki (British Antarctic Survey, BAS), and S. Kearns (Bristol) for technical assistance. BAS is acknowledged for preparation of and logistics during the sampling campaign. We thank the Norwegian Polar Institute for actively supporting our field party. This study was financially supported by the Natural Environment Research Council (grant NE/D008689/1).</t>
  </si>
  <si>
    <t>10.1130/G32037.1</t>
  </si>
  <si>
    <t>WOS:000294053300022</t>
  </si>
  <si>
    <t>Mohanty, S</t>
  </si>
  <si>
    <t>Mohanty, S.</t>
  </si>
  <si>
    <t>Palaeoproterozoic assembly of the Napier Complex, Southern India and Western Australia: Implications for the evolution of the Cuddapah basin</t>
  </si>
  <si>
    <t>Palaeoproterozoic; Supercontinent; Tectonics; Palaeomagnetism; Mafic dykes; Events stratigraphy</t>
  </si>
  <si>
    <t>EASTERN GHATS BELT; NORTH CHINA CRATON; MAFIC DYKE SWARM; U-PB GEOCHRONOLOGY; RB-SR AGES; ENDERBY LAND; BASTAR CRATON; SM-ND; CAPRICORN OROGEN; VESTFOLD HILLS</t>
  </si>
  <si>
    <t>A detailed examination of lithostratigraphic, tectonothermal, geochronologic and palaeomagnetic database of the Dharwar-Bastar cratons of South India, the Yilgarn craton of Western Australia and the East Antarctic shield has shown broad similarity. Two palaeomagnetic key poles of similar to 2400 Ma age from the Dharwar and Yilgarn cratons suggest near neighbor positions. Matching patterns of craton outlines, orientation of mafic dyke swarms and palaeo-north direction for similar to 2400 Ma have established a continental assembly of SIWA, an acronym for South India (SI) and Western Australia (WA), at similar to 2400 Ma. In this assembly the Yilgarn craton fits against the Bastar craton and the Singhbhum craton. The available geological data from the Napier Complex of the Eastern Antarctica and the Dharwar craton of South India were used to prepare the barcode style reconstruction of Archaean tectonostratigraphic events of both the cratons. The method of matching continental outlines, the internal features of two continental blocks and the palaeomagnetic data demonstrate that the Napier Complex was also a part of SIWA during the period 2200-1900 Ma and was located at the position of the Cuddapah basin of India adjacent to the Dharwar craton and the Yilgarn craton. The separation of the Napier Complex from the south Indian block led to the development of the Cuddapah basin at similar to 1950 Ma. (C) 2011 International Association for Gondwana Research. Published by Elsevier B.V. All rights reserved.</t>
  </si>
  <si>
    <t>Indian Sch Mines, Dept Appl Geol, Dhanbad 826004, Bihar, India</t>
  </si>
  <si>
    <t>Indian Institute of Technology System (IIT System); Indian Institute of Technology (Indian School of Mines) Dhanbad</t>
  </si>
  <si>
    <t>Mohanty, S (corresponding author), Indian Sch Mines, Dept Appl Geol, Dhanbad 826004, Bihar, India.</t>
  </si>
  <si>
    <t>mohantysp@yahoo.com</t>
  </si>
  <si>
    <t>Mohanty, Sarada Prasad/E-5734-2019</t>
  </si>
  <si>
    <t>Mohanty, Sarada Prasad/0000-0003-0397-8744</t>
  </si>
  <si>
    <t>10.1016/j.gr.2011.03.009</t>
  </si>
  <si>
    <t>809RZ</t>
  </si>
  <si>
    <t>WOS:000294075700006</t>
  </si>
  <si>
    <t>Tuck, GN; Phillips, RA; Small, C; Thomson, RB; Klaer, NL; Taylor, F; Wanless, RM; Arrizabalaga, H</t>
  </si>
  <si>
    <t>Tuck, G. N.; Phillips, R. A.; Small, C.; Thomson, R. B.; Klaer, N. L.; Taylor, F.; Wanless, R. M.; Arrizabalaga, H.</t>
  </si>
  <si>
    <t>An assessment of seabird-fishery interactions in the Atlantic Ocean</t>
  </si>
  <si>
    <t>ICES Symposium on Fishery-Dependent Information</t>
  </si>
  <si>
    <t>AUG 23-26, 2010</t>
  </si>
  <si>
    <t>Galway, IRELAND</t>
  </si>
  <si>
    <t>Atlantic Ocean; Ecological Risk Assessment; incidental mortality; longline; seabirds; trawl</t>
  </si>
  <si>
    <t>BLACK-BROWED ALBATROSSES; TRISTAN ALBATROSSES; MORTALITY; BYCATCH; TRENDS; IMPACT; SEA; CONSEQUENCES; DYNAMICS; WATERS</t>
  </si>
  <si>
    <t>Currently, 17 of 22 albatross species are listed as Vulnerable, Endangered, or Critically endangered by the International Union for the Conservation of Nature (IUCN). Incidental mortality in fisheries is by far the most widespread cause of the population declines observed for these and other closely related species. In 2006, the International Commission for the Conservation of Atlantic Tunas (ICCAT) requested an assessment of the threat from their fisheries to all seabirds that breed or forage within their jurisdiction. Methods were developed to assess the potential consequences of fishing for more than 60 populations of seabird. The assessment framework involved the identification of at-risk populations, overlap analyses, estimation of total bycatch, and an evaluation of the impact of the bycatch on key selected populations for which there were sufficient data on bird distribution and demography. These were the wandering and black-browed albatrosses of South Georgia and the Atlantic yellow-nosed and Tristan albatrosses of Gough Island. Summary results from the seabird assessment are presented, revealing that ICCAT longline fisheries catch substantial numbers of seabirds, with potentially significant conservation implications. If this mortality is not reduced, the numbers of breeding birds in some populations will continue to decline, threatening their long-term viability.</t>
  </si>
  <si>
    <t>[Tuck, G. N.; Thomson, R. B.; Klaer, N. L.] CSIRO Marine &amp; Atmospher Res &amp; Wealth Oceans Flag, Hobart, Tas 7001, Australia; [Phillips, R. A.] British Antarctic Survey, Nat Environm Res Council High Cross, Cambridge CB3 0ET, England; [Small, C.; Taylor, F.] Wellbrook Court, BirdLife Global Seabird Programme, BirdLife Int, Cambridge CB3 0NA, England; [Wanless, R. M.] Univ Cape Town, Percy FitzPatrick Inst, DST NRF Ctr Excellence, ZA-7701 Rondebosch, South Africa; [Wanless, R. M.] BirdLife S Africa, Seabird Div, ZA-8012 Cape Town, South Africa; [Arrizabalaga, H.] AZTI Tecnalia, Pasaia 20110, Gipuzkoa, Spain</t>
  </si>
  <si>
    <t>Commonwealth Scientific &amp; Industrial Research Organisation (CSIRO); UK Research &amp; Innovation (UKRI); Natural Environment Research Council (NERC); NERC British Antarctic Survey; BirdLife International; National Research Foundation - South Africa; University of Cape Town; AZTI</t>
  </si>
  <si>
    <t>Tuck, GN (corresponding author), CSIRO Marine &amp; Atmospher Res &amp; Wealth Oceans Flag, GPO Box 1538, Hobart, Tas 7001, Australia.</t>
  </si>
  <si>
    <t>geoff.tuck@csiro.au</t>
  </si>
  <si>
    <t>Arrizabalaga, Haritz/B-8238-2009; Klaer, Neil L/F-9099-2010; Thomson, Robin/G-2882-2015; Tuck, Geoff/E-2356-2012</t>
  </si>
  <si>
    <t>Arrizabalaga, Haritz/0000-0002-3861-6316; Thomson, Robin/0000-0001-8499-2059; Tuck, Geoff/0000-0002-3640-6147; Klaer, Neil/0000-0002-5178-2490</t>
  </si>
  <si>
    <t>Department for Environment, Food and Rural Affairs (UK); CSIRO Wealth from Oceans Flagship (Australia); British Antarctic Survey (UK); NOAA; Fisheries International Affairs (USA); BirdLife International; CSIRO Wealth from Oceans Flagship; Natural Environment Research Council [bas0100025] Funding Source: researchfish; NERC [bas0100025] Funding Source: UKRI</t>
  </si>
  <si>
    <t>Department for Environment, Food and Rural Affairs (UK)(Department for Environment, Food &amp; Rural Affairs (DEFRA)); CSIRO Wealth from Oceans Flagship (Australia)(Commonwealth Scientific &amp; Industrial Research Organisation (CSIRO)); British Antarctic Survey (UK); NOAA(National Oceanic Atmospheric Admin (NOAA) - USA); Fisheries International Affairs (USA); BirdLife International; CSIRO Wealth from Oceans Flagship(Commonwealth Scientific &amp; Industrial Research Organisation (CSIRO)); Natural Environment Research Council(UK Research &amp; Innovation (UKRI)Natural Environment Research Council (NERC)); NERC(UK Research &amp; Innovation (UKRI)Natural Environment Research Council (NERC))</t>
  </si>
  <si>
    <t>We thank all those who participated in the ICCAT ERA, in particular Tatiana Neves (and Projeto Albatroz), Andres Domingo, Sebastian Jimenez, Peter Ryan, Richard Cuthbert, Samantha Petersen, Orea Anderson, Jerry Scott, Victor Restrepo, Carlos Palma, Papa Kebe, Pilar Pallares, and Kim Rivera. Financial support was kindly provided by the Department for Environment, Food and Rural Affairs (UK), CSIRO Wealth from Oceans Flagship (Australia), British Antarctic Survey (UK), NOAA Fisheries National Seabird Programme and Fisheries International Affairs (USA), and BirdLife International. This paper represents a contribution to the British Antarctic Survey Ecosystems Programme. We also appreciate the helpful comments on earlier drafts by Alistair Hobday and Toby Patterson (CSIRO), and formal reviews by Mark Tasker and an anonymous referee. Funding to pay the Open Access publication charges for this paper was provided by the CSIRO Wealth from Oceans Flagship.</t>
  </si>
  <si>
    <t>1095-9289</t>
  </si>
  <si>
    <t>10.1093/icesjms/fsr118</t>
  </si>
  <si>
    <t>809RW</t>
  </si>
  <si>
    <t>Green Published, Green Accepted, hybrid</t>
  </si>
  <si>
    <t>WOS:000294075400007</t>
  </si>
  <si>
    <t>Xavier, JC; Phillips, RA; Cherel, Y</t>
  </si>
  <si>
    <t>Xavier, Jose C.; Phillips, Richard A.; Cherel, Yves</t>
  </si>
  <si>
    <t>Cephalopods in marine predator diet assessments: why identifying upper and lower beaks is important</t>
  </si>
  <si>
    <t>cephalopod beaks; marine ecosystems; top predator diets; trophic interactions</t>
  </si>
  <si>
    <t>WHALES PHYSETER-MACROCEPHALUS; STOMACH-CONTENTS; INTERANNUAL VARIATION; WANDERING ALBATROSS; FEEDING ECOLOGY; SOUTH GEORGIA; FUR SEALS; PREY; FISHERIES; ISLAND</t>
  </si>
  <si>
    <t>Cephalopods are components of the diet of many predators worldwide. They are identified mainly using their chitinized upper and lower beaks, but because it has been assumed that the number of upper and lower beaks would be the same in predator diet samples, more effort has been put into creating keys for the lower beaks, which are more easily identifiable from morphology. A test is made of whether the number of upper and lower beaks differs in diet samples collected from a major cephalopod predator, the wandering albatross (Diomedea exulans), potential biases in the estimation of predator diets are assessed, and upper: lower beak ratios in published studies of other seabirds, seals, whales, and fish from different parts of the world reviewed. The ratio of upper to lower beaks in diet samples from wandering albatrosses varied greatly in a single year (from 69.6% more lower beaks to 59% more upper beaks), and between years (from 0.5 to 32.1% more upper beaks), and biases were greater for certain cephalopod species, resulting in underestimation of their relative importance. Future studies need to consider using both upper and lower beaks to improve the assessment of the contribution of different cephalopods to predator diets.</t>
  </si>
  <si>
    <t>[Xavier, Jose C.] Univ Coimbra, Inst Marine Res, Dept Life Sci, P-3001401 Coimbra, Portugal; [Xavier, Jose C.; Phillips, Richard A.] British Antarctic Survey, NERC, Cambridge CB3 0ET, England; [Cherel, Yves] CNRS, Ctr Etud Biol Chize, UPR 1934, F-79360 Villiers En Bois, France</t>
  </si>
  <si>
    <t>Universidade de Coimbra; UK Research &amp; Innovation (UKRI); Natural Environment Research Council (NERC); NERC British Antarctic Survey; Centre National de la Recherche Scientifique (CNRS)</t>
  </si>
  <si>
    <t>Xavier, JC (corresponding author), Univ Coimbra, Inst Marine Res, Dept Life Sci, P-3001401 Coimbra, Portugal.</t>
  </si>
  <si>
    <t>jccx@cantab.net</t>
  </si>
  <si>
    <t>Xavier, José/KFB-6739-2024</t>
  </si>
  <si>
    <t>/0000-0002-9621-6660</t>
  </si>
  <si>
    <t>Foundation for Science and Technology (FCT), Portugal; Natural Environment Research Council [bas0100025] Funding Source: researchfish; NERC [bas0100025] Funding Source: UKRI</t>
  </si>
  <si>
    <t>Foundation for Science and Technology (FCT), Portugal(Fundacao para a Ciencia e a Tecnologia (FCT)); Natural Environment Research Council(UK Research &amp; Innovation (UKRI)Natural Environment Research Council (NERC)); NERC(UK Research &amp; Innovation (UKRI)Natural Environment Research Council (NERC))</t>
  </si>
  <si>
    <t>We thank Michel Potier, Izaskun Preciado, Steven Szedlmayer, and Allyson Ouzts for providing unpublished data or a critique of the manuscript. The study represents a contribution to the British Antarctic Survey Ecosystems Programme and to the research project CEPH (IMAR-BAS project on the role of cephalopods in the diets of top predators in the Southern Ocean). JCX is co-financed by the Foundation for Science and Technology (FCT), Portugal.</t>
  </si>
  <si>
    <t>10.1093/icesjms/fsr103</t>
  </si>
  <si>
    <t>WOS:000294107800005</t>
  </si>
  <si>
    <t>Bielewicz, S; Bell, E; Kong, WD; Friedberg, I; Priscu, JC; Morgan-Kiss, RM</t>
  </si>
  <si>
    <t>Bielewicz, Scott; Bell, Elanor; Kong, Weidong; Friedberg, Iddo; Priscu, John C.; Morgan-Kiss, Rachael M.</t>
  </si>
  <si>
    <t>Protist diversity in a permanently ice-covered Antarctic Lake during the polar night transition</t>
  </si>
  <si>
    <t>ISME JOURNAL</t>
  </si>
  <si>
    <t>ice-covered lake; McMurdo Dry Valleys; microbial eukaryotes; polar night; protists</t>
  </si>
  <si>
    <t>MCMURDO DRY VALLEYS; PHYTOPLANKTON; BIODIVERSITY; ACCLIMATION; EUKARYOTES; APPARATUS; ECOLOGY; FRYXELL; BONNEY; LEGACY</t>
  </si>
  <si>
    <t>The McMurdo Dry Valleys of Antarctica harbor numerous permanently ice-covered lakes, which provide a year-round oasis for microbial life. Microbial eukaryotes in these lakes occupy a variety of trophic levels within the simple aquatic food web ranging from primary producers to tertiary predators. Here, we report the first molecular study to describe the vertical distribution of the eukaryotic community residing in the photic zone of the east lobe (ELB) and west lobe (WLB) of the chemically stratified Lake Bonney. The 18S ribosomal RNA (rRNA) libraries revealed vertically stratified populations dominated by photosynthetic protists, with a cryptophyte dominating shallow populations (ELB-6 m; WLB-10 m), a haptophyte occupying mid-depths (both lobes 13 m) and chlorophytes residing in the deepest layers (ELB-18 and 20 m; WLB-15 and 20 m) of the photic zone. A previously undetected stramenopile occurred throughout the water column of both lobes. Temporal variation in the eukaryotic populations was examined during the transition from Antarctic summer (24-h sunlight) to polar night (complete dark). Protist diversity was similar between the two lobes of Lake Bonney due to exchange between the photic zones of the two basins via a narrow bedrock sill. However, vertical and temporal variation in protist distribution occurred, indicating the influence of the unique water chemistry on the biology of the two dry valley watersheds. The ISME Journal (2011) 5, 1559-1564; doi:10.1038/ismej.2011.23; published online 10 March 2011</t>
  </si>
  <si>
    <t>[Bielewicz, Scott; Kong, Weidong; Friedberg, Iddo; Morgan-Kiss, Rachael M.] Miami Univ, Dept Microbiol, Oxford, OH 45056 USA; [Priscu, John C.] Montana State Univ, Dept Land Resources &amp; Environm Sci, Bozeman, MT 59717 USA</t>
  </si>
  <si>
    <t>University System of Ohio; Miami University; Montana State University System; Montana State University Bozeman</t>
  </si>
  <si>
    <t>Morgan-Kiss, RM (corresponding author), Miami Univ, Dept Microbiol, 32 Pearson Hall,700 E High St, Oxford, OH 45056 USA.</t>
  </si>
  <si>
    <t>morganr2@muohio.edu</t>
  </si>
  <si>
    <t>Friedberg, Iddo/S-4793-2019; Kong, Weidong/H-7432-2012; Friedberg, Iddo/HSE-4650-2023</t>
  </si>
  <si>
    <t>Friedberg, Iddo/0000-0002-1789-8000; Kong, Weidong/0000-0001-9682-1484; Friedberg, Iddo/0000-0002-1789-8000; Morgan-kiss, Rachael/0000-0003-4783-5358</t>
  </si>
  <si>
    <t>NSF Office of Polar Programs [OPP-0631659, OPP-0631494, OPP-432595, MCB-0237335]; Directorate For Geosciences; Office of Polar Programs (OPP) [1056396] Funding Source: National Science Foundation</t>
  </si>
  <si>
    <t>NSF Office of Polar Programs(National Science Foundation (NSF)); Directorate For Geosciences; Office of Polar Programs (OPP)(National Science Foundation (NSF)NSF - Directorate for Geosciences (GEO))</t>
  </si>
  <si>
    <t>We thank the McMurdo LTER and Ratheon Inc. personnel for logistical support in Antarctica. This work was supported by the NSF Office of Polar Programs grants OPP-0631659 to RMK and OPP-0631494, OPP-432595 and MCB-0237335 to JCP. This paper is dedicated to the memory of our colleague Dr John Wilson Hawes (Department of Chemistry and Biochemistry &amp; Center for Bioinformatics, Miami University).</t>
  </si>
  <si>
    <t>1751-7362</t>
  </si>
  <si>
    <t>1751-7370</t>
  </si>
  <si>
    <t>ISME J</t>
  </si>
  <si>
    <t>ISME J.</t>
  </si>
  <si>
    <t>10.1038/ismej.2011.23</t>
  </si>
  <si>
    <t>832DU</t>
  </si>
  <si>
    <t>WOS:000295782900016</t>
  </si>
  <si>
    <t>Sheen, KL; White, N; Caulfield, CP; Hobbs, RW</t>
  </si>
  <si>
    <t>Sheen, Katy L.; White, Nicky; Caulfield, C. P.; Hobbs, Richard W.</t>
  </si>
  <si>
    <t>Estimating Geostrophic Shear from Seismic Images of Oceanic Structure</t>
  </si>
  <si>
    <t>It is shown that geostrophic vertical shear estimates can be recovered from seismic (i.e., acoustic) images of thermohaline structure. In the Southern Ocean, the Antarctic Circumpolar Current forms a loop within the Falkland Trough before it flows northward into the Argentine Basin. Seismic profiles that cross this loop show the detailed structure of different water masses with a horizontal resolution of O(10 m). Coherent seismic reflections are tilted in response to current flow around the Falkland Trough. Average slopes were measured on length scales that are large enough to ensure that the geostrophic approximation is valid (i.e., with a Rossby number &lt;0.1). By combining shear estimates with satellite altimetric measurements and acoustic Doppler current profiles, geostrophic velocities can be calculated throughout the data volume. This technique for estimating geostrophic vertical shear from legacy seismic images yields useful information about the spatial and temporal variation of mesoscale circulation.</t>
  </si>
  <si>
    <t>[Sheen, Katy L.; White, Nicky] Univ Cambridge, Bullard Labs, Cambridge, England; [Caulfield, C. P.] Univ Cambridge, BP Inst, Cambridge, England; [Caulfield, C. P.] Univ Cambridge, Dept Appl Math &amp; Theoret Phys, Cambridge CB3 9EW, England; [Hobbs, Richard W.] Univ Durham, Dept Earth Sci, Durham, England</t>
  </si>
  <si>
    <t>University of Cambridge; University of Cambridge; BP; University of Cambridge; Durham University</t>
  </si>
  <si>
    <t>Sheen, KL (corresponding author), Univ Southampton, Natl Oceanog Ctr, Watefront Campus,European Way, Southampton SO14 3ZH, Hants, England.</t>
  </si>
  <si>
    <t>k.sheen@soton.ac.uk</t>
  </si>
  <si>
    <t>Caulfield, Colm-cille/F-7691-2011; Hobbs, Richard/F-1054-2013</t>
  </si>
  <si>
    <t>Caulfield, Colm-cille/0000-0002-3170-9480; Hobbs, Richard/0000-0001-5131-9239; White, Nicky/0000-0002-4460-299X</t>
  </si>
  <si>
    <t>Natural Environment Research Council (NERC) United Kingdom; Schlumberger Cambridge Research</t>
  </si>
  <si>
    <t>Natural Environment Research Council (NERC) United Kingdom(UK Research &amp; Innovation (UKRI)Natural Environment Research Council (NERC)); Schlumberger Cambridge Research(Schlumberger)</t>
  </si>
  <si>
    <t>KLS was supported by the Natural Environment Research Council (NERC) United Kingdom, and by Schlumberger Cambridge Research. We are grateful to WesternGeco for providing the seismic data and to D. Klaeschen who generously helped KLS to process seismic data at IFM-GEOMAR. We also thank P. Christie, A. Crosby, K. Heywood, R. Jones, D. Koenitz, D. Lyness, M. Meredith, A. Naveira Garabato, C. Richardson, S. Thorpe, and C. Trowell for their help.</t>
  </si>
  <si>
    <t>10.1175/JTECH-D-10-05012.1</t>
  </si>
  <si>
    <t>826ZJ</t>
  </si>
  <si>
    <t>Green Published, Bronze, Green Accepted</t>
  </si>
  <si>
    <t>WOS:000295393800008</t>
  </si>
  <si>
    <t>Gumbel, J; Körnich, H; Bailey, SM; Lübken, FJ; Morris, R</t>
  </si>
  <si>
    <t>Gumbel, J.; Kornich, H.; Bailey, S. M.; Lubken, F. -J.; Morris, R.</t>
  </si>
  <si>
    <t>Special issue on layered phenomena in the mesopause region Foreword</t>
  </si>
  <si>
    <t>ICE PARTICLES; MESOSPHERE</t>
  </si>
  <si>
    <t>[Gumbel, J.; Kornich, H.] Stockholm Univ, Dept Meteorol, S-10691 Stockholm, Sweden; [Bailey, S. M.] Virginia Polytech &amp; State Univ, Bradley Dept Elect &amp; Comp Engn, Blacksburg, VA USA; [Lubken, F. -J.] Leibniz Inst Atmospher Phys, Kuhlungsborn, Germany; [Morris, R.] Australian Antarctic Div, Kingston, Tas, Australia</t>
  </si>
  <si>
    <t>Stockholm University; Virginia Polytechnic Institute &amp; State University; Leibniz Institut fur Atmospharenphysik e.V. an der Universitat Rostock (IAP); Australian Antarctic Division</t>
  </si>
  <si>
    <t>Gumbel, J (corresponding author), Stockholm Univ, Dept Meteorol, S-10691 Stockholm, Sweden.</t>
  </si>
  <si>
    <t>gumbel@misu.su.se</t>
  </si>
  <si>
    <t>Kornich, Heiner/0000-0003-0524-6440</t>
  </si>
  <si>
    <t>14-15</t>
  </si>
  <si>
    <t>10.1016/j.jastp.2011.08.001</t>
  </si>
  <si>
    <t>829BT</t>
  </si>
  <si>
    <t>WOS:000295551000001</t>
  </si>
  <si>
    <t>Harden, BE; Renfrew, IA; Petersen, GN</t>
  </si>
  <si>
    <t>Harden, B. E.; Renfrew, I. A.; Petersen, G. N.</t>
  </si>
  <si>
    <t>A Climatology of Wintertime Barrier Winds off Southeast Greenland</t>
  </si>
  <si>
    <t>TIP JET; NORTH-ATLANTIC; IRMINGER SEA; IDEALIZED SIMULATIONS; ANTARCTIC PENINSULA; CAPE-FAREWELL; WEDDELL SEA; FLOW; MOUNTAINS; COAST</t>
  </si>
  <si>
    <t>A climatology of barrier winds along the southeastern coast of Greenland is presented based on 20 yr of winter months (1989-2008) from the ECMWF Interim Reanalysis (ERA-Interim). Barrier wind events occur predominantly at two locations: Denmark Strait North (DSN; 67.7 degrees N, 25.3 degrees W) and Denmark Strait South (DSS; 64.9 degrees N, 35.9 degrees W). Events stronger than 20 m s(-1) occur on average once per week during winter with considerable interannual variability-from 7 to 20 events per winter. The monthly frequency of barrier wind events correlates with the monthly North Atlantic oscillation (NAO) index with a correlation coefficient of 0.57 (0.31) at DSN (DSS). The associated total turbulent heat fluxes for barrier wind events (area averaged) were typically about 200 W m(-2) with peak values of 400 W m(-2) common in smaller regions. Area-averaged surface stresses were typically between 0.5 and 1 N m(-2). Total precipitation rates were larger at DSS than DSN, both typically less than 1 mm h(-1). The total turbulent heat fluxes were shown to have a large range as a result of a large range in 2-m air temperature. Two classes of barrier winds-warm and cold-were investigated and found to develop in different synoptic-scale situations. Warm barrier winds developed when there was a blocking high pressure over the Nordic seas, while cold barrier winds owed their presence to a train of cyclones channeling through the region.</t>
  </si>
  <si>
    <t>[Harden, B. E.] Univ E Anglia, Sch Environm Sci, Norwich NR4 7TJ, Norfolk, England; [Petersen, G. N.] Iceland Met Off, Reykjavik, Iceland</t>
  </si>
  <si>
    <t>University of East Anglia</t>
  </si>
  <si>
    <t>Harden, BE (corresponding author), Univ E Anglia, Sch Environm Sci, Norwich NR4 7TJ, Norfolk, England.</t>
  </si>
  <si>
    <t>b.harden@uea.ac.uk</t>
  </si>
  <si>
    <t>Renfrew, Ian A/E-4057-2010; Petersen, Guðrún Nína/AAY-6282-2021; Petersen, Gudrun Nina/AAD-3619-2020</t>
  </si>
  <si>
    <t>Petersen, Guðrún Nína/0000-0003-0214-7324; Petersen, Gudrun Nina/0000-0003-0214-7324; Renfrew, Ian/0000-0001-9379-8215</t>
  </si>
  <si>
    <t>EUCOS; Natural Environment Research Council [NE/C003365/1] Funding Source: researchfish</t>
  </si>
  <si>
    <t>EUCOS; Natural Environment Research Council(UK Research &amp; Innovation (UKRI)Natural Environment Research Council (NERC))</t>
  </si>
  <si>
    <t>We thank the following people and organizations: The European Centre for Medium-Range Weather Forecasts and the British Atmospheric Data Centre for providing the data; Bob Pickart for accommodating the launching of radiosondes on the Knorr cruise in October 2008; NCAS FGAM for providing the radiosonde equipment; Stefan Klink and Rudolf Krockauer from EUCOS for funding the radiosondes; Hreinn Hjartson from the Icelandic Met Office for providing equipment and assistance for radiosonde launches; Geraint Vaughan and Hugo Ricketts for radiosonde training; John Alberts and Eric Benway of WHOI for shipping equipment; and the radiosonde launchers for all their efforts in rough conditions.</t>
  </si>
  <si>
    <t>10.1175/2011JCLI4113.1</t>
  </si>
  <si>
    <t>WOS:000294993800013</t>
  </si>
  <si>
    <t>Grotti, M; Soggia, F; Ardini, F; Magi, E</t>
  </si>
  <si>
    <t>Grotti, M.; Soggia, F.; Ardini, F.; Magi, E.</t>
  </si>
  <si>
    <t>Major and trace element partitioning between dissolved and particulate phases in Antarctic surface snow</t>
  </si>
  <si>
    <t>JOURNAL OF ENVIRONMENTAL MONITORING</t>
  </si>
  <si>
    <t>ATMOSPHERIC HEAVY-METALS; MCMURDO DRY VALLEYS; DOME-C; EAST ANTARCTICA; CHEMICAL-COMPOSITION; ULTRATRACE ANALYSIS; COATS LAND; ROSS SEA; ICE; AEROSOLS</t>
  </si>
  <si>
    <t>In order to provide a new insight into the Antarctic snow chemistry, partitioning of major and trace elements between dissolved and particulate (i.e. insoluble particles, &gt;0.45 mm) phases have been investigated in a number of coastal and inland snow samples, along with their total and acid-dissolvable (0.5% nitric acid) concentrations. Alkaline and alkaline-earth elements (Na, K, Ca, Mg, Sr) were mainly present in the dissolved phase, while Fe and Al were predominantly associated with the particulate matter, without any significant difference between inland and coastal samples. On the other hand, partitioning of trace elements depended on the sampling site position, showing a general decrease of the particulate fraction by moving from the coast to the plateau. Cd, Cu, Pb and Zn were for the most part in the dissolved phase, while Cr was mainly associated with the particulate fraction. Co, Mn and V were equally distributed between dissolved and particulate phases in the samples collected from the plateau and preferentially associated with the particulate in the coastal samples. The correlation between the elements and the inter-sample variability of their concentration significantly decreased for the plateau samples compared to the coastal ones, according to a change in the relative contribution of the metal sources and in good agreement with the estimated marine and crustal enrichment factors. In addition, samples from the plateau were characterised by higher enrichment factors of anthropogenic elements (Cd, Cr, Cu, Pb and Zn), compared to the coastal area. Finally, it was observed that the acid-dissolvable metal concentrations were generally lower than the total concentration values, showing that the acid treatment can dissolve only a given fraction of the metal associated with the particulate (&lt;20% for iron and aluminium).</t>
  </si>
  <si>
    <t>[Grotti, M.; Soggia, F.; Ardini, F.; Magi, E.] Univ Genoa, Dept Chem &amp; Ind Chem, I-16146 Genoa, Italy</t>
  </si>
  <si>
    <t>University of Genoa</t>
  </si>
  <si>
    <t>Grotti, M (corresponding author), Univ Genoa, Dept Chem &amp; Ind Chem, Via Dodecaneso 31, I-16146 Genoa, Italy.</t>
  </si>
  <si>
    <t>grotti@unige.it</t>
  </si>
  <si>
    <t>Ardini, Francisco/Q-1965-2017; Grotti, Marco/HGU-3949-2022; Magi, Emanuele/C-9564-2011</t>
  </si>
  <si>
    <t>Ardini, Francisco/0000-0003-0094-9227; Grotti, Marco/0000-0001-6956-5761; Magi, Emanuele/0000-0002-8183-5020</t>
  </si>
  <si>
    <t>1464-0325</t>
  </si>
  <si>
    <t>1464-0333</t>
  </si>
  <si>
    <t>J ENVIRON MONITOR</t>
  </si>
  <si>
    <t>J. Environ. Monit.</t>
  </si>
  <si>
    <t>10.1039/c1em10215j</t>
  </si>
  <si>
    <t>Chemistry, Analytical; Environmental Sciences</t>
  </si>
  <si>
    <t>Chemistry; Environmental Sciences &amp; Ecology</t>
  </si>
  <si>
    <t>814GL</t>
  </si>
  <si>
    <t>WOS:000294436200018</t>
  </si>
  <si>
    <t>McClintock, JB; Amsler, MO; Angus, RA; Challener, RC; Schram, JB; Amsler, CD; Mah, CL; Cuce, J; Baker, BJ</t>
  </si>
  <si>
    <t>McClintock, James B.; Amsler, Margaret O.; Angus, Robert A.; Challener, Roberta C.; Schram, Julie B.; Amsler, Charles D.; Mah, Christopher L.; Cuce, Jason; Baker, Bill J.</t>
  </si>
  <si>
    <t>The Mg-Calcite Composition of Antarctic Echinoderms: Important Implications for Predicting the Impacts of Ocean Acidification</t>
  </si>
  <si>
    <t>JOURNAL OF GEOLOGY</t>
  </si>
  <si>
    <t>CLIMATE-CHANGE; SEA-FLOOR; MAGNESIUM; WATER; PERMEABILITY; TEMPERATURE; ECHINOIDEA; CARBON; LIFE; CO2</t>
  </si>
  <si>
    <t>The Southern Ocean is considered to be the canary in the coal mine with respect to the first effects of ocean acidification (OA). This vulnerability is due to naturally low carbonate ion concentrations that result from the effect of low temperature on acid-base dissociation coefficients, from the high solubility of CO 2 at low temperature, and from ocean mixing. Consequently, the two calcium carbonate polymorphs, aragonite and calcite, are expected to become undersaturated in the Southern Ocean within 50 and 100 years, respectively. Marine invertebrates such as echinoderms, whose skeletons are classified as high-magnesium carbonate (&gt;4% mol MgCO3), are even more vulnerable to OA than organisms whose skeletons consist primarily of aragonite or calcite, with respect to both increased susceptibility to skeletal dissolution and further challenge to their production of skeletal elements. Currently, despite their critical importance to predicting the effects of OA, there is almost no information on the Mg-calcite composition of Antarctic echinoderms, a group known to be a major contributor to the global marine carbon cycle. Here we report the Mg-calcite compositions of 26 species of Antarctic echinoderms, representing four classes. As seen in tropical and temperate echinoderms, Mg-calcite levels varied with taxonomic class, with sea stars generally having the highest levels. When combined with published data for echinoderms from primarily temperate and tropical latitudes, our findings support the hypothesis that Mg-calcite level varies inversely with latitude. Sea stars and brittle stars, key players in Antarctic benthic communities, are likely to be the first echinoderms to be challenged by near-term OA.</t>
  </si>
  <si>
    <t>[McClintock, James B.; Amsler, Margaret O.; Angus, Robert A.; Challener, Roberta C.; Schram, Julie B.; Amsler, Charles D.] Univ Alabama Birmingham, Dept Biol, Birmingham, AL 35294 USA; [Mah, Christopher L.] Smithsonian Inst, Museum Nat Hist, Washington, DC 20013 USA; [Cuce, Jason; Baker, Bill J.] Univ S Florida, Dept Chem, Tampa, FL 33620 USA</t>
  </si>
  <si>
    <t>University of Alabama System; University of Alabama Birmingham; Smithsonian Institution; Smithsonian National Museum of Natural History; State University System of Florida; University of South Florida</t>
  </si>
  <si>
    <t>McClintock, JB (corresponding author), Univ Alabama Birmingham, Dept Biol, Birmingham, AL 35294 USA.</t>
  </si>
  <si>
    <t>mcclinto@uab.edu</t>
  </si>
  <si>
    <t>Schram, Julie/0000-0002-1556-6483; Amsler, Charles/0000-0002-4843-3759</t>
  </si>
  <si>
    <t>National Science Foundation [ANT-0838773, ANT-0838776]; University of Alabama at Birmingham; Office of Polar Programs (OPP); Directorate For Geosciences [0838773, 0838844] Funding Source: National Science Foundation</t>
  </si>
  <si>
    <t>National Science Foundation(National Science Foundation (NSF)); University of Alabama at Birmingham; Office of Polar Programs (OPP); Directorate For Geosciences(National Science Foundation (NSF)NSF - Directorate for Geosciences (GEO))</t>
  </si>
  <si>
    <t>We wish to acknowledge the outstanding assistance provided by Raytheon Polar Service support staff at Palmer Station, Antarctica. We also thank H. W. Dietrich for so generously facilitating access to his ship-based trawling operations along the western Antarctic Peninsula. C. Mooi and M. O'Laughlin generously provided assistance with taxonomy. E. Hofmann of Actlabs kindly provided valuable input on assay protocols. This work was supported by National Science Foundation awards ANT-0838773 to C. D. Amsler and J. B. McClintock and ANT-0838776 to B. J. Baker. J. B. McClintock acknowledges the support of an Endowed Professorship in Polar and Marine Biology provided by the University of Alabama at Birmingham. We appreciate the helpful editorial comments and insights of two anonymous reviewers.</t>
  </si>
  <si>
    <t>0022-1376</t>
  </si>
  <si>
    <t>1537-5269</t>
  </si>
  <si>
    <t>J GEOL</t>
  </si>
  <si>
    <t>J. Geol.</t>
  </si>
  <si>
    <t>10.1086/660890</t>
  </si>
  <si>
    <t>878PP</t>
  </si>
  <si>
    <t>WOS:000299269300002</t>
  </si>
  <si>
    <t>Brandao, SN; Päplow, O</t>
  </si>
  <si>
    <t>Brandao, Simone N.; Paeplow, Olinga</t>
  </si>
  <si>
    <t>New species and occurrences of Bradleya Benson, 1972, Harleya Jellinek &amp; Swanson, 2003 and Poseidonamicus Benson, 1972 (Ostracoda: Cytheroidea) from the Atlantic Sector of the Southern Ocean</t>
  </si>
  <si>
    <t>JOURNAL OF MICROPALAEONTOLOGY</t>
  </si>
  <si>
    <t>Thaerocytheridae; new species; Southern Ocean; geographical distribution; bathymetric distribution</t>
  </si>
  <si>
    <t>The Southern Ocean shelf ostracod fauna is quite well known, while the bathyal and abyssal ones remain poorly understood. Herein, Recent Thaerocytheridae ostracods collected from deep regions in the Atlantic Sector of the Southern Ocean are described and figured. The discovery of Bradleya mesembrina Mazzini, 2005 extends its geographical and bathymetric distribution to the Antarctic zone of the Southern Ocean and to shallower (231 m) and to deeper regions (4420 m). Harleya ansoni (Whatley, Moguilevsky, Ramos &amp; Coxill, 1998) is reported for the first time from the Weddell Sea. We also describe three new species: Poseidonamicus hunti Brandao &amp; Paplow sp. nov., Poseidonamicus tainae Brandao sp. nov. and Poseidonamicus yasuharai Brandao &amp; Paplow sp. nov. For the first time we provide SEM photos of the lectotype of Poseidonamicus viminea (Brady, 1880) nomen dubium. We observe that P. yasuharai displays features intermediate to Harleya and Poseidonamicus, indicating that these two genera may require new diagnoses. The bathymetric distribution of Poseidonamicus is extended to the abyssal zone and to shallower environments, and its geographical distribution is extended southwards. Finally, the inter-specific variability in the number and type of setae and claws found on several segments of Poseidonamicus limbs are intermediate between the highly variable Bairdioidea and the homogeneous Macrocyprididae. J. Micropalaeontol. 30(2): 141-166, September 2011.</t>
  </si>
  <si>
    <t>[Brandao, Simone N.] DZMB, D-26382 Wilhelmshaven, Germany; [Brandao, Simone N.; Paeplow, Olinga] Univ Hamburg, Zool Museum, D-20146 Hamburg, Germany</t>
  </si>
  <si>
    <t>Brandao, SN (corresponding author), DZMB, Sudstrand 44, D-26382 Wilhelmshaven, Germany.</t>
  </si>
  <si>
    <t>snbrandao@gmx.net</t>
  </si>
  <si>
    <t>Brandao, Simone/C-9416-2013</t>
  </si>
  <si>
    <t>Brandao, Simone/0000-0002-3487-6129</t>
  </si>
  <si>
    <t>Alexander von Humboldt Foundation; CeDAMar; SCAR-MarBIN-Total Foundation; SYNTHESYS; Encyclopedia of Life and Hansische Universitats-Stiftung</t>
  </si>
  <si>
    <t>Alexander von Humboldt Foundation(Alexander von Humboldt Foundation); CeDAMar; SCAR-MarBIN-Total Foundation; SYNTHESYS; Encyclopedia of Life and Hansische Universitats-Stiftung</t>
  </si>
  <si>
    <t>The first author thanks Dr Dietmar Keyser (ZMH, Universitat Hamburg) for very careful supervision during her PhD work. Prof. Dr Angelika Brandt (ZMH, Universitat Hamburg) and Prof. Dr Pedro Martinez Arbizu (DZMB, Senckenberg Institute) are acknowledged for their mentorship and permission to study the specimens; Renate Walter (ZMH, Universitat Hamburg) for assistance with scanning electron microscope; Dr Ivana Karanovic (ZMH, Universitat Hamburg) suggested improvements to the English. Prof. Dr Angelika Brandt and Dr Brigitte Ebbe co-ordinated the ANDEEP project; the crew and the scientists on board the RV Polarstern during the ANDEEP and EASIZ cruises assisted in collecting the samples. The present study is a subproject of the 'BIodiversity and Biogeography of OStracoda (Crustacea) from ANTarctica and deep-sea' (BIOSANT) project, which is supported financially by the Alexander von Humboldt Foundation, CeDAMar, SCAR-MarBIN-Total Foundation, SYNTHESYS, Encyclopedia of Life and Hansische Universitats-Stiftung. This is ANDEEP publication No. 148.</t>
  </si>
  <si>
    <t>0262-821X</t>
  </si>
  <si>
    <t>2041-4978</t>
  </si>
  <si>
    <t>J MICROPALAEONTOL</t>
  </si>
  <si>
    <t>J. Micropalaentol.</t>
  </si>
  <si>
    <t>10.1144/0262-821X10-017</t>
  </si>
  <si>
    <t>832WH</t>
  </si>
  <si>
    <t>WOS:000295839800006</t>
  </si>
  <si>
    <t>Cabrera, MIL; Olivero, EB</t>
  </si>
  <si>
    <t>Lopez Cabrera, Maria Isabel; Olivero, Eduardo B.</t>
  </si>
  <si>
    <t>AN EOCENE ARTICULATED POLYPLACOPHORA (MOLLUSCA) FROM THE LA MESETA FORMATION, ANTARCTICA AND THE STRATIGRAPHY OF THE FOSSIL-BEARING STRATA</t>
  </si>
  <si>
    <t>CHITONS MOLLUSCA; SEYMOUR ISLAND; RECORD; SYSTEM; SHELF</t>
  </si>
  <si>
    <t>An exceptionally well-preserved specimen of Leptochiton sp. attached to a brachiopod valve is described from the early Eocene beds of the La Meseta Formation, Seymour Island. It records the first fossil Polyplacophora from Antarctica. The small specimen has eight imbricating valves, rounded lateral margins, ribs of fine granules, and growth marks in all valves. It strongly resembles extant Antarctic and South American species of Leptochiton Gray. The record of articulate valves in fossil Polyplacophora is rare and requires exceptional preservational conditions. Leptochiton sp. is associated with well preserved bryozoans, brachiopods, asterozoan echinoids, and serpulids, among other organisms that inhabited hard substrates in normal marine conditions, and probably lived attached to the side walls of an incised valley eroded in Cretaceous sediments. The well-preserved fossils were probably removed from their attachment site during storm events and, after a short transportation, rapidly buried within the early Eocene valley-fill deposits. The fossil-bearing beds are included in the Telm 2 or Acantilados Allomember of the La Meseta Formation.</t>
  </si>
  <si>
    <t>[Lopez Cabrera, Maria Isabel; Olivero, Eduardo B.] Ctr Austral Invest Cient, RA-9410 Ushuaia, Tierra Fuego, Argentina</t>
  </si>
  <si>
    <t>Cabrera, MIL (corresponding author), Ctr Austral Invest Cient, Bernardo A Houssay 200, RA-9410 Ushuaia, Tierra Fuego, Argentina.</t>
  </si>
  <si>
    <t>emolivero@gmail.com</t>
  </si>
  <si>
    <t>ANCYP_FONCYT, Argentina [PICTO 3631]</t>
  </si>
  <si>
    <t>ANCYP_FONCYT, Argentina</t>
  </si>
  <si>
    <t>We thank B. Sirenko of the Zoological Institute of Russian Academy of Sciences and E. Schwabe of the Bavarian State Collection of Zoology (Germany) for advice on taxonomy and help with the bibliography; M. Barbagallo (CADIC) for the drawing of the Leptochiton specimen; M. Diez (CADIC) for sharing the recent material of Polyplacophora from the Beagle Channel; and G. Pastur and V. Lencinas (CADIC) for the use of the photographic stereomicroscope. EBO appreciated the company and fellowship of A. Sobral (CADIC), J. Kirschvink (CALTECH) and R. Mitchell (Yale University) during the 2008 Antarctic field season. We appreciate the positive observations of reviewers E. Schwabe (Bavarian State Collection of Zoology, Germany) and S. Marenssi (Instituto Antartico Argentino) that improved the manuscript. This work was financed by PICTO 3631 ANCYP_FONCYT, Argentina.</t>
  </si>
  <si>
    <t>1937-2337</t>
  </si>
  <si>
    <t>WOS:000294885100015</t>
  </si>
  <si>
    <t>Letessier, TB; Cox, MJ; Brierley, AS</t>
  </si>
  <si>
    <t>Letessier, Tom B.; Cox, Martin J.; Brierley, Andrews S.</t>
  </si>
  <si>
    <t>Drivers of variability in Euphausiid species abundance throughout the Pacific Ocean</t>
  </si>
  <si>
    <t>Pacific; species abundance; Euphausiids; longitude; silicate; sea surface temperature; generalized additive model; climate change</t>
  </si>
  <si>
    <t>NORTH-ATLANTIC; CLIMATE-CHANGE; INTERANNUAL VARIABILITY; LATITUDINAL GRADIENTS; MARINE-PHYTOPLANKTON; DISTRIBUTION PATTERN; PLANKTON ECOSYSTEMS; ANTARCTIC KRILL; ZOOPLANKTON; RATES</t>
  </si>
  <si>
    <t>Using a generalized additive model, we assessed the influence of a suite of physical, chemical and biological variables upon euphausiid species abundance throughout the Pacific. We found that the main drivers of species abundance, in order of decreasing importance, were sea surface temperature (explaining 29.53% of species variability), salinity (20.29%), longitude (-15.01%, species abundance decreased from West to East), distance to coast (10.99%) and dissolved silicate concentration (9.03%). We discuss the influence of these variables within the context of the known ecology and biology of euphausiids. With reference to a previously published model in the Atlantic, we compare the practical differences in the Atlantic and Pacific Ocean. Using projected environmental change from the IPCC A1B climate scenario, we make predictions of future species abundance changes in the Pacific and Atlantic. Our model suggests that species abundance in both oceans between latitudes 30 degrees and 60 degrees (both N and S) will increase due to the temperature rise predicted over the next 200 years, whereas at low latitudes responses are likely to differ between the oceans, with little change predicted for the Atlantic, but species depletion predicted for the Pacific.</t>
  </si>
  <si>
    <t>[Letessier, Tom B.; Cox, Martin J.; Brierley, Andrews S.] Univ St Andrews, Scottish Oceans Inst, Pelag Ecol Res Grp, St Andrews KY16 8LB, Fife, Scotland</t>
  </si>
  <si>
    <t>University of St Andrews</t>
  </si>
  <si>
    <t>Letessier, TB (corresponding author), Univ St Andrews, Scottish Oceans Inst, Pelag Ecol Res Grp, St Andrews KY16 8LB, Fife, Scotland.</t>
  </si>
  <si>
    <t>tbl@st-and.ac.uk</t>
  </si>
  <si>
    <t>Letessier, Tom Bech/AAV-2759-2020; Brierley, Andrew/G-8019-2011</t>
  </si>
  <si>
    <t>Letessier, Tom Bech/0000-0003-4011-0207; Brierley, Andrew/0000-0002-6438-6892</t>
  </si>
  <si>
    <t>United Kingdom Natural Environment Research Council (NERC) [NE/C513018/1]; School of Biology at the University of St Andrews; NERC [NE/C51297X/1, NE/C513018/1, NE/C512996/1, NE/C512961/1, NE/C512988/1, NE/C51300X/1] Funding Source: UKRI; Natural Environment Research Council [NE/C51297X/1, NE/C512961/1, NE/C512988/1, NE/C513018/1, NE/C512996/1, NE/C51300X/1] Funding Source: researchfish</t>
  </si>
  <si>
    <t>United Kingdom Natural Environment Research Council (NERC)(UK Research &amp; Innovation (UKRI)Natural Environment Research Council (NERC)); School of Biology at the University of St Andrews; NERC(UK Research &amp; Innovation (UKRI)Natural Environment Research Council (NERC)); Natural Environment Research Council(UK Research &amp; Innovation (UKRI)Natural Environment Research Council (NERC))</t>
  </si>
  <si>
    <t>We thank the United Kingdom Natural Environment Research Council (NERC, grant number: NE/C513018/1) and the School of Biology at the University of St Andrews for funding.</t>
  </si>
  <si>
    <t>1464-3774</t>
  </si>
  <si>
    <t>10.1093/plankt/fbr033</t>
  </si>
  <si>
    <t>804DM</t>
  </si>
  <si>
    <t>WOS:000293634400003</t>
  </si>
  <si>
    <t>Fietz, S; Martínez-Garcia, A; Rueda, G; Peck, VL; Huguet, C; Escala, M; Rosell-Melé, A</t>
  </si>
  <si>
    <t>Fietz, Susanne; Martinez-Garcia, Alfredo; Rueda, Gemma; Peck, Vicky L.; Huguet, Carme; Escala, Marina; Rosell-Mele, Antoni</t>
  </si>
  <si>
    <t>Crenarchaea and phytoplankton coupling in sedimentary archives: Common trigger or metabolic dependence?</t>
  </si>
  <si>
    <t>COASTAL WATERS; ATLANTIC-OCEAN; PACIFIC-OCEAN; AMINO-ACIDS; LAKE BAIKAL; ARCHAEA; BACTERIAL; VARIABILITY; DIVERSITY; PIGMENTS</t>
  </si>
  <si>
    <t>The concentrations of chlorins (chlorophyll transformation products indicative of phytoplankton production) and crenarchaeol (a marker for Crenarchaea abundance) are significantly positively correlated (Spearman's rank correlation coefficient r(s) &gt; 0.75) in four core records from freshwater (Lake Baikal) and marine settings (Southern, Atlantic, and Arctic Oceans). This suggests a close relationship between Crenarchaea abundance and phytoplankton production. Degradation and transport mechanisms, as well as a common environmental trigger, may in part account for our observations, but these mechanisms alone cannot fully explain them. Instead our findings point to a metabolic dependence of Crenarchaea on resources released by phytoplankton, such as organic carbon or ammonium.</t>
  </si>
  <si>
    <t>[Fietz, Susanne; Martinez-Garcia, Alfredo; Rueda, Gemma; Huguet, Carme; Escala, Marina; Rosell-Mele, Antoni] Univ Autonoma Barcelona, Inst Environm Sci &amp; Technol, Bellaterra, Spain; [Martinez-Garcia, Alfredo] ETH, Zurich, Switzerland; [Peck, Vicky L.] British Antarctic Survey, Cambridge CB3 0ET, England; [Rosell-Mele, Antoni] Inst Catalana Recerca &amp; Estudis Avancats, Barcelona, Spain; [Rosell-Mele, Antoni] Univ Autonoma Barcelona, Dept Geog, Bellaterra, Spain</t>
  </si>
  <si>
    <t>Autonomous University of Barcelona; Swiss Federal Institutes of Technology Domain; ETH Zurich; UK Research &amp; Innovation (UKRI); Natural Environment Research Council (NERC); NERC British Antarctic Survey; ICREA; Autonomous University of Barcelona</t>
  </si>
  <si>
    <t>Fietz, S (corresponding author), Univ Autonoma Barcelona, Inst Environm Sci &amp; Technol, Bellaterra, Spain.</t>
  </si>
  <si>
    <t>susanne.fietz@uab.cat</t>
  </si>
  <si>
    <t>Rosell-Melé, Antoni/B-3433-2013; Martinez-Garcia, Alfredo/A-6244-2010; Huguet, Carme/C-6918-2013; Fietz, Susanne/A-8695-2012</t>
  </si>
  <si>
    <t>Rosell-Melé, Antoni/0000-0002-5513-2647; Martinez-Garcia, Alfredo/0000-0002-7206-5079; Huguet, Carme/0000-0001-8025-2010; Fietz, Susanne/0000-0003-0896-8385</t>
  </si>
  <si>
    <t>Deutsche Forschungsgemeinschaft (DFG) [FI 1466/1-1]; Spanish Ministry of Science and Innovation (MICINN) [POL2006-02990, CGL2008-03288-E, CGL2010-15000]; Formacion del Profesorado Universitario (FPU) [AP2004-7151, AP2008-00801]; Juan de la Cierva; European Commission Marie Curie-IOF [235626]; Natural Environment Research Council [bas0100024] Funding Source: researchfish; NERC [bas0100024] Funding Source: UKRI; ICREA Funding Source: Custom</t>
  </si>
  <si>
    <t>Deutsche Forschungsgemeinschaft (DFG)(German Research Foundation (DFG)); Spanish Ministry of Science and Innovation (MICINN)(Spanish Government); Formacion del Profesorado Universitario (FPU)(Spanish Government); Juan de la Cierva(Instituto de Salud Carlos IIISpanish Government); European Commission Marie Curie-IOF; Natural Environment Research Council(UK Research &amp; Innovation (UKRI)Natural Environment Research Council (NERC)); NERC(UK Research &amp; Innovation (UKRI)Natural Environment Research Council (NERC)); ICREA(ICREA)</t>
  </si>
  <si>
    <t>We thank N. Moraleda and N. Nunez for technical assistance, and A. Nicklisch and H. Winkler for their contributions in getting the pigment data of the Baikal record. We gratefully thank the collaboration of the reviewers for their constructive comments. S.F. thanks the Deutsche Forschungsgemeinschaft (DFG) for a Postdoctoral Fellowship FI 1466/1-1.; Support for this work was provided by the Spanish Ministry of Science and Innovation (MICINN) as research funds (POL2006-02990, CGL2008-03288-E, CGL2010-15000), Formacion del Profesorado Universitario (FPU) studentships to A.M.G. and G.R. (AP2004-7151 and AP2008-00801, respectively), Juan de la Cierva fellowships to S.F. and C.H., and a European Commission Marie Curie-IOF (235626) to A.R.M.</t>
  </si>
  <si>
    <t>10.4319/lo.2011.56.5.1907</t>
  </si>
  <si>
    <t>WOS:000294603500027</t>
  </si>
  <si>
    <t>Gaston, AJ; Smith, PA; Tranquilla, LM; Montevecchi, WA; Fifield, DA; Gilchrist, HG; Hedd, A; Mallory, ML; Robertson, GJ; Phillips, RA</t>
  </si>
  <si>
    <t>Gaston, Anthony J.; Smith, Paul A.; Tranquilla, Laura McFarlane; Montevecchi, William A.; Fifield, David A.; Gilchrist, H. Grant; Hedd, April; Mallory, Mark L.; Robertson, Gregory J.; Phillips, Richard A.</t>
  </si>
  <si>
    <t>Movements and wintering areas of breeding age Thick-billed Murre Uria lomvia from two colonies in Nunavut, Canada</t>
  </si>
  <si>
    <t>SATELLITE TRANSMITTERS; FORAGING BEHAVIOR; MIGRATION; GUILLEMOTS; NEWFOUNDLAND; TRACKING; SEABIRDS; INSIGHTS; TRENDS; ISLAND</t>
  </si>
  <si>
    <t>The non-breeding movements of marine birds were poorly known until recently, but this information is essential to understanding the risk to different geographical populations from events on the wintering grounds. We tracked the migration routes and wintering areas of Thick-billed Murre Uria lomvia from two breeding colonies in eastern Canada: Coats Island in northern Hudson Bay and The Minarets, Baffin Island, during the period August 2007-May 2008 using geolocation loggers. Birds from The Minarets moved south rapidly post-breeding and wintered principally off Newfoundland and southern Labrador, or between Newfoundland and southern Greenland, remaining south of 55A degrees N until at least the spring equinox. Those from Coats Island remained in Hudson Bay until at least mid-November, after which they moved rapidly through Hudson Strait to winter in southern Davis Strait and the northern Labrador Sea, mostly north of 55A degrees N. Many individuals stayed throughout the winter in areas of heavy ice cover. Adults from the two colonies appear to be completely segregated in winter and those from Coats Island probably did not enter the area of the winter hunt in Newfoundland. Unexpectedly, some birds from The Minarets wintered in waters beyond the continental slope and outside the distribution of pack ice, demonstrating that particular individuals can be wholly pelagic throughout the winter. Coats Island birds returned through Hudson Strait as soon as open water areas became available in spring. Their sojourn in Hudson Bay coincided very closely with the occurrence of areas with &lt; 90% ice cover. In spite of the relatively large error in positions obtained from geolocation loggers, our results demonstrated the value of these devices by uncovering a number of previously unknown aspects of Thick-billed Murre non-breeding ecology in the Northwest Atlantic. Comparison of the non-breeding ecology based on SST experienced in winter show that the winter niche is broader than hitherto assumed, demonstrating that separate populations may experience different selection in the face of climate change.</t>
  </si>
  <si>
    <t>[Gaston, Anthony J.; Smith, Paul A.; Gilchrist, H. Grant] Carleton Univ, Wildlife Res Div, Environm Canada, Ottawa, ON K1A 0H3, Canada; [Tranquilla, Laura McFarlane; Montevecchi, William A.; Hedd, April] Mem Univ Newfoundland, Dept Psychol, Cognit &amp; Behav Ecol Programme, St John, NF A1B 3X9, Canada; [Tranquilla, Laura McFarlane; Montevecchi, William A.; Hedd, April] Mem Univ Newfoundland, Dept Biol, Cognit &amp; Behav Ecol Programme, St John, NF A1B 3X9, Canada; [Fifield, David A.; Robertson, Gregory J.] Environm Canada, Wildlife Res Div, Mt Pearl, NL A1N 4T3, Canada; [Mallory, Mark L.] Canadian Wildlife Serv, Iqaluit, NU X0A 0H0, Canada; [Phillips, Richard A.] British Antarctic Survey, NERC, Cambridge CB3 0ET, England</t>
  </si>
  <si>
    <t>Environment &amp; Climate Change Canada; Canadian Wildlife Service; Wildlife Research Division - Environment Canada; Carleton University; Memorial University Newfoundland; Memorial University Newfoundland; Environment &amp; Climate Change Canada; Canadian Wildlife Service; Wildlife Research Division - Environment Canada; Environment &amp; Climate Change Canada; Canadian Wildlife Service; UK Research &amp; Innovation (UKRI); Natural Environment Research Council (NERC); NERC British Antarctic Survey</t>
  </si>
  <si>
    <t>Gaston, AJ (corresponding author), Carleton Univ, Wildlife Res Div, Environm Canada, Ottawa, ON K1A 0H3, Canada.</t>
  </si>
  <si>
    <t>tony.gaston@ec.gc.ca</t>
  </si>
  <si>
    <t>Robertson, Greg/AAI-5849-2020; Mallory, Mark/A-1952-2017</t>
  </si>
  <si>
    <t>Robertson, Greg/0000-0001-8452-5506; Hedd, April/0000-0003-2222-2627; Mallory, Mark/0000-0003-2744-3437</t>
  </si>
  <si>
    <t>10.1007/s00227-011-1704-9</t>
  </si>
  <si>
    <t>WOS:000294230000002</t>
  </si>
  <si>
    <t>McIntyre, T; Bornemann, H; Plötz, J; Tosh, CA; Bester, MN</t>
  </si>
  <si>
    <t>McIntyre, Trevor; Bornemann, Horst; Ploetz, Joachim; Tosh, Cheryl A.; Bester, Marthan N.</t>
  </si>
  <si>
    <t>Water column use and forage strategies of female southern elephant seals from Marion Island</t>
  </si>
  <si>
    <t>MIROUNGA-LEONINA; DIVING BEHAVIOR; TOP PREDATOR; SHALLOW SEAS; ADULT MALE; OCEAN; ECOLOGY; FISH; MOVEMENTS; DURATION</t>
  </si>
  <si>
    <t>The at-sea behaviour of marine top predators provides valuable insights into the distribution of prey species and strategies used by predators to exploit patchily distributed resources. We describe the water column usage and dive strategies of female southern elephant seals from Marion Island tracked between 2004 and 2008. Dives representing increases in forage effort were identified using a method that combines dive type analyses and the calculation of relative amounts of time that animals spend in the bottom phases of dives. Results from this analysis indicate that female elephant seals from Marion Island tend to display lower levels of forage effort closer to the island and display intensive opportunistic forage bouts that occur at a minimum distance of approximately 215 km from the island. Females from Marion Island dived deeper and for longer periods of time, compared to females from other populations. Most animals displayed positive diel vertical migration, evidently foraging pelagically on vertically migrating prey. A few animals displayed periods of reverse (negative) diel vertical migration, however, diving to deeper depths at night, compared to daytime. This behaviour is difficult to explain and prey species targeted during such periods unknown. Our results illustrate plasticity in foraging behaviour of southern elephant seals, as well as inter-population differences in forage strategies.</t>
  </si>
  <si>
    <t>[McIntyre, Trevor; Tosh, Cheryl A.; Bester, Marthan N.] Univ Pretoria, Mammal Res Inst, Dept Zool &amp; Entomol, ZA-0002 Pretoria, South Africa; [Bornemann, Horst; Ploetz, Joachim] Alfred Wegener Inst Polar &amp; Marine Res, D-27515 Bremerhaven, Germany</t>
  </si>
  <si>
    <t>University of Pretoria; Helmholtz Association; Alfred Wegener Institute, Helmholtz Centre for Polar &amp; Marine Research</t>
  </si>
  <si>
    <t>McIntyre, T (corresponding author), Univ Pretoria, Mammal Res Inst, Dept Zool &amp; Entomol, ZA-0002 Pretoria, South Africa.</t>
  </si>
  <si>
    <t>Tosh, Cheryl/D-5623-2016; McIntyre, Trevor/E-6846-2010; Bester, Marthán N/E-5387-2010</t>
  </si>
  <si>
    <t>Tosh, Cheryl/0000-0003-0243-5422; McIntyre, Trevor/0000-0001-8395-7550;</t>
  </si>
  <si>
    <t>Alfred Wegener Institute for Polar and Marine Research (Germany); Department of Science and Technology through the National Research Foundation (South Africa); South African National Antarctic Programme</t>
  </si>
  <si>
    <t>We thank Nico de Buyn, Chris Oosthuizen, Mashudu Phalanndwa, Ryan Reisinger, Thomas Mufanadzo, Phathu Radzilani, Brent Stewart and Greg Hofmeyr for assistance in the field with the deployment of satellite tags. Martin Biuw generously provided R codes (and helpful assistance) for the dive classifications and the use of the maptools package. Comments from three anonymous reviewers on a previous version of this manuscript were very constructive and greatly improved it. The Alfred Wegener Institute for Polar and Marine Research (Germany), the Department of Science and Technology through the National Research Foundation (South Africa) and the South African National Antarctic Programme provided financial and logistical support. Much of this research was carried out under the South Africa/Germany part of the project MEOP (Marine Mammals Exploring the Oceans Pole to Pole), carried out as part of the International Polar Year.</t>
  </si>
  <si>
    <t>10.1007/s00227-011-1719-2</t>
  </si>
  <si>
    <t>WOS:000294230000016</t>
  </si>
  <si>
    <t>Thrush, SF; Cummings, VJ</t>
  </si>
  <si>
    <t>Thrush, Simon F.; Cummings, Vonda J.</t>
  </si>
  <si>
    <t>Massive icebergs, alteration in primary food resources and change in benthic communities at Cape Evans, Antarctica</t>
  </si>
  <si>
    <t>MARINE ECOLOGY-AN EVOLUTIONARY PERSPECTIVE</t>
  </si>
  <si>
    <t>Benthic communities; food supply; iceberg; long-term study; Ross Sea</t>
  </si>
  <si>
    <t>TERRA-NOVA BAY; ROSS SEA; MCMURDO-SOUND; CLIMATE-CHANGE; ORGANIC ENRICHMENT; ICE; WESTERN; EVENTS; VARIABILITY; SURVIVAL</t>
  </si>
  <si>
    <t>The presence of massive icebergs in the Southwestern Ross Sea (Antarctica) in the early-to-mid-2000s changed the regional sea ice regime and phytoplankton productivity. We exploit data on benthic macro- and megafaunal communities collected on six occasions between 2001 and 2009 in the shallow waters adjacent to Cape Evans to link these oceanographic shifts to changes in benthic ecology. Changes in the abundance of individual species and community composition were generally strongest, and mostly negative, in 2002 and 2003, which exhibited the largest decrease in water column productivity and thick and persistent sea ice. This pattern of decreasing numbers from the start of sampling in 2001 to the lowest values in 2003 is consistent with the impact of the icebergs and a lagged response on the part of the benthic populations in response to food shortage. The patterns of stronger effects on macrofauna than on megafauna, and on abundance rather than species richness, are consistent with a change in food supply and/or recruitment for short-lived species, rather than a physical disturbance effect. Nevertheless, recovery patterns are likely to reflect changes in benthic communities associated with larval supply and changes in top-down control after the years of predicted lowest food supply. There are many potential manifestations of climate change in Antarctica, and many of the ecological responses to environmental change are likely to be mediated through the foodweb. Long-term studies in different locations are essential if we are to understand and forecast changes in sea-floor ecosystems.</t>
  </si>
  <si>
    <t>[Thrush, Simon F.] Natl Inst Water &amp; Atmospher Res, Hamilton, New Zealand; [Cummings, Vonda J.] Natl Inst Water &amp; Atmospher Res, Wellington, New Zealand</t>
  </si>
  <si>
    <t>Thrush, SF (corresponding author), Natl Inst Water &amp; Atmospher Res, POB 11-115, Hamilton, New Zealand.</t>
  </si>
  <si>
    <t>s.thrush@niwa.cri.nz</t>
  </si>
  <si>
    <t>Cummings, Vonda/0000-0003-1076-3995; Thrush, Simon/0000-0002-4005-3882</t>
  </si>
  <si>
    <t>New Zealand Ministry of Fisheries [ZBD2001/02, ZBD2002/01, ZBD2006/03]; NIWA-NSOF; NZ Foundation for Research Science and Technology [COX01707]</t>
  </si>
  <si>
    <t>New Zealand Ministry of Fisheries; NIWA-NSOF; NZ Foundation for Research Science and Technology(New Zealand Foundation for Research, Science and Technology)</t>
  </si>
  <si>
    <t>We thank Paul for his inspiration, for introducing one of us (S. F. T.) to the splendour of Antarctic's benthic ecosystems; he has consistently sought to develop and encourage international collaboration and we thank him for this. From his PhD research using dog bowls and dynamite on the Washington coast, Paul has been at the forefront of disturbance ecology research in marine systems, and his work is fundamental to our understanding of environmental effects in coastal systems. We would also like to thank our Italian Antarctic colleagues, particularly Riccardo Cattaneo-Vietti and Mariachiara Chiantore, for allowing us the space to begin to understand changes over time in Antarctica. We thank Chazz Marriott and Greig Funnell for video analysis, Ron Ovenden, Sarah Hailes and Scott Edhouse for sediment analyses, and Geoff Read (polychaetes) and Graham Bird (tanaids) for taxonomic assistance. For the diving we thank Greig Funnell, Owen Anderson, Chazz Marriott, Ian Hawes, Anne-Maree Schwarz, Luca Chiaroni, Drew Lohrer Alf Norkko, Neil Andrew and our dive supervisors Steve Mercer, Rod Budd and Jenny Beaumont. Alf Norkko and Neil Andrew are thanked for their valuable input to the early phases of this research, and Takeshi Tamura for unpublished information on changes in the Ross Sea polynya in the years following the icebergs. We are grateful to Antarctica New Zealand for providing excellent logistical support. This work has been funded by the New Zealand Ministry of Fisheries (ZBD2001/02, ZBD2002/01 and ZBD2006/03), NIWA-NSOF and the NZ Foundation for Research Science and Technology International Polar Year project COX01707.</t>
  </si>
  <si>
    <t>0173-9565</t>
  </si>
  <si>
    <t>1439-0485</t>
  </si>
  <si>
    <t>MAR ECOL-EVOL PERSP</t>
  </si>
  <si>
    <t>Mar. Ecol.-Evol. Persp.</t>
  </si>
  <si>
    <t>10.1111/j.1439-0485.2011.00462.x</t>
  </si>
  <si>
    <t>803DD</t>
  </si>
  <si>
    <t>WOS:000293560400005</t>
  </si>
  <si>
    <t>Yannic, G; Sermier, R; Aebischer, A; Gavrilo, MV; Gilg, O; Miljeteig, C; Sabard, B; Strom, H; Pouivé, E; Broquet, T</t>
  </si>
  <si>
    <t>Yannic, Glenn; Sermier, Roberto; Aebischer, Adrian; Gavrilo, Maria V.; Gilg, Olivier; Miljeteig, Cecilie; Sabard, Brigitte; Strom, Hallvard; Pouive, Emmanuelle; Broquet, T.</t>
  </si>
  <si>
    <t>Description of microsatellite markers and genotyping performances using feathers and buccal swabs for the Ivory gull (Pagophila eburnea)</t>
  </si>
  <si>
    <t>MOLECULAR ECOLOGY RESOURCES</t>
  </si>
  <si>
    <t>allelic dropout; amplification success; Arctic; buccal swab; feather; genotyping errors; Ivory gull; microsatellites; multiplex PCR; Pagophila eburnea</t>
  </si>
  <si>
    <t>NONINVASIVE POPULATION-GENETICS; NATURALLY SHED FEATHERS; MOLTED FEATHERS; ERROR RATES; INDIVIDUAL IDENTIFICATION; SEX DETERMINATION; AQUILA-HELIACA; DNA; SAMPLES; BIRDS</t>
  </si>
  <si>
    <t>We report 22 new polymorphic microsatellites for the Ivory gull (Pagophila eburnea), and we describe how they can be efficiently co-amplified using multiplexed polymerase chain reactions. In addition, we report DNA concentration, amplification success, rates of genotyping errors and the number of genotyping repetitions required to obtain reliable data with three types of noninvasive or nondestructive samples: shed feathers collected in colonies, feathers plucked from living individuals and buccal swabs. In two populations from Greenland (n = 21) and Russia (Severnaya Zemlya Archipelago, n = 21), the number of alleles per locus varied between 2 and 17, and expected heterozygosity per population ranged from 0.18 to 0.92. Twenty of the markers conformed to Hardy-Weinberg and linkage equilibrium expectations. Most markers were easily amplified and highly reliable when analysed from buccal swabs and plucked feathers, showing that buccal swabbing is a very efficient approach allowing good quality DNA retrieval. Although DNA amplification success using single shed feathers was generally high, the genotypes obtained from this type of samples were prone to error and thus need to be amplified several times. The set of microsatellite markers described here together with multiplex amplification conditions and genotyping error rates will be useful for population genetic studies of the Ivory gull.</t>
  </si>
  <si>
    <t>[Yannic, Glenn; Sermier, Roberto; Broquet, T.] Univ Lausanne, Dept Ecol &amp; Evolut, CH-1015 Lausanne, Switzerland; [Yannic, Glenn; Aebischer, Adrian; Miljeteig, Cecilie; Strom, Hallvard] Grp Rech Ecol Arctique, F-21440 Francheville, France; [Gavrilo, Maria V.] Arctic &amp; Antarctic Res Inst AARI, St Petersburg 199397, Russia; [Gilg, Olivier] Univ Bourgogne, Lab Biogeosci, CNRS, Equipe Ecol Evolut,UMR 5561, F-21000 Dijon, France; [Miljeteig, Cecilie; Strom, Hallvard] Polar Environm Ctr, Norwegian Polar Inst, N-9296 Tromso, Norway; [Pouive, Emmanuelle] ECV, CH-1004 Lausanne, Switzerland; [Broquet, T.] Team Div&amp;Co, CNRS, Lab Adaptat &amp; Divers Milieu Marin, Stn Biol Roscoff,UMR 7144, F-29682 Roscoff, France; [Broquet, T.] Univ Paris 06, UPMC, Stn Biol Roscoff, AD2M,UMR 7144, F-29682 Roscoff, France</t>
  </si>
  <si>
    <t>University of Lausanne; Arctic &amp; Antarctic Research Institute; Universite de Bourgogne; Centre National de la Recherche Scientifique (CNRS); Norwegian Polar Institute; Centre National de la Recherche Scientifique (CNRS); CNRS - Institute of Ecology &amp; Environment (INEE); Sorbonne Universite; Sorbonne Universite; Centre National de la Recherche Scientifique (CNRS); CNRS - Institute of Ecology &amp; Environment (INEE)</t>
  </si>
  <si>
    <t>Yannic, G (corresponding author), Univ Laval, Dept Biol, 1045 Ave Med, Quebec City, PQ G1V 0A6, Canada.</t>
  </si>
  <si>
    <t>Glenn.Yannic@gmail.com</t>
  </si>
  <si>
    <t>GILG, Olivier/C-2588-2008; Gavrilo, Maria V/R-7091-2016; YANNIC, Glenn/HDO-0551-2022</t>
  </si>
  <si>
    <t>Gavrilo, Maria V/0000-0002-3500-9617; YANNIC, Glenn/0000-0002-6477-2312; Broquet, Thomas/0000-0002-2986-2822; GILG, Olivier/0000-0002-9083-4492; Miljeteig, Cecilie/0000-0003-1527-1703</t>
  </si>
  <si>
    <t>foundation Agassiz (Switzerland); foundation Ellis Elliot (Switzerland); Societe vaudoise des Sciences naturelles (Switzerland); Nos Oiseaux (Switzerland); Nicolas Perrin's research group (University of Lausanne); Norwegian Ministry of Environment; Norwegian Polar Institute; Arctic and Antarctic Research Institute</t>
  </si>
  <si>
    <t>This work was supported by a foundation Agassiz (Switzerland) grant to TB, and by grants from foundation Ellis Elliot (Switzerland), Societe vaudoise des Sciences naturelles (Switzerland), and Nos Oiseaux (Switzerland) to GY and EP. This work has also been supported by Nicolas Perrin's research group (University of Lausanne). Field work in Greenland was supported by the National Geographic Society, Prix Gore-Tex initiative, Fondation Avenir Finance, the Arctic Ocean Diversity Census of Marine Life Project, CNES, CLS and F. Paulsen. The field work in Norway and Russia was funded by the Norwegian Ministry of Environment, the Norwegian Polar Institute and Arctic and Antarctic Research Institute. The project was part of the work plan of the Joint Norwegian-Russian Commission on Environmental Protection. The work in Russia was part of the Russian IPY program and we thank here leader of the Arktika-2008 IPY Expedition Vladimir Sokolov for providing opportunity to visit Domashny Island colony and collect Ivory gull samples. Subject editor G. Travis and three anonymous reviewers contributed constructive insights to this work.</t>
  </si>
  <si>
    <t>1755-098X</t>
  </si>
  <si>
    <t>MOL ECOL RESOUR</t>
  </si>
  <si>
    <t>Mol. Ecol. Resour.</t>
  </si>
  <si>
    <t>10.1111/j.1755-0998.2011.03015.x</t>
  </si>
  <si>
    <t>807QW</t>
  </si>
  <si>
    <t>WOS:000293915800017</t>
  </si>
  <si>
    <t>Escapa, IH; Taylor, EL; Cúneo, R; Bomfleur, B; Bergene, J; Serbet, R; Taylor, TN</t>
  </si>
  <si>
    <t>Escapa, Ignacio H.; Taylor, Edith L.; Cuneo, Ruben; Bomfleur, Benjamin; Bergene, Julie; Serbet, Rudolph; Taylor, Thomas N.</t>
  </si>
  <si>
    <t>TRIASSIC FLORAS OF ANTARCTICA: PLANT DIVERSITY AND DISTRIBUTION IN HIGH PALEOLATITUDE COMMUNITIES</t>
  </si>
  <si>
    <t>CENTRAL TRANSANTARCTIC MOUNTAINS; PRINCE-CHARLES-MOUNTAINS; STRUCTURALLY PRESERVED SPHENOPHYTES; NYMBOIDA COAL MEASURES; BASIN CREEK FORMATION; SEED CONE TELEMACHUS; NEW-SOUTH-WALES; FOSSIL PLANTS; ARBUSCULAR MYCORRHIZAE; REVISED STRATIGRAPHY</t>
  </si>
  <si>
    <t>Continental Triassic sequences in Antarctica are among the most continuous and best represented in Gondwana. Triassic fossil plants have been collected sporadically from Antarctica since the beginning of the twentieth century, but our knowledge of the vegetation during this time has dramatically increased during the last three decades. Here we review the fossil record of Triassic plants as representatives of natural groups from sites along the Transantarctic Mountains, using the fossils as evidence for successive vegetational changes through the Triassic, taking into account that these plant communities were living under particular high-latitude (70 degrees or higher) paleoclimatological conditions, including a polar light regime. Even though our knowledge of the Triassic floras of Antarctica is still incomplete, this survey shows that these floras were remarkably diverse. Lycopsids, equisetaleans, ferns, seed ferns, ginkgoaleans, and conifers were major components of the landscape in Antarctica during this time. The diversity of gymnosperms is exceptional, with almost every major clade of seed plants present, despite the high paleolatitude; however, each clade is often represented by only one or a few genera. The occurrence of permineralized peat, along with compression-impression floras, has increased our knowledge of the morphology, reproductive biology, and evolution of many of the plants in these floras. In general, floral changes in Antarctica during the Triassic can be recognized elsewhere in Gondwana, especially in South America, although a strict correlation based on macrofossils is still not possible. Thus, this contribution represents the first attempt to bring together information on Triassic floras from continental Antarctica (excluding the Antarctic Peninsula) within a biostratigraphic framework and thereby to compare these floras with those from lower latitudes.</t>
  </si>
  <si>
    <t>[Escapa, Ignacio H.; Taylor, Edith L.; Bomfleur, Benjamin; Bergene, Julie; Serbet, Rudolph; Taylor, Thomas N.] Univ Kansas, Dept Ecol &amp; Evolutionary Biol, Lawrence, KS 66045 USA; [Escapa, Ignacio H.; Taylor, Edith L.; Bomfleur, Benjamin; Bergene, Julie; Serbet, Rudolph; Taylor, Thomas N.] Univ Kansas, Nat Hist Museum, Lawrence, KS 66045 USA; [Escapa, Ignacio H.; Taylor, Edith L.; Bomfleur, Benjamin; Bergene, Julie; Serbet, Rudolph; Taylor, Thomas N.] Univ Kansas, Biodivers Inst, Lawrence, KS 66045 USA; [Escapa, Ignacio H.; Cuneo, Ruben] CONICET Museo Paleontol Egidio Feruglio, RA-9100 Trelew, Chubut, Argentina; [Bomfleur, Benjamin] Univ Munster, Forschungsstelle Palaobotan Inst Geol &amp; Palaontol, D-48143 Munster, Germany</t>
  </si>
  <si>
    <t>University of Kansas; University of Kansas; University of Kansas; Consejo Nacional de Investigaciones Cientificas y Tecnicas (CONICET); University of Munster</t>
  </si>
  <si>
    <t>Escapa, IH (corresponding author), Univ Kansas, Dept Ecol &amp; Evolutionary Biol, Lawrence, KS 66045 USA.</t>
  </si>
  <si>
    <t>iescapa@mef.org.ar; etaylor@ku.edu; rcuneo@mef.org.ar; bennibomfleur@gmx.de; jbergene@ku.edu; serbet@ku.edu; tntaylor@ku.edu</t>
  </si>
  <si>
    <t>E., Ignacio/AAA-3569-2021</t>
  </si>
  <si>
    <t>Bomfleur, Benjamin/0000-0002-2186-4970; Escapa, Ignacio/0000-0002-7042-7750</t>
  </si>
  <si>
    <t>Deutsche Forschungsgemeinschaft (DFG) [KE 584/16-1]; National Science Foundation [OPP-0635477]; Directorate For Geosciences; Office of Polar Programs (OPP) [0943934, 0635477] Funding Source: National Science Foundation</t>
  </si>
  <si>
    <t>Deutsche Forschungsgemeinschaft (DFG)(German Research Foundation (DFG)); National Science Foundation(National Science Foundation (NSF)); Directorate For Geosciences; Office of Polar Programs (OPP)(National Science Foundation (NSF)NSF - Directorate for Geosciences (GEO))</t>
  </si>
  <si>
    <t>We thank Anne-Laure Decombeix and Andrew Schwendemann who helped with the early development of the ideas included in this contribution, and Hans Kerp (Westfalische Wilhelms Universitat, Munster, Germany), whose Deutsche Forschungsgemeinschaft project (DFG grant KE 584/16-1) funded B.B.'s travel to Kansas. This manuscript was improved through critical comments from two anonymous reviewers. This research was supported by the National Science Foundation (OPP-0635477 to ELT and TNT).</t>
  </si>
  <si>
    <t>10.2110/palo.2010.p10-122r</t>
  </si>
  <si>
    <t>835NL</t>
  </si>
  <si>
    <t>WOS:000296043000002</t>
  </si>
  <si>
    <t>Eléaume, M; Hemery, LG; Bowden, DA; Roux, M</t>
  </si>
  <si>
    <t>Eleaume, Marc; Hemery, Lenaig G.; Bowden, David A.; Roux, Michel</t>
  </si>
  <si>
    <t>A large new species of the genus Ptilocrinus (Echinodermata, Crinoidea, Hyocrinidae) from Antarctic seamounts</t>
  </si>
  <si>
    <t>Echinodermata; Stalked crinoids; Hyocrinidae; Ptilocrinus; Antarctica; Seamount; Ross sea; Kerguelen plateau</t>
  </si>
  <si>
    <t>STALKED CRINOIDS; EVOLUTIONARY IMPLICATIONS; BENTHIC PREDATION; SOFTWARE</t>
  </si>
  <si>
    <t>Ptilocrinus amezianeae n. sp. is a new species of stalked crinoid attributed to the family Hyocrinidae. Forty-five specimens were collected from seamounts north of the Ross Sea, and one specimen from the Kerguelen Plateau at depths ranging from 450 to 1,680 m. The collection from Admiralty and Scott seamounts constitutes the first example of a hyocrinid population known both from in situ photographs and from numerous collected specimens ranging from small juvenile to large adult. Variation in theca and stalk articulation characters throughout ontogeny is congruent with the molecular data and indicates that all the specimens examined belong to a single species. Tegmen and pinnule architecture, brachial arrangement, and stalk articular facets indicate that Ptilocrinus amezianeae n. sp. has close affinities with P. clarki and P. pinnatus from the northeastern Pacific and displays the most derived characters among these three species. Two cases of true arm division into two unequal branches suggest that Ptilocrinus and Calamocrinus are closely related. The picture and video transects on Admiralty seamount show a patchy distribution of living specimens with patches of mean density ca. 2.6 individuals m-2. In situ photographs also document predation by a sea urchin and a sea star on tegmen and proximal arms. The COI gene sequences analyzed in 25 specimens from Admiralty and Scott seamounts display low pairwise distances, low nucleotidic diversity, and intermediate haplotype diversity. These results, together with disarticulated ossicles and attachment disks observed on in situ photographs, indicate that the population investigated here is in decline.</t>
  </si>
  <si>
    <t>[Eleaume, Marc; Hemery, Lenaig G.; Roux, Michel] Museum Natl Hist Nat, BOREA MNHN UPMC IRD UMR7208, Dept Milieux &amp; Peuplements Aquat, F-75231 Paris 05, France; [Bowden, David A.] Natl Inst Water &amp; Atmospher Res Ltd NIWA, Wellington, New Zealand</t>
  </si>
  <si>
    <t>Centre National de la Recherche Scientifique (CNRS); CNRS - Institute of Ecology &amp; Environment (INEE); Institut de Recherche pour le Developpement (IRD); Museum National d'Histoire Naturelle (MNHN); Sorbonne Universite; National Institute of Water &amp; Atmospheric Research (NIWA) - New Zealand</t>
  </si>
  <si>
    <t>Eléaume, M (corresponding author), Museum Natl Hist Nat, BOREA MNHN UPMC IRD UMR7208, Dept Milieux &amp; Peuplements Aquat, CP 26,57 Rue Cuvier, F-75231 Paris 05, France.</t>
  </si>
  <si>
    <t>eleaume@mnhn.fr; lhemery@mnhn.fr; d.bowden@niwa.co.nz; michroux@wanadoo.fr</t>
  </si>
  <si>
    <t>Hemery, Lenaïg/AAA-5799-2021</t>
  </si>
  <si>
    <t>Hemery, Lenaïg/0000-0001-5337-4514</t>
  </si>
  <si>
    <t>French national research agency (ANR) [07-BLAN-0213-01]; Departement des Milieux et Peuplements Aquatiques at the Museum national d'Histoire naturelle in Paris; Museum Victoria in Melbourne, Australia; NIWA in Wellington, New Zealand; French Polar Institute IPEV; NZ IPY-CAML project [IPY2007-01]</t>
  </si>
  <si>
    <t>French national research agency (ANR)(Agence Nationale de la Recherche (ANR)Norwegian Agency for Development Cooperation - NORAD); Departement des Milieux et Peuplements Aquatiques at the Museum national d'Histoire naturelle in Paris; Museum Victoria in Melbourne, Australia; NIWA in Wellington, New Zealand; French Polar Institute IPEV; NZ IPY-CAML project</t>
  </si>
  <si>
    <t>Specimens, data, and photographs of P. amezianeae n. sp. were collected by and made available through the New Zealand International Polar Year-Census of Antarctic Marine Life Project (NZ IPY-CAML project IPY2007-01). We thank Kareen Schnabel, Sadie Mills and Owen Anderson at NIWA, Rick Webster at the Museum of New Zealand Te Papa Tongarewa, Fabien Aubert and Nicolas Gasco through the TAAF administration for providing specimens. The SEM were done using the JEOL 840A at the Plate-forme de Microscopie Electronique of the Museum national d'Histoire naturelle. We thank the ANTFLOCKS project funded by the French national research agency (ANR; USAR n degrees 07-BLAN-0213-01). Funding parties also include the Departement des Milieux et Peuplements Aquatiques at the Museum national d'Histoire naturelle in Paris, the Museum Victoria in Melbourne, Australia (travel grant to ME and LH), NIWA in Wellington, New Zealand (travel grant to ME) and the French Polar Institute IPEV (travel grant to ME and LH). DB was funded under NZ IPY-CAML project IPY2007-01. We also thank Pr Fran Ramil of the Departamento de Ecoloxia e Bioloxia Animal, Facultade de Ciencias do Mar, Universidade de Vigo, Espana.</t>
  </si>
  <si>
    <t>10.1007/s00300-011-0993-2</t>
  </si>
  <si>
    <t>796BL</t>
  </si>
  <si>
    <t>WOS:000293025100010</t>
  </si>
  <si>
    <t>Hiroi, T; Kaiden, H; Misawa, K; Niihara, T; Kojima, H; Sasaki, S</t>
  </si>
  <si>
    <t>Hiroi, Takahiro; Kaiden, Hiroshi; Misawa, Keiji; Niihara, Takafumi; Kojima, Hideyasu; Sasaki, Sho</t>
  </si>
  <si>
    <t>Visible and near-infrared spectral survey of Martian meteorites stored at the National Institute of Polar Research</t>
  </si>
  <si>
    <t>Meteorite; Mars; Reflectance; Spectroscopy; Exploration</t>
  </si>
  <si>
    <t>SHERGOTTITE</t>
  </si>
  <si>
    <t>Martian meteorite chip samples stored at the National Institute of Polar Research (NIPR) have been studied by a visible and near-infrared (VNIR) spectrometer. Measured spots are about 3 x 2 mm in size, which are clearly marked on photographs of the meteorite chips. Rock types and approximate mineral compositions of studied meteorites have been identified or obtained through this spectral survey with no sample preparation required. This study demonstrates that this kind of spectral survey is effective in classifying and describing Marian meteorites, and that such a VNIR spectrometer on a Mars rover would be useful for identifying these kinds of unaltered Mars rocks. Further studies which utilize a smaller spot size are desired for improving the accuracy of identifying the clasts and mineral phases in the rocks. (C) 2011 Elsevier B. V. and NIPR. All rights reserved.</t>
  </si>
  <si>
    <t>[Hiroi, Takahiro; Kaiden, Hiroshi; Misawa, Keiji; Kojima, Hideyasu] Natl Inst Polar Res, Antarctic Meteorite Ctr, Tachikawa, Tokyo 1908518, Japan; [Hiroi, Takahiro] Brown Univ, Dept Geol Sci, Providence, RI 02912 USA; [Kaiden, Hiroshi; Misawa, Keiji; Niihara, Takafumi; Kojima, Hideyasu] Grad Univ Adv Studies, Dept Polar Sci, Tachikawa, Tokyo 1908518, Japan; [Sasaki, Sho] Natl Astron Observ Japan, RISE Project, Mizusawa Ku, Oshu, Iwate 0230861, Japan</t>
  </si>
  <si>
    <t>Research Organization of Information &amp; Systems (ROIS); National Institute of Polar Research (NIPR) - Japan; Brown University; Graduate University for Advanced Studies - Japan; National Institutes of Natural Sciences (NINS) - Japan; National Astronomical Observatory of Japan (NAOJ)</t>
  </si>
  <si>
    <t>Hiroi, T (corresponding author), Brown Univ, Dept Geol Sci, Providence, RI 02912 USA.</t>
  </si>
  <si>
    <t>takahiro_hiroi@brown.edu</t>
  </si>
  <si>
    <t>Sasaki, Sho/S-3845-2019</t>
  </si>
  <si>
    <t>Sasaki, Sho/0000-0002-7646-5248; Niihara, Takafumi/0000-0001-9535-6728; Hiroi, Takahiro/0000-0003-2866-9091</t>
  </si>
  <si>
    <t>NASA Planetary Geology and Geophysics Program; Grants-in-Aid for Scientific Research [22340167] Funding Source: KAKEN</t>
  </si>
  <si>
    <t>NASA Planetary Geology and Geophysics Program(National Aeronautics &amp; Space Administration (NASA)); Grants-in-Aid for Scientific Research(Ministry of Education, Culture, Sports, Science and Technology, Japan (MEXT)Japan Society for the Promotion of ScienceGrants-in-Aid for Scientific Research (KAKENHI))</t>
  </si>
  <si>
    <t>The Antarctic Martian meteorite samples studied here were kindly loaned from the National Institute of Polar Research (NIPR), and a Nakhla sample from the Natural History Museum. NASA/Keck RELAB is a muti-user facility which is supported by NASA Planetary Geology and Geophysics Program and located at Brown University. This study was performed while T. H. was a visiting professor at the NIPR.</t>
  </si>
  <si>
    <t>10.1016/j.polar.2011.06.002</t>
  </si>
  <si>
    <t>V33ZY</t>
  </si>
  <si>
    <t>WOS:000209057900004</t>
  </si>
  <si>
    <t>Nakano, N; Osanai, Y; Baba, S; Adachi, T; Hokada, T; Toyoshima, T</t>
  </si>
  <si>
    <t>Nakano, Nobuhiko; Osanai, Yasuhito; Baba, Sotaro; Adachi, Tatsuro; Hokada, Tomokazu; Toyoshima, Tsuyoshi</t>
  </si>
  <si>
    <t>Inferred ultrahigh-temperature metamorphism of amphibolitized olivine granulite from the Sor Rondane Mountains, East Antarctica</t>
  </si>
  <si>
    <t>Orthopyroxene plus spinel symplectite; Ultrahigh-temperature metamorphism; Sor Rondane Mountains; East African-Antarctic Orogen</t>
  </si>
  <si>
    <t>DRONNING MAUD LAND; HIGH-PRESSURE; HIGHLAND COMPLEX; MAFIC GRANULITE; KONTUM MASSIF; PLUS QUARTZ; EVOLUTION; GARNET; DECOMPRESSION; PROGRADE</t>
  </si>
  <si>
    <t>This paper reports the first evidence of ultrahigh-temperature (UHT) metamorphism from the Sor Rondane Mountains, eastern Dronning Maud Land, East Antarctica, which is evident as orthopyroxene + spinel symplectite in an amphibolitized mafic granulite. The granulite consists of olivine, orthopyroxene, clinopyroxene, pargasitic amphibole, plagioclase, and ilmenite, and it possesses a within-plate alkali basalt signature. The local bulk chemical composition of symplectite, major and trace element compositions, and thermodynamic calculations for the symplectite, suggest the presence of garnet at the high-pressure stage and that the symplectite formed from garnet, olivine, and primary orthopyroxene by decompression from more than 12 kbar at 1000 degrees C. The granulite records a subsequent amphibolite-facies overprint (&lt;700 degrees C at &lt;6 kbar) that involved the chemical re-equilibration of several phases. The obtained pressure-temperature (P-T) conditions and P-T path are different from the UHT metamorphism from the Schirmacher Hills, central Dronning Maud Land, which is considered to have occurred in a back-arc tectonic setting. The relatively high-P conditions and the decompression path reconstructed in the present study are similar to those reported for southern India, Sri Lanka, and part of northeastern Mozambique, possibly reflecting continental thickening and exhumation during the main collision event between East and West Gondwana. (C) 2011 Elsevier B. V. and NIPR. All rights reserved.</t>
  </si>
  <si>
    <t>[Nakano, Nobuhiko; Osanai, Yasuhito; Adachi, Tatsuro] Kyushu Univ, Fac Social &amp; Cultural Studies, Div Earth Sci, Nishi Ku, Fukuoka 8190395, Japan; [Baba, Sotaro] Univ Ryukyus, Dept Nat Environm, Okinawa 9030213, Japan; [Hokada, Tomokazu] Natl Inst Polar Res, Tokyo 1908518, Japan; [Toyoshima, Tsuyoshi] Niigata Univ, Grad Sch Sci &amp; Technol, Niigata 9502181, Japan</t>
  </si>
  <si>
    <t>Kyushu University; University of the Ryukyus; Research Organization of Information &amp; Systems (ROIS); National Institute of Polar Research (NIPR) - Japan; Niigata University</t>
  </si>
  <si>
    <t>Nakano, N (corresponding author), Kyushu Univ, Fac Social &amp; Cultural Studies, Div Earth Sci, Nishi Ku, 744 Motooka, Fukuoka 8190395, Japan.</t>
  </si>
  <si>
    <t>n-nakano@scs.kyushu-u.ac.jp</t>
  </si>
  <si>
    <t>Baba, Sotaro/AGX-7968-2022; Baba, Sotaro/H-3107-2013; Baba, Sotaro/HGU-7234-2022; Hokada, Tomokazu/AAC-7847-2019</t>
  </si>
  <si>
    <t>Baba, Sotaro/0000-0003-2969-9575; Baba, Sotaro/0000-0003-2969-9575; Baba, Sotaro/0000-0003-2969-9575;</t>
  </si>
  <si>
    <t>Ministry of Education, Culture, Sports, Science and Technology, Japan [14340150, 17253075, 20740295]; Kyushu University Foundation; Grants-in-Aid for Scientific Research [23540534, 21253008, 23340155, 14340150, 20740295, 20340152, 22244063, 23540559, 22403014] Funding Source: KAKEN</t>
  </si>
  <si>
    <t>Ministry of Education, Culture, Sports, Science and Technology, Japan(Ministry of Education, Culture, Sports, Science and Technology, Japan (MEXT)); Kyushu University Foundation; Grants-in-Aid for Scientific Research(Ministry of Education, Culture, Sports, Science and Technology, Japan (MEXT)Japan Society for the Promotion of ScienceGrants-in-Aid for Scientific Research (KAKENHI))</t>
  </si>
  <si>
    <t>We would like to thank the members of 48th and 49th Japan Antarctic Research Expedition, and the crew of the icebreaker Shirase. We also thank A. Hubert, G. Johnson-Amin, and members of the Belgian Antarctic Research Station (2007-2008) for supporting our fieldwork. We acknowledge K. Shiraishi, Y. Motoyoshi, and M. Owada for valuable discussions. We appreciate constructive reviews of the manuscript by T. Shimura and an anonymous reviewer, and the editorial assistance of K. Shibuya. This work was partly supported by Grants-in-Aid for Scientific Research (No. 14340150 and No. 17253075 to Y. Osanai; No. 20740295 to N. Nakano) from the Ministry of Education, Culture, Sports, Science and Technology, Japan, and by a Research Promotion from the Kyushu University Foundation (to N. Nakano).</t>
  </si>
  <si>
    <t>10.1016/j.polar.2011.03.005</t>
  </si>
  <si>
    <t>WOS:000209057900005</t>
  </si>
  <si>
    <t>Yanagihara, K; Niki, H; Baba, T</t>
  </si>
  <si>
    <t>Yanagihara, Katsuhiko; Niki, Hironori; Baba, Tomoya</t>
  </si>
  <si>
    <t>Direct PCR amplification of the 16S rRNA gene from single microbial cells isolated from an Antarctic iceberg using laser microdissection microscopy</t>
  </si>
  <si>
    <t>Bacteria; Microdissection; Single cell; 16S rRNA</t>
  </si>
  <si>
    <t>COMMUNITY ANALYSIS; BACTERIA; CLONING; DNA; POLYMERASE; GENOMES; NUMBER; ICE</t>
  </si>
  <si>
    <t>Here, we describe a technique that allows the genetic linage analysis of 16S rRNA genes in bacteria observed under a microscope. The technique includes the isolation of microbial cells using a laser microdissection microscope, lysis of the cells, and amplification of the 16S rRNA genes in the isolated cells without interference by bacterial DNA contamination from the experimental environment or reagents. Using this technique, we successfully determined 15 16S rRNA gene sequences in cells isolated from an Antarctic iceberg. These sequences showed 94%-100% identity to their closest strains, which included bacteria that occur in aqueous, marine, and soil environments. (C) 2011 Elsevier B.V. and NIPR. All rights reserved.</t>
  </si>
  <si>
    <t>[Yanagihara, Katsuhiko; Niki, Hironori; Baba, Tomoya] Res Org Informat &amp; Syst, Transdisciplinary Res Integrat Ctr, Mishima, Shizuoka 4118540, Japan; [Niki, Hironori] Natl Inst Genet, Genet Strains Res Ctr, Microbial Genet Lab, Mishima, Shizuoka 4118540, Japan; [Niki, Hironori] Grad Univ Adv Studies, Dept Genet, Mishima, Shizuoka 4118540, Japan</t>
  </si>
  <si>
    <t>Research Organization of Information &amp; Systems (ROIS); Research Organization of Information &amp; Systems (ROIS); National Institute of Genetics (NIG) - Japan; Graduate University for Advanced Studies - Japan</t>
  </si>
  <si>
    <t>Yanagihara, K (corresponding author), Res Org Informat &amp; Syst, Transdisciplinary Res Integrat Ctr, 1111 Yata, Mishima, Shizuoka 4118540, Japan.</t>
  </si>
  <si>
    <t>kyanagih@lab.nig.ac.jp</t>
  </si>
  <si>
    <t>Niki, Hironori/0000-0002-5391-6595</t>
  </si>
  <si>
    <t>Transdisciplinary Research Integration Center, the Research Organization of Information and Systems (Japan).</t>
  </si>
  <si>
    <t>We thank Dr Hiroshi Kanda, National Institute of Polar Research, for kindly providing the Antarctic iceberg. This study was supported by the intramural research fund of the Transdisciplinary Research Integration Center, the Research Organization of Information and Systems (Japan).</t>
  </si>
  <si>
    <t>10.1016/j.polar.2011.06.001</t>
  </si>
  <si>
    <t>WOS:000209057900007</t>
  </si>
  <si>
    <t>Putland, J; Sutton, T</t>
  </si>
  <si>
    <t>Putland, Jennifer; Sutton, Tracey</t>
  </si>
  <si>
    <t>Survey of larval Euphausia superba lipid content along the western Antarctic Peninsula during late autumn 2006</t>
  </si>
  <si>
    <t>Larvae; Krill; Heterotrophic; Recruitment</t>
  </si>
  <si>
    <t>SEA-ICE; FOOD-WEB; MARINE ECOSYSTEMS; ENERGY BUDGETS; SOUTHERN-OCEAN; SCOTIA SEA; KRILL; GROWTH; DANA; VARIABILITY</t>
  </si>
  <si>
    <t>A survey of larval Euphausia superba (furcilia stages four and six) was conducted in waters along the western Antarctic Peninsula during late autumn (May and June 2006). Larvae were collected from stations in four regions to estimate dry weight and lipid content. There were no statistically significant differences in the dry weight or lipid content among the regions sampled. The overall average (+/- S.D.) dry weight was 1.51 +/- 0.32 mg indiv.(-1) and 0.85 +/- 0.12 mg indiv.(-1) for F6 and F4 larvae, respectively. The average (+/- S.D.) lipid content was 21.6 +/- 9.6 %DW and 27.9 +/- 13.7 %DW for F6 and F4 larvae, respectively. (C) 2011 Elsevier B.V. and NIPR. All rights reserved.</t>
  </si>
  <si>
    <t>[Putland, Jennifer; Sutton, Tracey] Harbor Branch Oceanog Inst Inc, Ft Pierce, FL 34946 USA</t>
  </si>
  <si>
    <t>Harbor Branch Oceanographic Institute Foundation</t>
  </si>
  <si>
    <t>Putland, J (corresponding author), Harbor Branch Oceanog Inst Inc, Highway US 1 North, Ft Pierce, FL 34946 USA.</t>
  </si>
  <si>
    <t>j.putland@alumni.ubc.ca</t>
  </si>
  <si>
    <t>Sutton, Tracey/AAW-7644-2021</t>
  </si>
  <si>
    <t>Sutton, Tracey/0000-0002-5280-7071</t>
  </si>
  <si>
    <t>Harbor Branch Oceanographic Institution; NSF [0338087]; Division Of Polar Programs; Directorate For Geosciences [0338087] Funding Source: National Science Foundation</t>
  </si>
  <si>
    <t>Harbor Branch Oceanographic Institution; NSF(National Science Foundation (NSF)); Division Of Polar Programs; Directorate For Geosciences(National Science Foundation (NSF)NSF - Directorate for Geosciences (GEO))</t>
  </si>
  <si>
    <t>This research was conducted with a post-doctoral fellowship award from the Harbor Branch Oceanographic Institution to J.N.P. and NSF award no. 0338087 to K. Halanych and R. Scheltema. We extend our sincere thanks to R. Scheltema and K. Halanych for providing boat time and assistance with sampling. We also thank the captain and crew of the R.V. Laurence M. Gould and the personnel of Raytheon Polar Services Company for their assistance and organization. We are grateful to R. Iverson at the Department of Oceanography, Florida State University for providing use of the freeze-drier and lab space, and the anonymous reviewers for their constructive comments.</t>
  </si>
  <si>
    <t>10.1016/j.polar.2011.01.001</t>
  </si>
  <si>
    <t>WOS:000209057900008</t>
  </si>
  <si>
    <t>Calder, J</t>
  </si>
  <si>
    <t>Calder, Jim</t>
  </si>
  <si>
    <t>ADMIRAL BYRD'S ANTARCTIC EXPEDITION AND THE FIRST GRAF ZEPPELIN</t>
  </si>
  <si>
    <t>PROCEEDINGS OF THE IEEE</t>
  </si>
  <si>
    <t>0018-9219</t>
  </si>
  <si>
    <t>P IEEE</t>
  </si>
  <si>
    <t>Proc. IEEE</t>
  </si>
  <si>
    <t>10.1109/JPROC.2011.2160109</t>
  </si>
  <si>
    <t>Engineering, Electrical &amp; Electronic</t>
  </si>
  <si>
    <t>Engineering</t>
  </si>
  <si>
    <t>810LH</t>
  </si>
  <si>
    <t>WOS:000294126300010</t>
  </si>
  <si>
    <t>Le Brocq, AM; Bentley, MJ; Hubbard, A; Fogwill, CJ; Sugden, DE; Whitehouse, PL</t>
  </si>
  <si>
    <t>Le Brocq, A. M.; Bentley, M. J.; Hubbard, A.; Fogwill, C. J.; Sugden, D. E.; Whitehouse, P. L.</t>
  </si>
  <si>
    <t>Reconstructing the Last Glacial Maximum ice sheet in the Weddell Sea embayment, Antarctica, using numerical modelling constrained by field evidence</t>
  </si>
  <si>
    <t>Last Glacial Maximum; Sea-level; Meltwater pulse; Ice sheet; Ice sheet modelling; Weddell Sea; Antarctica</t>
  </si>
  <si>
    <t>DIGITAL ELEVATION MODEL; ISOSTATIC-ADJUSTMENT; STREAM-B; CLIMATE; CORE; RECORD; FLOW; DEGLACIATION; GREENLAND; EVOLUTION</t>
  </si>
  <si>
    <t>The Weddell Sea Embayment (WSE) sector of the Antarctic ice sheet has been suggested as a potential source for a period of rapid sea-level rise - Meltwater Pulse la, a 20 m rise in similar to 500 years. Previous modelling attempts have predicted an extensive grounding line advance in the WSE, to the continental shelf break, leading to a large equivalent sea-level contribution for the sector. A range of recent field evidence suggests that the ice sheet elevation change in the WSE at the Last Glacial Maximum (LGM) is less than previously thought. This paper describes and discusses an ice flow modelling derived reconstruction of the LGM ice sheet in the WSE, constrained by the recent field evidence. The ice flow model reconstructions suggest that an ice sheet consistent with the field evidence does not support grounding line advance to the continental shelf break. A range of modelled ice sheet surfaces are instead produced, with different grounding line locations derived from a novel grounding line advance scheme. The ice sheet reconstructions which best fit the field constraints lead to a range of equivalent eustatic sea-level estimates between approximately 1.4 and 3 m for this sector. This paper describes the modelling procedure in detail, considers the assumptions and limitations associated with the modelling approach, and how the uncertainty may impact on the eustatic sea-level equivalent results for the WSE. (C) 2011 Elsevier Ltd. All rights reserved.</t>
  </si>
  <si>
    <t>[Le Brocq, A. M.; Fogwill, C. J.] Univ Exeter, Coll Life &amp; Environm Sci, Exeter EX4 4RJ, Devon, England; [Le Brocq, A. M.; Bentley, M. J.; Whitehouse, P. L.] Univ Durham, Dept Geog, Sci Labs, Durham DH1 3LE, England; [Hubbard, A.] Aberystwyth Univ, Inst Geog &amp; Earth Sci, Aberystwyth SY23 3DB, Dyfed, Wales; [Sugden, D. E.] Univ Edinburgh, Sch Geosci, Edinburgh EH8 9XP, Midlothian, Scotland; [Fogwill, C. J.] Univ New S Wales, CCRC, Sch Biol Earth &amp; Environm Sci, Sydney, NSW, Australia</t>
  </si>
  <si>
    <t>University of Exeter; Durham University; Aberystwyth University; University of Edinburgh; University of New South Wales Sydney</t>
  </si>
  <si>
    <t>Le Brocq, AM (corresponding author), Univ Exeter, Coll Life &amp; Environm Sci, Amory Bldg,Rennes Dr, Exeter EX4 4RJ, Devon, England.</t>
  </si>
  <si>
    <t>a.lebrocq@exeter.ac.uk; m.j.bentley@durham.ac.uk; abh@aber.ac.uk; c.j.fogwill@exeter.ac.uk; david.sugden@ed.ac.uk; pippa.whitehouse@durham.ac.uk</t>
  </si>
  <si>
    <t>Bentley, Michael J/F-7386-2011; Fogwill, Christopher/HPF-1150-2023; Fogwill, Chris/AAW-3502-2021; Hubbard, Alun/R-5085-2017</t>
  </si>
  <si>
    <t>Bentley, Michael J/0000-0002-2048-0019; Fogwill, Chris/0000-0002-6471-1106; Whitehouse, Pippa/0000-0002-9092-3444; Hubbard, Alun/0000-0002-0503-3915</t>
  </si>
  <si>
    <t>NERC [NER/G/S/2003/00020, NE/EO18254/1]; NERC [NE/F014252/1, NE/E018254/1] Funding Source: UKRI; Natural Environment Research Council [NER/G/S/2003/00020, NE/F014252/1, NE/E018254/1] Funding Source: researchfish</t>
  </si>
  <si>
    <t>This research was funded by NERC grant NER/G/S/2003/00020 in collaboration with NERC grant NE/EO18254/1. Thanks to Jonathan Bamber for providing the surface elevation data, Ian Joughin for providing the velocity data and two anonymous reviewers for helpful comments on the manuscript.</t>
  </si>
  <si>
    <t>10.1016/j.quascirev.2011.05.009</t>
  </si>
  <si>
    <t>WOS:000295387000005</t>
  </si>
  <si>
    <t>Allen, CS; Pike, J; Pudsey, CJ</t>
  </si>
  <si>
    <t>Allen, Claire S.; Pike, Jennifer; Pudsey, Carol J.</t>
  </si>
  <si>
    <t>Last glacial-interglacial sea-ice cover in the SW Atlantic and its potential role in global deglaciation</t>
  </si>
  <si>
    <t>Southern Ocean; Sea-ice; Late Quaternary; Diatom; Climate change</t>
  </si>
  <si>
    <t>ANTARCTIC CIRCUMPOLAR CURRENT; SOUTHERN-OCEAN SEDIMENTS; ATMOSPHERIC CO2; GENUS THALASSIOSIRA; DIATOM ASSEMBLAGES; CLIMATE; MARINE; STRATIGRAPHY; TEMPERATURE; NORTHERN</t>
  </si>
  <si>
    <t>Sea-ice growth and decay in Antarctica is one of the biggest seasonal changes on Earth, expanding ice cover from 4 x 10(6) km(2) to a maximum of 19 x 10(6) km(2) during the austral winter. Analyses of six marine sediment cores from the Scotia Sea, SW Atlantic, yield records of sea-ice migration across the basin since the Lateglacial. The cores span nearly ten degrees of latitude from the modern seasonal sea-ice zone to the modern Polar Front. Surface sediments in the cores comprise predominantly diatomaceous oozes and muddy diatom oozes that reflect Holocene conditions. The cores exhibit similar down-core stratigraphies with decreasing diatom concentrations and increasing magnetic susceptibility from modern through to the Last Glacial Maximum (LGM). Sediments in all cores contain sea-ice diatoms that preserve a signal of changing sea-ice cover and permit reconstruction of past sea-ice dynamics. The sea-ice records presented here are the first to document the position of both the summer and winter sea-ice cover at the Last Glacial Maximum (LGM) in the Scotia Sea. Comparison of the LGM and Holocene sea-ice conditions shows that the average winter sea-ice extent was at least 5 degrees further north at the LGM. Average summer sea-ice extent was south of the most southerly core site at the LGM, and suggests that sea-ice expanded from approximately similar to 61 degrees S to similar to 52 degrees S each season. Our data also suggest that the average summer sea-ice position at the LGM was not the maximum extent of summer sea-ice during the last glacial. Instead, the sediments contain evidence of a pre-LGM maximum extent of summer sea-ice between similar to 30 ka and 22 ka that extended to similar to 59 degrees S, close to the modern average winter sea-ice limit. Based on our reconstruction we propose that the timing of the maximum extent of summer sea-ice and subsequent retreat by 22 ka, could be insolation controlled and that the strong links between sea-ice and bottom water formation provide a potential mechanism by which Southern Hemisphere regional sea-ice dynamics at the LGM could have a global impact and promote deglaciation. (C) 2011 Elsevier Ltd. All rights reserved.</t>
  </si>
  <si>
    <t>[Allen, Claire S.] British Antarctic Survey, Cambridge CB3 0ET, England; [Pike, Jennifer] Cardiff Univ, Sch Earth &amp; Ocean Sci, Cardiff CF10 3AT, S Glam, Wales; [Pudsey, Carol J.] Univ Dundee, Sch Social &amp; Environm Sci, Dundee DD1 4HN, Scotland</t>
  </si>
  <si>
    <t>UK Research &amp; Innovation (UKRI); Natural Environment Research Council (NERC); NERC British Antarctic Survey; Cardiff University; University of Dundee</t>
  </si>
  <si>
    <t>Allen, CS (corresponding author), British Antarctic Survey, Madingley Rd, Cambridge CB3 0ET, England.</t>
  </si>
  <si>
    <t>csall@bas.ac.uk</t>
  </si>
  <si>
    <t>Pike, Jennifer/D-2589-2009</t>
  </si>
  <si>
    <t>Pike, Jennifer/0000-0001-9415-6003</t>
  </si>
  <si>
    <t>Cardiff University; NERC through the BAS 'CACHE-PEP'; 'Quaternary Sediments' projects; NERC [NRCF010001, bas0100024] Funding Source: UKRI; Natural Environment Research Council [NRCF010001, bas0100024] Funding Source: researchfish</t>
  </si>
  <si>
    <t>Cardiff University; NERC through the BAS 'CACHE-PEP'; 'Quaternary Sediments' projects; NERC(UK Research &amp; Innovation (UKRI)Natural Environment Research Council (NERC)); Natural Environment Research Council(UK Research &amp; Innovation (UKRI)Natural Environment Research Council (NERC))</t>
  </si>
  <si>
    <t>We thank the Captain and crew of the RRS James Clark Ross and the scientific party of cruises D172, JR04 &amp; JR48 for their hard work and support. In particular, we thank the UKHORS and British Antarctic Survey (BAS) technicians for their professional assistance during the cruises. We also thank the Natural Environment Research Council Radiocarbon Facility (NERC RCF) in East Kilbride for AMS radiocarbon dating, Hilary Blagbrough for laboratory assistance at BAS and Nerilie Abram, Vicky Peck, Dominic Hodgson and two anonymous reviewers for their helpful and constructive comments on the manuscript. This work was completed with funding from Cardiff University (research studentship awarded to CSA) and the NERC through the BAS 'CACHE-PEP' and 'Quaternary Sediments' projects led by Dominic Hodgson.</t>
  </si>
  <si>
    <t>10.1016/j.quascirev.2011.04.002</t>
  </si>
  <si>
    <t>WOS:000295387000007</t>
  </si>
  <si>
    <t>Yogui, GT; Sericano, JL; Montone, RC</t>
  </si>
  <si>
    <t>Yogui, Gilvan T.; Sericano, Jose L.; Montone, Rosalinda C.</t>
  </si>
  <si>
    <t>Accumulation of semivolatile organic compounds in Antarctic vegetation: A case study of polybrominated diphenyl ethers</t>
  </si>
  <si>
    <t>Lichen; Moss; Persistent organic pollutant; Long-range atmospheric transport; Depositional processes; PBDE</t>
  </si>
  <si>
    <t>POLYCYCLIC AROMATIC-HYDROCARBONS; SEA-SURFACE MICROLAYER; KING-GEORGE ISLAND; LONG-RANGE TRANSPORT; AIR PARTITION-COEFFICIENTS; TERRA-NOVA BAY; POLYCHLORINATED-BIPHENYLS; ORGANOCHLORINE PESTICIDES; CHLORINATED HYDROCARBONS; GLOBAL FRACTIONATION</t>
  </si>
  <si>
    <t>Antarctic plant communities are dominated by lichens and mosses which accumulate semivolatile organic compounds (SOCs) such as polybrominated diphenyl ethers (PBDEs) directly from the atmosphere. Differences in the levels of PBDEs observed in lichens and mosses collected at King George Island in the austral summers 2004-05 and 2005-06 are probably explained by environmental and/or plant parameters. Contamination of lichens showed a positive correlation with local precipitation, suggesting that wet deposition processes are a major mechanism controlling the uptake of most PBDE congeners. These findings are in agreement with physical-chemical data supporting that tetra- through hepta-BDEs in the Antarctic atmosphere are basically bound to aerosols. Conversely, accumulation of PBDEs in mosses appears to be controlled by other environmental factors and/or plant-specific characteristics. Model simulations demonstrated that an ocean-atmosphere coupling may have played a role in the long-range transport of less volatile SOCs such as PBDEs to Antarctica. According to simulations, the atmosphere is the most important transport medium for PBDEs while the surface ocean serves as a temporary storage compartment, boosting the deposition/volatilization hopping effect similarly to vegetation on continents. (C) 2011 Elsevier B.V. All rights reserved.</t>
  </si>
  <si>
    <t>[Yogui, Gilvan T.; Sericano, Jose L.] Texas A&amp;M Univ, Geochem &amp; Environm Res Grp, Coll Geosci, College Stn, TX 77845 USA; [Montone, Rosalinda C.] Univ Sao Paulo, Lab Quim Organ Marinha, Inst Oceanog, BR-05508120 Sao Paulo, Brazil</t>
  </si>
  <si>
    <t>Texas A&amp;M University System; Texas A&amp;M University College Station; Universidade de Sao Paulo</t>
  </si>
  <si>
    <t>Yogui, GT (corresponding author), Univ Fed Pernambuco, Dept Oceanog, Av Arquitetura S-N, BR-50740550 Recife, PE, Brazil.</t>
  </si>
  <si>
    <t>gilvan.yogui@ufpe.br</t>
  </si>
  <si>
    <t>Montone, Rosalinda C/J-9110-2012; Yogui, Gilvan/C-5021-2009</t>
  </si>
  <si>
    <t>Yogui, Gilvan/0000-0002-4720-3337</t>
  </si>
  <si>
    <t>CNPq [55.0348/02-6]; College of Geosciences at Texas AM University; Coordenacao de Aperfeicoamento de Pessoal de Nivel Superior (CAPES), Ministry of Education, Brazil</t>
  </si>
  <si>
    <t>CNPq(Conselho Nacional de Desenvolvimento Cientifico e Tecnologico (CNPQ)); College of Geosciences at Texas AM University; Coordenacao de Aperfeicoamento de Pessoal de Nivel Superior (CAPES), Ministry of Education, Brazil(Coordenacao de Aperfeicoamento de Pessoal de Nivel Superior (CAPES))</t>
  </si>
  <si>
    <t>The authors thank Dr. Chuck Kennicutt, Dr. Terry Wade and Dr. Miguel Mora for comments on earlier versions of this manuscript. Anonymous reviewers are also acknowledged for comments and suggestions that significantly improved the quality of the final version. Mr. Filipe Victoria and Mr. Adriano Spielmann deserve credit for identification of plant species. The authors gratefully acknowledge the NOAA Air Resources Laboratory (ARL) for the provision of the HYSPLIT transport and dispersion model used in this publication. Dr. Frank Wania (University of Toronto at Scarborough) is also acknowledged for kindly permitting access to the Globo-POP model. Field trips to collect samples in Antarctica were financially supported by the Brazilian Antarctic Program (CNPq Grant No. 55.0348/02-6; Environmental Management of Admiralty Bay, King George Island, Antarctica: POPs and sewage pollution) and the College of Geosciences at Texas A&amp;M University (through the Pipes Endowed Fellowship). GT Yogui was funded by Coordenacao de Aperfeicoamento de Pessoal de Nivel Superior (CAPES), Ministry of Education, Brazil.</t>
  </si>
  <si>
    <t>10.1016/j.scitotenv.2011.06.010</t>
  </si>
  <si>
    <t>824WW</t>
  </si>
  <si>
    <t>WOS:000295233900036</t>
  </si>
  <si>
    <t>Escutia, C; Brinkhuis, H; Klaus, A</t>
  </si>
  <si>
    <t>Escutia, Carlota; Brinkhuis, Henk; Klaus, Adam</t>
  </si>
  <si>
    <t>IODP Expedition 318 Scientists</t>
  </si>
  <si>
    <t>IODP Expedition 318: From Greenhouse to Icehouse at the Wilkes Land Antarctic Margin</t>
  </si>
  <si>
    <t>SCIENTIFIC DRILLING</t>
  </si>
  <si>
    <t>CONTINENTAL-MARGIN; GLACIATION; COLLAPSE; HISTORY</t>
  </si>
  <si>
    <t>Integrated Ocean Drilling Program (IODP) Expedition 318, Wilkes Land Glacial History, drilled a transect of sites across the Wilkes Land margin of Antarctica to provide a long-term record of the sedimentary archives of Cenozoic Antarctic glaciation and its intimate relationships with global climatic and oceanographic change. The Wilkes Land drilling program was undertaken to constrain the age, nature, and paleoenvironment of the previously only seismically inferred glacial sequences. The expedition (January-March 2010) recovered similar to 2000 meters of high-quality middle Eocene-Holocene sediments from water depths between 400 m and 4000 m at four sites on the Wilkes Land rise (U1355, U1356, U1359, and U1361) and three sites on the Wilkes Land shelf (U1357, U1358, and U1360). These records span similar to 53 million years of Antarctic history, and the various seismic units (WL-S4-WL-S9) have been successfully dated. The cores reveal the history of the Wilkes Land Antarctic margin from an ice-free greenhouse Antarctica, to the first cooling, to the onset and erosional consequences of the first glaciation and the subsequent dynamics of the waxing and waning ice sheets, all the way to thick, unprecedented tree ring style records with seasonal resolution of the last deglaciation that began similar to 10,000 y ago. The cores also reveal details of the tectonic history of the Australo-Antarctic Gulf from 53 Ma, portraying the onset of the second phase of rifting between Australia and Antarctica, to ever-subsiding margins and deepening, to the present continental and ever-widening ocean/continent configuration.</t>
  </si>
  <si>
    <t>[Escutia, Carlota] Univ Granada, CSIC, Inst Andaluz Ciencias Tierra, Campus Fuentenueva S-N, Granada 18002, Spain; [Brinkhuis, Henk] Univ Utrecht, Biomarine Sci, Inst Environm Biol, Lab Palaeobot &amp; Palynol, NL-3584 CD Utrecht, Netherlands; [Klaus, Adam] Texas A&amp;M Univ, US Implementing Org, Integrated Ocean Drilling Program, College Stn, TX 77845 USA</t>
  </si>
  <si>
    <t>University of Granada; Consejo Superior de Investigaciones Cientificas (CSIC); CSIC - Instituto Andaluz de Ciencias de la Tierra (IACT); Utrecht University; Texas A&amp;M University System; Texas A&amp;M University College Station</t>
  </si>
  <si>
    <t>Escutia, C (corresponding author), Univ Granada, CSIC, Inst Andaluz Ciencias Tierra, Campus Fuentenueva S-N, Granada 18002, Spain.</t>
  </si>
  <si>
    <t>cescutia@ugr.es; h.brinkhuis@uu.nl; aklaus@iodp.tamu.edu</t>
  </si>
  <si>
    <t>Escutia, Carlota/B-8614-2015; Brinkhuis, Henk/IUO-8165-2023</t>
  </si>
  <si>
    <t>Brinkhuis, Henk/0000-0003-0253-6610; Yamane, Masako/0000-0002-5063-0719</t>
  </si>
  <si>
    <t>1816-8957</t>
  </si>
  <si>
    <t>1816-3459</t>
  </si>
  <si>
    <t>SCI DRILL</t>
  </si>
  <si>
    <t>Sci. Drill.</t>
  </si>
  <si>
    <t>10.5194/sd-12-15-2011</t>
  </si>
  <si>
    <t>V53FS</t>
  </si>
  <si>
    <t>WOS:000210343900003</t>
  </si>
  <si>
    <t>ISAES-11 Antarctic Shallow Scientific Drilling Workshop</t>
  </si>
  <si>
    <t>WOS:000210343900021</t>
  </si>
  <si>
    <t>Polkowska, Z; Cichala-Kamrowska, K; Ruman, M; Koziol, K; Krawczyk, WE; Namiesnik, J</t>
  </si>
  <si>
    <t>Polkowska, Zaneta; Cichala-Kamrowska, Katarzyna; Ruman, Marek; Koziol, Krystyna; Krawczyk, Wieslawa Ewa; Namiesnik, Jacek</t>
  </si>
  <si>
    <t>Organic Pollution in Surface Waters from the Fuglebekken Basin in Svalbard, Norwegian Arctic</t>
  </si>
  <si>
    <t>SENSORS</t>
  </si>
  <si>
    <t>polycyclic aromatic hydrocarbons; polychlorinated biphenyls; surface waters; Fuglebekken basin; Svalbard; Norwegian Arctic</t>
  </si>
  <si>
    <t>POLYCYCLIC AROMATIC-HYDROCARBONS; LAKE-SEDIMENTS; POLYCHLORINATED-BIPHENYLS; ORGANOCHLORINE PESTICIDES; PARTICULATE MATTER; RISK-ASSESSMENT; SPATIAL TRENDS; BARENTS SEA; PAH SOURCE; ROAD DUST</t>
  </si>
  <si>
    <t>The Fuglebekken basin is situated in the southern part of the island of Spitsbergen (Norwegian Arctic), on the Hornsund fjord (Wedel Jarlsberg Land). Surface water was collected from 24 tributaries (B1-B24) and from the main stream water in the Fuglebekken basin (25) between 10 July 2009 and 30 July 2009. The present investigation reveals the results of the analysis of these samples for their PAH and PCB content. Twelve of 16 PAHs and seven PCBs were determined in the surface waters from 24 tributaries and the main stream. Total PAH and PCB concentrations in the surface waters ranged from 4 to 600 ng/L and from 2 to 400 ng/L respectively. The highest concentrations of an individual PCB (138-308 ng/L and 123 ng/L) were found in samples from tributaries B9 and B5. The presence in the basin (thousands of kilometres distant from industrial centres) of PAHs and PCBs is testimony to the fact that these compounds are transported over vast distances with air masses and deposited in regions devoid of any human pressure.</t>
  </si>
  <si>
    <t>[Polkowska, Zaneta; Cichala-Kamrowska, Katarzyna; Namiesnik, Jacek] Gdansk Univ Technol, Dept Analyt Chem, Fac Chem, PL-80233 Gdansk, Poland; [Ruman, Marek; Krawczyk, Wieslawa Ewa] Univ Silesia, Fac Earth Sci, PL-41200 Sosnowiec, Poland; [Koziol, Krystyna] Univ Sheffield, Dept Geog, Sheffield S10 2TN, S Yorkshire, England</t>
  </si>
  <si>
    <t>Fahrenheit Universities; Gdansk University of Technology; University of Silesia in Katowice; University of Sheffield</t>
  </si>
  <si>
    <t>Polkowska, Z (corresponding author), Gdansk Univ Technol, Dept Analyt Chem, Fac Chem, 11-12 Narutowicza St, PL-80233 Gdansk, Poland.</t>
  </si>
  <si>
    <t>zanpolko@pg.gda.pl; katarzyna.cichala@wp.pl; marek.ruman@us.edu.pl; k.a.koziol@gmail.com; wieslawa.krawczyk@us.edu.pl; chemanal@pg.gda.pl</t>
  </si>
  <si>
    <t>Kozioł, Krystyna Anna/O-8888-2017; Polkowska, Zaneta/AAA-3578-2020; Ruman, Marek/S-9533-2017</t>
  </si>
  <si>
    <t>Kozioł, Krystyna Anna/0000-0003-1678-3647; Ruman, Marek/0000-0001-9424-7589; Namiesnik, Jacek/0000-0001-9598-2198; Polkowska, Zaneta/0000-0002-2730-0068</t>
  </si>
  <si>
    <t>The influence of polluting gases and dusts on the chemical composition of atmospheric precipitation and climate change in the Arctic and Antarctic [IPY/21/2007]</t>
  </si>
  <si>
    <t>The influence of polluting gases and dusts on the chemical composition of atmospheric precipitation and climate change in the Arctic and Antarctic</t>
  </si>
  <si>
    <t>The authors would like to thank the staff of the Polish Polar Station at Hornsund for the opportunity to carry out sampling and for their assistance with this work. This work was financially supported from the Project: The influence of polluting gases and dusts on the chemical composition of atmospheric precipitation and climate change in the Arctic and Antarctic (IPY/21/2007).</t>
  </si>
  <si>
    <t>1424-8220</t>
  </si>
  <si>
    <t>SENSORS-BASEL</t>
  </si>
  <si>
    <t>Sensors</t>
  </si>
  <si>
    <t>10.3390/s110908910</t>
  </si>
  <si>
    <t>Chemistry, Analytical; Engineering, Electrical &amp; Electronic; Instruments &amp; Instrumentation</t>
  </si>
  <si>
    <t>Chemistry; Engineering; Instruments &amp; Instrumentation</t>
  </si>
  <si>
    <t>824ON</t>
  </si>
  <si>
    <t>WOS:000295211700042</t>
  </si>
  <si>
    <t>Docquier, D; Perichon, L; Pattyn, F</t>
  </si>
  <si>
    <t>Docquier, David; Perichon, Laura; Pattyn, Frank</t>
  </si>
  <si>
    <t>Representing Grounding Line Dynamics in Numerical Ice Sheet Models: Recent Advances and Outlook</t>
  </si>
  <si>
    <t>Marine ice sheet instability; Grounding line; Ice sheet modeling; West Antarctic ice sheet</t>
  </si>
  <si>
    <t>PINE ISLAND GLACIER; WEST ANTARCTICA; SENSITIVITY; RETREAT; FLOW; STABILITY; ZONE</t>
  </si>
  <si>
    <t>Recent satellite observations of the Antarctic and Greenland ice sheets show accelerated ice flow and associated ice sheet thinning along coastal outlet glaciers in contact with the ocean. Both processes are the result of grounding line retreat due to melting at the grounding line (the grounding line is the contact of the ice sheet with the ocean, where it starts to float and forms an ice shelf or ice tongue). Such rapid ice loss is not yet included in large-scale ice sheet models used for IPCC projections, as most of the complex processes are poorly understood. Here we report on the state-of-the art of grounding line migration in marine ice sheets and address different ways in which grounding line migration can be attributed and represented in ice sheet models. Using one-dimensional ice flow models of the ice sheet/ice shelf system we carried out a number of sensitivity experiments with different spatial resolutions and stress approximations. These are verified with semi-analytical steady state solutions. Results show that, in large-scale finite-difference models, grounding line migration is dependent on the numerical treatment (e.g. staggered/non-staggered grid) and the level of physics involved (e.g. shallow-ice/shallow-shelf approximation).</t>
  </si>
  <si>
    <t>[Docquier, David; Perichon, Laura; Pattyn, Frank] Univ Libre Bruxelles, Lab Glaciol, B-1050 Brussels, Belgium</t>
  </si>
  <si>
    <t>Universite Libre de Bruxelles</t>
  </si>
  <si>
    <t>Docquier, D (corresponding author), Univ Libre Bruxelles, Lab Glaciol, CP160-03,Av FD Roosevelt 50, B-1050 Brussels, Belgium.</t>
  </si>
  <si>
    <t>david.docquier@ulb.ac.be; lpericho@ulb.ac.be; fpattyn@ulb.ac.be</t>
  </si>
  <si>
    <t>Docquier, David/P-5635-2019; Pattyn, Frank/AAA-9640-2019</t>
  </si>
  <si>
    <t>Docquier, David/0000-0002-5720-4253; Pattyn, Frank/0000-0003-4805-5636</t>
  </si>
  <si>
    <t>IceCube-Dyn project; French Community of Belgium; European Commission [226375, 20]</t>
  </si>
  <si>
    <t>IceCube-Dyn project; French Community of Belgium; European Commission(European Union (EU)European Commission Joint Research Centre)</t>
  </si>
  <si>
    <t>This work was supported by both the IceCube-Dyn project (Actions de recherche concertees) funded by the French Community of Belgium and the ice2sea project funded by the European Commission's 7th Framework Programme through grant 226375 (ice2sea manuscript No. 20). The authors are greatly indebted to Gael Durand for his constructive review and to David Pollard who pointed out an error in the initially submitted manuscript.</t>
  </si>
  <si>
    <t>10.1007/s10712-011-9133-3</t>
  </si>
  <si>
    <t>WOS:000295332800008</t>
  </si>
  <si>
    <t>McNeall, D; Halloran, PR; Good, P; Betts, RA</t>
  </si>
  <si>
    <t>McNeall, Doug; Halloran, Paul R.; Good, Peter; Betts, Richard A.</t>
  </si>
  <si>
    <t>Analyzing abrupt and nonlinear climate changes and their impacts</t>
  </si>
  <si>
    <t>MERIDIONAL OVERTURNING CIRCULATION; SEA-LEVEL RISE; EARLY-WARNING SIGNALS; ANTARCTIC ICE-SHEET; PERMANENT EL-NINO; THERMOHALINE CIRCULATION; NORTH-ATLANTIC; CARBON-CYCLE; TERRESTRIAL ECOSYSTEM; SURFACE TEMPERATURE</t>
  </si>
  <si>
    <t>The Earth system shows the tendency to change in nonlinear and sometimes abrupt ways; small changes in external forcing can lead to large and perhaps irreversible changes in outcome. The prospect of crossing important 'tipping points' and realizing their impacts poses unique challenges to decision makers within society, hoping to avoid damaging anthropogenic influence on Earth systems. Abrupt and nonlinear changes are by their very nature highly uncertain and difficult to predict, and so hard to avoid or adapt to. After briefly introducing key concepts in nonlinear dynamics, we summarize paleoclimate evidence for past abrupt and nonlinear changes in major Earth systems such as, ocean and atmospheric circulation patterns, sea ice and terrestrial ice sheets, atmospheric composition, and the terrestrial biosphere. For each of these systems we then review observational, theoretical, and modeling evidence for potential future abrupt changes, and associated impacts. We outline the extra challenges that are faced in predicting abrupt or nonlinear as opposed to more gradual climate change, and in providing a risk analysis for their impacts on Earth and societal systems. We examine the potential for early warning systems of abrupt change, and discuss differences in attitude to risk which may dictate societal response to low probability high impact events. Finally, we outline the promising directions of research needed to better quantify the risk of abrupt and nonlinear climate change. (C) 2011 Crown copyright WIREs Clim Change 2011 2663-686 DOI: 10.1002/wcc.130</t>
  </si>
  <si>
    <t>[McNeall, Doug; Halloran, Paul R.; Good, Peter; Betts, Richard A.] Met Off Hadley Ctr, Exeter, Devon, England</t>
  </si>
  <si>
    <t>Met Office - UK; Hadley Centre</t>
  </si>
  <si>
    <t>McNeall, D (corresponding author), Met Off Hadley Ctr, Exeter, Devon, England.</t>
  </si>
  <si>
    <t>doug.mcneall@metoffice.gov.uk</t>
  </si>
  <si>
    <t>Betts, Richard A/P-8976-2015; Halloran, Paul/G-3965-2012</t>
  </si>
  <si>
    <t>Betts, Richard A/0000-0002-4929-0307; Halloran, Paul/0000-0002-9227-0678</t>
  </si>
  <si>
    <t>DECC/Defra [GA01101]</t>
  </si>
  <si>
    <t>DECC/Defra(Department for Environment, Food &amp; Rural Affairs (DEFRA))</t>
  </si>
  <si>
    <t>This work was supported by the joint DECC and Defra Integrated Climate Programme, DECC/Defra (GA01101). We would like to thank Prof. T. Carter and two anonymous referees for helpful comments on an earlier draft of this review.</t>
  </si>
  <si>
    <t>10.1002/wcc.130</t>
  </si>
  <si>
    <t>WOS:000295103400002</t>
  </si>
  <si>
    <t>de Bruyn, PJN; Tosh, CA; Bester, MN; Cameron, EZ; McIntyre, T; Wilkinson, IS</t>
  </si>
  <si>
    <t>de Bruyn, P. J. N.; Tosh, C. A.; Bester, M. N.; Cameron, E. Z.; McIntyre, T.; Wilkinson, I. S.</t>
  </si>
  <si>
    <t>Sex at sea: alternative mating system in an extremely polygynous mammal</t>
  </si>
  <si>
    <t>ANIMAL BEHAVIOUR</t>
  </si>
  <si>
    <t>detectability analysis; Marion Island; mating system; Mirounga leonina; pinniped; polygyny; southern elephant seal</t>
  </si>
  <si>
    <t>SOUTHERN ELEPHANT SEALS; MIROUNGA-LEONINA; DIVING BEHAVIOR; MATE CHOICE; FUR SEALS; EVOLUTION; POPULATION; STRATEGIES; HARASSMENT; ISLAND</t>
  </si>
  <si>
    <t>Polygyny is a widespread and evolutionarily significant mating system in vertebrates. The southern elephant seal, Mirounga leonina, has often been cited as being extremely polygynous, thus providing an important reference point for studies on mating systems. During the breeding season, these animals form terrestrial harems in which one dominant male controls tens to hundreds of females. Our current understanding of polygynous mating systems seems to imply that, unlike males, females are not under selection pressure to adopt alternative mating strategies, and in the case of the southern elephant seal, the possibility of mating at sea has not been considered. Furthermore, elephant seal females are thought to breed annually. Using a 25-year markerecapture data set, we found that elephant seal females skipped breeding seasons, often returning to pup in the following breeding season. Females did not need to haul out on land in order to breed in the following season, thus providing evidence for mating at sea by virgin and multiparous females. Nonpolygynous, opportunistic mating at sea could be an important alternative mating strategy in a supposedly strictly polygynous species. This has implications for our understanding of elephant seal ecology, demography and behaviour and of the evolution of vertebrate polygyny in general. If polygyny does not preclude females from adopting alternative mating strategies, the term 'polygyny' may be misleading. Traditional concentration on male strategies has hampered our understanding of mating systems, in assuming that females capitulate to these strategies. We suggest similar misinterpretations could occur in other polygynous species. (C) 2011 The Association for the Study of Animal Behaviour. Published by Elsevier Ltd. All rights reserved.</t>
  </si>
  <si>
    <t>[de Bruyn, P. J. N.; Tosh, C. A.; Bester, M. N.; Cameron, E. Z.; McIntyre, T.] Univ Pretoria, Mammal Res Inst, Dept Zool &amp; Entomol, ZA-0028 Hatfield, South Africa; [Cameron, E. Z.] Univ Tasmania, Sch Zool, Hobart, Tas 7001, Australia; [Wilkinson, I. S.] New S Wales Off Environm &amp; Heritage, Coffs Harbour, NSW 2450, Australia</t>
  </si>
  <si>
    <t>University of Pretoria; University of Tasmania; Office of Environment &amp; Heritage - New South Wales</t>
  </si>
  <si>
    <t>de Bruyn, PJN (corresponding author), Univ Pretoria, Mammal Res Inst, Dept Zool &amp; Entomol, Private Bag X20, ZA-0028 Hatfield, South Africa.</t>
  </si>
  <si>
    <t>pjndebruyn@zoology.up.ac.za</t>
  </si>
  <si>
    <t>de Bruyn, P. J. Nico/E-4176-2010; Cameron, Elissa Z/E-4280-2010; Cameron, Elissa/B-8053-2014; Tosh, Cheryl/D-5623-2016; Wilkinson, Ian S/ABG-2772-2020; Bester, Marthán N/E-5387-2010; McIntyre, Trevor/E-6846-2010</t>
  </si>
  <si>
    <t>de Bruyn, P. J. Nico/0000-0002-9114-9569; Cameron, Elissa/0000-0002-9243-0547; Tosh, Cheryl/0000-0003-0243-5422; McIntyre, Trevor/0000-0001-8395-7550</t>
  </si>
  <si>
    <t>South African Department of Science and Technology, through the National Research Foundation</t>
  </si>
  <si>
    <t>We thank W.C. Oosthuizen, R.R. Reisinger, V.M. Phalanndwa and N.T. Mufanadzo for their assistance with device deployments. We thank all the Marion Island 'sealers' for their years of mark-recapture efforts. The Department of Environmental Affairs supplied logistic support within the South African National Antarctic Programme. Financial support was provided by the South African Department of Science and Technology, through the National Research Foundation, in support of the Marine Mammal Programme of the MRI. M. Festa-Bianchet and two anonymous referees provided constructive comments on the manuscript and T. L. McDonald is thanked for assistance with the package 'mra'. I.S. Wilkinson revived the quest for substantiating at-sea mating in the species.</t>
  </si>
  <si>
    <t>0003-3472</t>
  </si>
  <si>
    <t>1095-8282</t>
  </si>
  <si>
    <t>ANIM BEHAV</t>
  </si>
  <si>
    <t>Anim. Behav.</t>
  </si>
  <si>
    <t>10.1016/j.anbehav.2011.06.006</t>
  </si>
  <si>
    <t>807GP</t>
  </si>
  <si>
    <t>WOS:000293884700003</t>
  </si>
  <si>
    <t>Nomura, D; Kasamatsu, N; Tateyama, K; Kudoh, S; Fukuchi, M</t>
  </si>
  <si>
    <t>Nomura, Daiki; Kasamatsu, Nobue; Tateyama, Kazu; Kudoh, Sakae; Fukuchi, Mitsuo</t>
  </si>
  <si>
    <t>DMSP and DMS in coastal fast ice and under-ice water of Lutzow-Holm Bay, eastern Antarctica</t>
  </si>
  <si>
    <t>Sea ice; DMSP; DMS; Ice melting; Under-ice water</t>
  </si>
  <si>
    <t>SEA-ICE; SEASONAL-VARIATIONS; CO2 FLUX; DIMETHYLSULPHONIOPROPIONATE; DIMETHYLSULFIDE; DIMETHYLSULFONIOPROPIONATE; SULFUR; COMPONENTS; IMPACTS; GROWTH</t>
  </si>
  <si>
    <t>The combined concentration of total dimethylsulfoniopropionate and dimethylsulfide (DMSP+DMS) were measured in Antarctic fast ice on the coast of Lutzow-Holm Bay, eastern Antarctica. High bulk-ice DMSP+DMS and chlorophyll a concentrations were found at the bottom of the sea ice, and these concentrations were higher than those in the under-ice water. The bulk-ice DMSP+DMS and chlorophyll a concentrations were highly correlated (r(2)=0.68, P &lt; 0.001), suggesting that the high bulk-ice DMSP+DMS concentrations were caused mainly by the presence of algae assemblages in the ice. The calculated brine DMSP+DMS concentrations were as high as 1100 nM in the bottom ice layer, and the vertical profile patterns of brine DMSP+DMS concentrations were almost the same as for the bulk ice, mainly because of the small amount of variability in the vertical brine volume fraction. DMSP+DMS and chlorophyll a concentrations in the under-ice water increased, whereas the salinity of the under-ice water decreased, during the sampling period. These results reflect the supply of freshwater containing high levels of DMSP+DMS to the water just under the ice as the ice melted. These results suggest that sea-ice melting could be important to sulfur cycling in coastal ice-covered regions of the polar oceans. (C) 2011 Elsevier Ltd. All rights reserved.</t>
  </si>
  <si>
    <t>[Nomura, Daiki; Kasamatsu, Nobue; Kudoh, Sakae; Fukuchi, Mitsuo] Natl Inst Polar Res, Tokyo 1908518, Japan; [Tateyama, Kazu] Kitami Inst Technol, Kitami, Hokkaido 0908507, Japan</t>
  </si>
  <si>
    <t>Research Organization of Information &amp; Systems (ROIS); National Institute of Polar Research (NIPR) - Japan; Kitami Institute of Technology</t>
  </si>
  <si>
    <t>Nomura, D (corresponding author), Natl Inst Polar Res, 10-3 Midori Cho, Tokyo 1908518, Japan.</t>
  </si>
  <si>
    <t>nomura.daiki@nipr.ac.jp</t>
  </si>
  <si>
    <t>10.1016/j.csr.2011.05.017</t>
  </si>
  <si>
    <t>809EP</t>
  </si>
  <si>
    <t>WOS:000294034900006</t>
  </si>
  <si>
    <t>Williams, BP; Speece, MA; Powell, RD</t>
  </si>
  <si>
    <t>Williams, B. P.; Speece, M. A.; Powell, R. D.</t>
  </si>
  <si>
    <t>A high-resolution, multi-channel, over-sea-ice seismic reflection survey over the Mackay Sea Valley, Granite Harbor, Antarctica</t>
  </si>
  <si>
    <t>MARINE GEOPHYSICAL RESEARCH</t>
  </si>
  <si>
    <t>Antarctic; High-resolution; Over-sea-ice; Reflection; Seismic</t>
  </si>
  <si>
    <t>PLEISTOCENE-HOLOCENE RETREAT; WESTERN ROSS-SEA; TRANSANTARCTIC MOUNTAINS; GLACIER AREA; SHEET SYSTEM; BAIKAL; DEEP</t>
  </si>
  <si>
    <t>In the austral summer of 2007, 20.5 km of high-resolution over-sea-ice seismic reflection data were collected in the Granite Harbor region of southern McMurdo Sound over the Mackay Sea Valley. The goal of the survey was to image thin pelagic sediment deposited in the Mackay Sea Valley after the Last Glacial Maximum. A generator-injector air gun was lowered beneath the sea ice through holes drilled by an auger drill system. The recording system was a 60 channel snow streamer with vertically oriented gimbaled geophones spaced 25 m apart. Unique problems in the over-sea-ice seismic reflection survey-noise from the ice column flexing and timing delays caused by trapped air at previous shot points-were overcome to improve the quality of the seismic data. The Mackay Sea Valley survey produced seismic data with a vertical resolution of 6.3 m. The processed seismic data show pelagic sediment thickness of up to 50 m within the Mackay Sea Valley with some locations showing possible older sediments beneath the pelagic sediment layer.</t>
  </si>
  <si>
    <t>[Williams, B. P.; Speece, M. A.] Montana Tech Univ, Geophys Engn Dept, Butte, MT 59701 USA; [Powell, R. D.] No Illinois Univ, Dept Geol &amp; Environm Geosci, De Kalb, IL 60115 USA</t>
  </si>
  <si>
    <t>University of Montana System; Montana Technological University; University of Montana; Northern Illinois University</t>
  </si>
  <si>
    <t>Speece, MA (corresponding author), Montana Tech Univ, Geophys Engn Dept, 1300 W Pk St, Butte, MT 59701 USA.</t>
  </si>
  <si>
    <t>mspeece@mtech.edu</t>
  </si>
  <si>
    <t>National Science Foundation [OPP-0342484]</t>
  </si>
  <si>
    <t>The National Science Foundation funded the MSV survey through grant OPP-0342484. We thank Webster's Drilling and Exploration LTD for drilling shot holes, UNAVCO for providing GPS coordinates of shot locations, and the entire MSV survey crew. We thank Andrew McKee and Raytheon Polar services for logistical support. David Reichhardt, Curtis Link and two anonymous reviewers made important corrections to this manuscript. The seismic data were processed using Landmark Graphics ProMAX (R). Seismic interpretations were done in Kingdom Suite (R).</t>
  </si>
  <si>
    <t>0025-3235</t>
  </si>
  <si>
    <t>MAR GEOPHYS RES</t>
  </si>
  <si>
    <t>Mar. Geophys. Res.</t>
  </si>
  <si>
    <t>10.1007/s11001-011-9115-3</t>
  </si>
  <si>
    <t>Geochemistry &amp; Geophysics; Oceanography</t>
  </si>
  <si>
    <t>808XJ</t>
  </si>
  <si>
    <t>WOS:000294015000003</t>
  </si>
  <si>
    <t>Jezewski, W; Zdzitowiecki, K; Laskowski, Z</t>
  </si>
  <si>
    <t>Jezewski, Witold; Zdzitowiecki, Krzysztof; Laskowski, Zdzislaw</t>
  </si>
  <si>
    <t>Description of Neolepidapedoides subantarcticus sp nov (Digenea, Lepocreadiidae) from sub-Antarctic notothenioid fishes</t>
  </si>
  <si>
    <t>ACTA PARASITOLOGICA</t>
  </si>
  <si>
    <t>Digenea; Lepocreadiidae; Neolepidapedoides; Nototheniidae; Patagonotothen longipes; Beagle Channel; Argentina</t>
  </si>
  <si>
    <t>MARINE FISHES; BARRIER-REEF; RED-SEA; N-SP; TREMATODES; PARASITE; OPECOELIDAE; GENUS</t>
  </si>
  <si>
    <t>Neolepidapedoides subantarcticus sp. nov. (Digenea, Lepocreadiidae) is reported from the intestine, mainly the jejunum, of fishes in the eastern mouth of the Beagle Channel and in the harbour of Ushuaia in the Beagle Channel (Tierra del Fuego, Argentina) at a depth 7-30 m. The typical host is Patagonotothen longipes, other hosts are P. tessellata, P. brevicauda and Champsocephalus esox. The male terminal genitalia indicates that the new species belongs to the genus Neolepidapedoides (Lepocreadiidae, Lepocreadiinae). The most important taxonomic features are the presence of eye-spots, the spined tegument, the Opechona-type cirrus-sac, the external seminal vesicle free in the parenchyma, the gonads arranged in tandem, the vitelline follicles extending from the level of the oesophagus in the forebody to the posterior end of the body and an I-shaped excretory vesicle reaching to the intestinal bifurcation and the absence of a pseudoesophagus. Ten previously described species differ from the N. subantarcticus sp. nov. mainly in the extent of the vitelline fields and length of the excretory vesicle which reaches into forebody.</t>
  </si>
  <si>
    <t>[Jezewski, Witold; Zdzitowiecki, Krzysztof; Laskowski, Zdzislaw] Polish Acad Sci, W Stefanski Inst Parasitol, PL-00818 Warsaw, Poland; [Zdzitowiecki, Krzysztof; Laskowski, Zdzislaw] Polish Acad Sci, Dept Antarctic Biol, PL-02141 Warsaw, Poland</t>
  </si>
  <si>
    <t>Polish Academy of Sciences; Polish Academy of Sciences</t>
  </si>
  <si>
    <t>Jezewski, W (corresponding author), Polish Acad Sci, W Stefanski Inst Parasitol, Twarda 51-55, PL-00818 Warsaw, Poland.</t>
  </si>
  <si>
    <t>jezw@twarda.pan.pl</t>
  </si>
  <si>
    <t>Laskowski, Zdzislaw/V-5682-2018</t>
  </si>
  <si>
    <t>Laskowski, Zdzislaw/0000-0001-8542-6307; Jezewski, Witold/0000-0002-1966-294X</t>
  </si>
  <si>
    <t>VERSITA</t>
  </si>
  <si>
    <t>WARSAW</t>
  </si>
  <si>
    <t>SOLIPSKA 14A-1, 02-482 WARSAW, POLAND</t>
  </si>
  <si>
    <t>1230-2821</t>
  </si>
  <si>
    <t>ACTA PARASITOL</t>
  </si>
  <si>
    <t>Acta Parasitolog.</t>
  </si>
  <si>
    <t>10.2478/s11686-011-0061-7</t>
  </si>
  <si>
    <t>Parasitology; Veterinary Sciences; Zoology</t>
  </si>
  <si>
    <t>803CM</t>
  </si>
  <si>
    <t>WOS:000293558200011</t>
  </si>
  <si>
    <t>Lorenti, M; Gambi, MC; Guglielmo, R; Patti, FP; Scipione, MB; Zupo, V; Buia, MC</t>
  </si>
  <si>
    <t>Lorenti, Maurizio; Gambi, Maria Cristina; Guglielmo, Rosanna; Patti, Francesco Paolo; Scipione, Maria Beatrice; Zupo, Valerio; Buia, Maria Cristina</t>
  </si>
  <si>
    <t>Soft-bottom macrofaunal assemblages in the Gulf of Salerno, Tyrrhenian Sea, Italy, an area affected by the invasion of the seaweed Caulerpa racemosa var. cylindracea</t>
  </si>
  <si>
    <t>Caulerpa racemosa; invasive species; long-term analysis; macrofauna; Mediterranean Sea; soft bottoms</t>
  </si>
  <si>
    <t>BAY; COMMUNITIES; SPARTINA</t>
  </si>
  <si>
    <t>The spread of the introduced chlorophyte alga Caulerpa racemosa (with its variety cylindracea) in the Mediterranean Sea has been dramatic in the past decade due to its ability to cover substantial bottom areas and modify invaded habitats. From its first appearance in the mid-1990s, C. racemosa var. cylindracea has proliferated along the soft bottom of the Gulf of Salerno (Tyrrhenian Sea), which in its central part was largely unvegetated. A long-term assessment of the macrofaunal assemblages from this area was conducted based on a comparison between a historical dataset of macrofaunal species and abundances obtained in 1981, before the introduction of the alga, and datasets derived from sampling performed in 2006 and 2007 at the same stations. The aim of the comparison was to explore whether a detectable change occurred in the degree of diversity and in the composition of macrofaunal assemblages and, if this occurred, whether such change could be attributed, at least in part, to the C. racemosa colonization in the area. Although overall local diversity did not change in the study area, the composition of the macrofaunal assemblages in 2006-2007 differed from that in 1981. The most conspicuous changes were a decline in infaunal bivalve molluscs and an increase of mobile epibenthic forms (notably the mollusc Nassarius pygmaeus); these may be linked to the influence of C. racemosa on sediment properties. The dominance of some species (mainly polychaetes) may be associated with other environmental factors such as the intensity of riverine inputs. The impact of the invasive alga appears to vary according to the habitat invaded.</t>
  </si>
  <si>
    <t>[Lorenti, Maurizio; Gambi, Maria Cristina; Guglielmo, Rosanna; Patti, Francesco Paolo; Scipione, Maria Beatrice; Zupo, Valerio; Buia, Maria Cristina] Stn Zool A Dohrn, Lab Funct &amp; Evolutionary Ecol, Benth Ecol Grp, I-80121 Naples, Italy</t>
  </si>
  <si>
    <t>Stazione Zoologica Anton Dohrn di Napoli</t>
  </si>
  <si>
    <t>Lorenti, M (corresponding author), Stn Zool A Dohrn, Lab Funct &amp; Evolutionary Ecol, Benth Ecol Grp, I-80121 Naples, Italy.</t>
  </si>
  <si>
    <t>mlorenti@szn.it</t>
  </si>
  <si>
    <t>Lorenti, Maurizio/L-8219-2014; Gambi, Maria Cristina/AFO-0958-2022; Patti, Francesco Paolo/L-7040-2014; Buia, Maria-Cristina/L-9948-2017; Gambi, Maria Cristina/L-8246-2014; Buia, Maria Cristina/K-8771-2016</t>
  </si>
  <si>
    <t>Lorenti, Maurizio/0000-0002-9729-3668; Gambi, Maria Cristina/0000-0002-0168-776X; Guglielmo, Rosanna/0000-0003-1152-5112; Buia, Maria Cristina/0000-0002-2370-898X</t>
  </si>
  <si>
    <t>Ministry of Education University and Research-MIUR</t>
  </si>
  <si>
    <t>Ministry of Education University and Research-MIUR(Ministry of Education, Universities and Research (MIUR))</t>
  </si>
  <si>
    <t>We wish to thank Lisa Levin for inviting us to participate in this special issue dedicated to Paul Dayton. Although none of the authors has been one of his PhD students, Paul's scientific vision has been very influential to many of us. Paul has also been close to our institution, as a member of the Scientific Advisory Board of the Stazione Zoologica of Naples in recent years. Paul has been instrumental in inspiring the Antarctic research by our group on benthic communities carried out at Terra Nova Bay (Ross Sea). Both his scientific skill and human support (to M. C. G.) were also very much appreciated within the SCAR Committee for the Antarctic EASIZ program. The present work was supported by the Italian project V.E.C.T.O.R. ('Vulnerability of Italian shores and marine ecosystems to climatic changes and their role in the Mediterranean carbon cycles'; Ministry of Education University and Research-MIUR). We are indebted to Mariachiara Chiantore (University of Genova) for the identification of echinoderms (2006-2007 surveys). Thanks are due to the crew of the R/V Vettoria and to Captain Vincenzo Rando, Mr Bruno Iacono and Dr Monia Flagella for their thorough help during field survey and sampling. We also thank three anonymous reviewers and Lisa Levin who helped greatly in improving the manuscript and Jennifer Gonzalez for final editing. We fondly remember Prof. Eugenio Fresi, a mentor and a good friend, who was the leading scientist of the 1981 survey in the Gulf of Salerno.</t>
  </si>
  <si>
    <t>10.1111/j.1439-0485.2011.00472.x</t>
  </si>
  <si>
    <t>WOS:000293560400008</t>
  </si>
  <si>
    <t>Garzoli, SL; Matano, R</t>
  </si>
  <si>
    <t>Garzoli, Silvia L.; Matano, Ricardo</t>
  </si>
  <si>
    <t>The South Atlantic and the Atlantic Meridional Overturning Circulation</t>
  </si>
  <si>
    <t>South Atlantic; Meridional Overturning Circulation; Ocean circulation and climate</t>
  </si>
  <si>
    <t>ANTARCTIC INTERMEDIATE WATER; HEAT-TRANSPORT; INTEROCEAN EXCHANGE; GENERAL-CIRCULATION; COUPLED VARIABILITY; OCEAN CIRCULATION; BENGUELA CURRENT; PART II; MODEL; AGULHAS</t>
  </si>
  <si>
    <t>This article discusses the contribution of the South Atlantic circulation to the variability of the Meridional Overturning Circulation (MOC). The South Atlantic connects the North Atlantic to the Indian and Pacific oceans, being the conduit through which the southward outflow of North Atlantic Deep Water (NADW) is compensated by northward inflows of upper and intermediate waters. This circulation pattern, in which cold waters flow poleward and warm waters equatorward, generates a distinct heat flux that is directed from the poles towards the equator. Observations and models indicate that the South Atlantic is not just a passive conduit but that its circulation influences significantly the water mass structure of the Atlantic Meridional Overturning Circulation (AMOC). These transformations occur across the whole basin but are most intensified in regions of high mesoscale variability. Models and observations also show that the South Atlantic plays a significant role in the establishment of oceanic teleconnections. Anomalies generated in the Southern Ocean, for example, are transmitted through inter-ocean exchanges to the northern basins. These results highlight the need for sustained observations in the South Atlantic and Southern Ocean, which, in conjunction with modeling efforts, would improve the understanding of the processes necessary to formulate long-term climate predictions. Published by Elsevier Ltd.</t>
  </si>
  <si>
    <t>[Garzoli, Silvia L.] NOAA, Atlantic Oceanog &amp; Meteorol Lab, Miami, FL 33149 USA; [Matano, Ricardo] Oregon State Univ, Coll Ocean &amp; Atmospher Sci, Corvallis, OR 97331 USA</t>
  </si>
  <si>
    <t>National Oceanic Atmospheric Admin (NOAA) - USA; Atlantic Oceanographic &amp; Meteorological Laboratory (AOML); Oregon State University</t>
  </si>
  <si>
    <t>Garzoli, SL (corresponding author), NOAA, Atlantic Oceanog &amp; Meteorol Lab, 4301 Rickenbacker Causeway, Miami, FL 33149 USA.</t>
  </si>
  <si>
    <t>Silvia.Garzoli@noaa.gov</t>
  </si>
  <si>
    <t>Garzoli, Silvia/JCP-1471-2023; Garzoli, Silvia/A-3556-2010</t>
  </si>
  <si>
    <t>Garzoli, Silvia/0000-0003-3553-2253</t>
  </si>
  <si>
    <t>Atlantic Oceanographic and Meteorological Laboratory of NOAA; National Science Foundation [OCE-0726994, OCE-0928348]; NASA [NNX08AR40G]; NASA [95461, NNX08AR40G] Funding Source: Federal RePORTER; Directorate For Geosciences; Division Of Ocean Sciences [0928348] Funding Source: National Science Foundation</t>
  </si>
  <si>
    <t>Atlantic Oceanographic and Meteorological Laboratory of NOAA(National Oceanic Atmospheric Admin (NOAA) - USA); National Science Foundation(National Science Foundation (NSF)); NASA(National Aeronautics &amp; Space Administration (NASA)); NASA(National Aeronautics &amp; Space Administration (NASA)); Directorate For Geosciences; Division Of Ocean Sciences(National Science Foundation (NSF)NSF - Directorate for Geosciences (GEO))</t>
  </si>
  <si>
    <t>Support for this study was provided by the Atlantic Oceanographic and Meteorological Laboratory of NOAA and the National Science Foundation through Grants OCE-0726994 and OCE-0928348 and by NASA through Grant NNX08AR40G.</t>
  </si>
  <si>
    <t>10.1016/j.dsr2.2010.10.063</t>
  </si>
  <si>
    <t>WOS:000293480300009</t>
  </si>
  <si>
    <t>Liuzzi, MG; Gappa, JL; Piriz, ML</t>
  </si>
  <si>
    <t>Liuzzi, Maria G.; Lopez Gappa, Juan; Piriz, Maria L.</t>
  </si>
  <si>
    <t>Latitudinal gradients in macroalgal biodiversity in the Southwest Atlantic between 36 and 55°S</t>
  </si>
  <si>
    <t>HYDROBIOLOGIA</t>
  </si>
  <si>
    <t>Biogeography; Species richness; Sampling effort; Algal functional groups; Breaking points; Argentina</t>
  </si>
  <si>
    <t>UNDARIA-PINNATIFIDA LAMINARIALES; DIVERSITY GRADIENTS; PHYTOGEOGRAPHIC CHARACTERIZATION; SEAWEED DIVERSITY; PATTERNS; PHAEOPHYTA; PATAGONIA; EVOLUTION; OCEAN; ALGAE</t>
  </si>
  <si>
    <t>Different groups of marine benthic organisms show contrasting latitudinal patterns of biodiversity. The widely accepted paradigm of increasing biodiversity towards the tropics does not seem to be valid for macroalgal floras of the Southern Hemisphere. We compiled a database summarizing the distributional ranges of macroalgae along the coast of Argentina to test whether biodiversity decreases towards lower latitudes, as in the Pacific coast of South America, and whether breaking points in the geographical distribution can be recognized in one or more areas of the Southwest Atlantic south of 36 degrees S. We found a clear trend of decreasing biodiversity with decreasing latitude. The interpretation of some biodiversity declines is confounded by changes in the intensity of the sampling effort. A 51% reduction in algal species richness between 42 and 41 degrees S coincides with the boundary between the Argentine and Magellanic Zoogeographic Provinces. This sharp breaking point is related to a thermal anomaly caused by long residence times of water masses within San Matias Gulf, suggesting an upper thermal tolerance limit for most Antarctic/sub-Antarctic seaweeds. A further reduction occurs at 38-37 degrees S. This breaking point can be explained by the disappearance of suitable hard substrata, since rocky outcrops give place to wide extensions of sandy beaches. The impoverished algal assemblage inhabiting the northern coast of Argentina is mainly related to the reduction or disappearance of the Antarctic/sub-Antarctic floristic component. This area is characterised by a predominance of widely distributed species, Chlorophytes and opportunistic filamentous or foliose algae.</t>
  </si>
  <si>
    <t>[Liuzzi, Maria G.; Lopez Gappa, Juan] Museo Argentino Ciencias Nat Bernardino Rivadavia, Buenos Aires, DF, Argentina</t>
  </si>
  <si>
    <t>Museo Argentino de Ciencias Naturales Bernardino Rivadavia (MACN)</t>
  </si>
  <si>
    <t>Gappa, JL (corresponding author), Museo Argentino Ciencias Nat Bernardino Rivadavia, Av Angel Gallardo 470,C1405DJR, Buenos Aires, DF, Argentina.</t>
  </si>
  <si>
    <t>lgappa@macn.gov.ar</t>
  </si>
  <si>
    <t>Consejo Nacional de Investigaciones Cientificas y Tecnicas (CONICET) [0291]</t>
  </si>
  <si>
    <t>Consejo Nacional de Investigaciones Cientificas y Tecnicas (CONICET)(Consejo Nacional de Investigaciones Cientificas y Tecnicas (CONICET))</t>
  </si>
  <si>
    <t>The authors thank Andrea Coradeghini and Liliana Quartino who allowed us the access to the BA algal herbarium and to the phycological literature, respectively. The authors are also grateful to Alicia Boraso who shared with us her knowledge on taxonomy and distribution of Patagonian macroalgae. One anonymous reviewer is thanked for valuable comments on an earlier version of this manuscript. The authors are grateful to Consejo Nacional de Investigaciones Cientificas y Tecnicas (CONICET) for providing the financial support during this study (PIP No. 0291 to JLG).</t>
  </si>
  <si>
    <t>0018-8158</t>
  </si>
  <si>
    <t>1573-5117</t>
  </si>
  <si>
    <t>Hydrobiologia</t>
  </si>
  <si>
    <t>10.1007/s10750-011-0780-7</t>
  </si>
  <si>
    <t>797XC</t>
  </si>
  <si>
    <t>WOS:000293162400016</t>
  </si>
  <si>
    <t>Umani, SF; Monti, M; Cataletto, B; Budillon, G</t>
  </si>
  <si>
    <t>Umani, S. Fonda; Monti, M.; Cataletto, B.; Budillon, G.</t>
  </si>
  <si>
    <t>Tintinnid distributions in the Strait of Magellan (Chile)</t>
  </si>
  <si>
    <t>Strait of Magellan; Tintinnid species association; Tintinnid abundance; Spatial distribution</t>
  </si>
  <si>
    <t>SOUTHWESTERN ATLANTIC; SPECIES COMPOSITION; MEDITERRANEAN SEA; MARINE SYSTEMS; PATTERNS; MICROZOOPLANKTON; CILIOPHORA; ABUNDANCE; BIOGEOGRAPHY; DIVERSITY</t>
  </si>
  <si>
    <t>In the Strait of Magellan and in the adjacent Pacific and Atlantic Ocean shelf tintinnids were studied during three oceanographic cruises (November 1989, March-April 1991, and April 1995). Total tintinnid abundances were higher in the first cruise and dramatically decreased in the other two late summer cruises. As a general rule, abundances were higher at the surface and in the Atlantic sector. A total of 47 tintinnid species were found. There was not a single species, which could be identified as indicator of a specific water mass. For each cruise, cluster analysis applied on a species/samples matrix identified station sets characterized by a specific tintinnid association. Angosturas entrance was characterized by agglutinated lorica tintinnids, typical of the Atlantic waters, while the Pacific sector by hyaline species. In Punta Arenas basin, a peculiar tintinnid community was clearly identified, although water masses derived from the mixing process between the Pacific and Atlantic waters. Overall, tintinnid communities maintained the structure typical of the water mass despite advection and/or mixing. The main result of this study was to demonstrate that the structure of the tintinnid species association could be used as indicator of the origin of water masses.</t>
  </si>
  <si>
    <t>[Umani, S. Fonda] Univ Trieste, Dept Life Sci, I-34127 Trieste, Italy; [Monti, M.; Cataletto, B.] Ist Nazl Oceanog &amp; Geofis Sperimentale OGS, Dept Biol Oceanog, I-34151 Trieste, Italy; [Budillon, G.] Univ Napoli Parthenope, Dipartimento Sci Ambiente, Ctr Direz Isola C4, I-80143 Naples, Italy</t>
  </si>
  <si>
    <t>University of Trieste; Istituto Nazionale di Oceanografia e di Geofisica Sperimentale; Parthenope University Naples</t>
  </si>
  <si>
    <t>Umani, SF (corresponding author), Univ Trieste, Dept Life Sci, V Valerio 28-1, I-34127 Trieste, Italy.</t>
  </si>
  <si>
    <t>s.fonda@units.it</t>
  </si>
  <si>
    <t>Fonda, Serena/H-6753-2012; Budillon, Giorgio/O-5348-2014; monti, marina/O-2910-2015</t>
  </si>
  <si>
    <t>Budillon, Giorgio/0000-0003-1756-2221; Monti, Marina/0000-0001-5198-7798; CATALETTO, Bruno/0000-0001-8708-1314</t>
  </si>
  <si>
    <t>PRNA (Italian Research Antarctic Program)</t>
  </si>
  <si>
    <t>This study was supported by PRNA (Italian Research Antarctic Program). The crews of M/N OGS Explora and Italica are thanked for their helpful contribution in solving all logistic problems. The Authors wish to thank Dr. C. Pavesi for helping in microzooplankton analyses and E. Cociancich for graphical support. The efforts of J. Dolan, G. MacManus, and V. Alder, whose comments led to a substantial improvement in the manuscript, are gratefully acknowledged. Lastly, we want to particularly acknowledge PhD Francesca Malfatti for her throughout English revision of the manuscript.</t>
  </si>
  <si>
    <t>10.1007/s00300-011-0972-7</t>
  </si>
  <si>
    <t>WOS:000293025100003</t>
  </si>
  <si>
    <t>Zagami, G; Antezana, T; Ferrari, I; Granata, A; Sitran, R; Minutoli, R; Guglielmo, L</t>
  </si>
  <si>
    <t>Zagami, Giacomo; Antezana, Tarcisio; Ferrari, Ireneo; Granata, Antonia; Sitran, Raffaella; Minutoli, Roberta; Guglielmo, Letterio</t>
  </si>
  <si>
    <t>Species diversity, spatial distribution, and assemblages of zooplankton within the Strait of Magellan in austral summer</t>
  </si>
  <si>
    <t>Zooplankton assemblages; Strait of Magellan sub-basins; Spatial distribution; Statistical testing</t>
  </si>
  <si>
    <t>FEATURES; PLANKTON; FJORDS</t>
  </si>
  <si>
    <t>The main aim of this work was to identify zooplankton assemblages by means of statistical testing and associate them with hydrographic properties of the Strait of Magellan and its microbasins. Zooplankton samples were collected by the R/V Cariboo in late austral summer 1991. Nineteen stations were sampled by BIONESS from the surface layer to 900 m depth, along the main longitudinal axis of the Strait of Magellan. There was a marked regional-scale pattern in zooplankton species diversity and richness, related to the hydrographical features of the Strait and its sub-basins. Six groups of samples were identified by cluster analysis in terms of zooplankton structure, and related to sea-water properties of temperature, salinity, and Chl a (Sperman's correlation coefficient). Plankton assemblages of the Strait of Magellan seem closely linked to the remote sub-Antarctic and adjacent ocean biota, but populations may have independent evolutionary lines and population dynamics.</t>
  </si>
  <si>
    <t>[Zagami, Giacomo; Granata, Antonia; Sitran, Raffaella; Minutoli, Roberta; Guglielmo, Letterio] Univ Messina, Dipartimento Biol Anim &amp; Ecol Marina, I-98166 Sant Agata Di Messina, Italy; [Antezana, Tarcisio] Univ Concepcion, Dept Oceanog, Concepcion, Chile; [Ferrari, Ireneo] Univ Parma, Dipartimento Sci Ambientali, I-43100 Parma, Italy</t>
  </si>
  <si>
    <t>University of Messina; Universidad de Concepcion; University of Parma</t>
  </si>
  <si>
    <t>Guglielmo, L (corresponding author), Univ Messina, Dipartimento Biol Anim &amp; Ecol Marina, Viale Ferdinando Stagno dAlcontres 31, I-98166 Sant Agata Di Messina, Italy.</t>
  </si>
  <si>
    <t>letterio.guglielmo@unime.it</t>
  </si>
  <si>
    <t>GRANATA, Antonia/0000-0001-7016-6418; ZAGAMI, Giacomo/0000-0001-5083-8846; GUGLIELMO, Letterio/0000-0001-7547-8058</t>
  </si>
  <si>
    <t>Italian National Program of Research in Antarctica (PNRA)</t>
  </si>
  <si>
    <t>Italian National Program of Research in Antarctica (PNRA)(Ministry of Education, Universities and Research (MIUR))</t>
  </si>
  <si>
    <t>Logistical and financial support for this paper were given by the Italian National Program of Research in Antarctica (PNRA). Many thanks are due to Prof. Ken G. McKenzie (1928-2003), University of Melbourne, a prominent scientist in the field of Ostracod taxonomy and ecology and to Dr. Giorgio Benassi for support in ostracod species diagnosis. We are grateful to Susannah Buchan, Department of Oceanography, University of Concepcion, for editing the last version of this MS.</t>
  </si>
  <si>
    <t>10.1007/s00300-011-0962-9</t>
  </si>
  <si>
    <t>WOS:000293025100005</t>
  </si>
  <si>
    <t>Capello, M; Castellano, M; Cutroneo, L; Budillon, G; Orsi, M; Muzzi, M; Ruggieri, N; Tucci, S; Povero, P</t>
  </si>
  <si>
    <t>Capello, Marco; Castellano, Michela; Cutroneo, Laura; Budillon, Giorgio; Orsi, Marco; Muzzi, Michela; Ruggieri, Nicoletta; Tucci, Sergio; Povero, Paolo</t>
  </si>
  <si>
    <t>The composition and distribution of the particulate matter in the Strait of Magellan (Chile) during the 1991 and 1995 Italian campaigns</t>
  </si>
  <si>
    <t>Particulate organic carbon; Particulate organic nitrogen; Strait of Magellan; Total particulate matter; Water mass characteristics</t>
  </si>
  <si>
    <t>ORGANIC-MATTER; SOUTHERN CHILE; BIOMASS; PHYTOPLANKTON; CHLOROPHYLL; CARBONATE; FEATURES</t>
  </si>
  <si>
    <t>During 1991 and 1995, the Italian National Program for Antarctic Research carried out two oceanographic campaigns in the framework of the International (Strait of) Magellan Project. In this paper, we describe the distribution, biochemical composition, and mineralogical characteristics of particulate matter and the characteristics of the water masses defining microbasins in the Strait of Magellan. The data analyses highlighted differences in quality and quantity of the suspended matter and its organic component in the basins that make up the Strait and the Pacific Ocean. The westernmost basin is subject to an eastward flow from the Pacific Ocean, and continental runoff in the surface layers, which are consequently rich in organic matter with a high C:N ratio. The central basin, Isla Carlos III-Segunda Angostura, is characterized by the mixing of Sub-Antarctic Pacific waters, continental runoff, and glacio-fluvial waters: The basin has the lowest particulate matter concentration, but at Paso Ancho showed high concentrations of organic matter with a lower C:N ratio. The easternmost basin, Segunda Angostura-Atlantic entrance, is characterized by the mixing of the water column due to strong Atlantic tides and showed high concentration of particulate matter with a high detritic component. Generally, the organic matter concentrations showed significant differences during the cruises, being higher in 1991. Using the multivariate discriminant factor analysis to determine whether statistically significant differences existed between defined sampling areas, we determined that temperature, particulate organic carbon, and total particulate matter were the variables most important for the difference between areas.</t>
  </si>
  <si>
    <t>[Capello, Marco; Castellano, Michela; Cutroneo, Laura; Orsi, Marco; Muzzi, Michela; Ruggieri, Nicoletta; Tucci, Sergio; Povero, Paolo] Univ Genoa, DIPTERIS, I-16132 Genoa, Italy; [Budillon, Giorgio] Univ Naples Parthenope, Ctr Direz, DISAM, I-80143 Naples, Italy</t>
  </si>
  <si>
    <t>University of Genoa; Parthenope University Naples</t>
  </si>
  <si>
    <t>Capello, M (corresponding author), Univ Genoa, DIPTERIS, Corso Europa 26, I-16132 Genoa, Italy.</t>
  </si>
  <si>
    <t>capello@dipteris.unige.it</t>
  </si>
  <si>
    <t>Budillon, Giorgio/O-5348-2014</t>
  </si>
  <si>
    <t>Budillon, Giorgio/0000-0003-1756-2221; Castellano, Michela/0000-0001-6101-0112; Cutroneo, Laura/0000-0002-5480-419X; CAPELLO, MARCO/0000-0003-4048-7557</t>
  </si>
  <si>
    <t>Italian National Program for Research in Antarctica; ENEA</t>
  </si>
  <si>
    <t>Italian National Program for Research in Antarctica(Ministry of Education, Universities and Research (MIUR)); ENEA(ENEA, Italy)</t>
  </si>
  <si>
    <t>The authors want to thank Prof. Paul Nixon for the English revision of this paper. The constructive comments and suggestions of the Editor, Prof. Dieter Piepenburg, and the two anonymous Reviewers greatly improved this manuscript. We also thank the two Guest Editors, Prof. Letterio Guglielmo and Dr. Vincenzo Saggiomo. This study was carried out as part of the Italian National Program for Research in Antarctica (CLIMA Project) and was financially supported by ENEA through a joint research program.</t>
  </si>
  <si>
    <t>10.1007/s00300-011-0983-4</t>
  </si>
  <si>
    <t>WOS:000293025100006</t>
  </si>
  <si>
    <t>Janko, K; Marshall, C; Musilová, Z; Van Houdt, J; Couloux, A; Cruaud, C; Lecointre, G</t>
  </si>
  <si>
    <t>Janko, Karel; Marshall, Craig; Musilova, Zuzana; Van Houdt, Jeroen; Couloux, Arnaud; Cruaud, Corinne; Lecointre, Guillaume</t>
  </si>
  <si>
    <t>Multilocus analyses of an Antarctic fish species flock (Teleostei, Notothenioidei, Trematominae): Phylogenetic approach and test of the early-radiation event</t>
  </si>
  <si>
    <t>MOLECULAR PHYLOGENETICS AND EVOLUTION</t>
  </si>
  <si>
    <t>Species tree versus gene tree; Multilocus phylogeny; Diversification rate; Evolutionary radiation; Antarctic fish</t>
  </si>
  <si>
    <t>EVOLUTIONARY RADIATIONS; MOLECULAR PHYLOGENIES; DIVERSIFICATION RATES; ADAPTIVE RADIATION; MITOCHONDRIAL-DNA; DIVERGENCE TIMES; EXTINCTION RATES; ABSOLUTE RATES; GENE; PERCIFORMES</t>
  </si>
  <si>
    <t>Clades that have undergone episodes of rapid cladogenesis are challenging from a phylogenetic point of view. They are generally characterised by short or missing internal branches in phylogenetic trees and by conflicting topologies among individual gene trees. This may be the case of the subfamily Trematominae, a group of marine teleosts of coastal Antarctic waters, which is considered to have passed through a period of rapid diversification. Despite much phylogenetic attention, the relationships among Trematominae species remain unclear. In contrast to previous studies that were mostly based on concatenated datasets of mitochondrial and/or single nuclear loci, we applied various single-locus and multilocus phylogenetic approaches to sequences from 11 loci (eight nuclear) and we also used several methods to assess the hypothesis of a radiation event in Trematominae evolution. Diversification rate analyses support the hypothesis of a period of rapid diversification during Trematominae history and only a few nodes in the hypothetical species tree were consistently resolved with various phylogenetic methods. We detected significant discrepancies among trees from individual genes of these species, most probably resulting from incomplete lineage sorting, suggesting that concatenation of loci is not the most appropriate way to investigate Trematominae species interrelationships. These data also provide information about the possible effects of historic climate changes on the diversification rate of this group of fish. (C) 2011 Published by Elsevier Inc.</t>
  </si>
  <si>
    <t>[Janko, Karel; Musilova, Zuzana] Acad Sci Czech Republ, Inst Anim Physiol &amp; Genet, Lab Fish Genet, Libechov 27721, Czech Republic; [Marshall, Craig] Univ Otago, Dept Biochem &amp; Genet Otago, Dunedin, New Zealand; [Van Houdt, Jeroen] Katholieke Univ Leuven, Lab Anim Divers &amp; Systemat, B-3000 Louvain, Belgium; [Couloux, Arnaud; Cruaud, Corinne] Ctr Natl Sequencage, F-91057 Evry, France; [Lecointre, Guillaume] UPMC, CNRS, MNHN, IRD,UMR 7138,Dept Systemat &amp; Evolut, F-75005 Paris 05, France</t>
  </si>
  <si>
    <t>Czech Academy of Sciences; Institute of Animal Physiology &amp; Genetics of the Czech Academy of Sciences; University of Otago; KU Leuven; Universite Paris Saclay; Museum National d'Histoire Naturelle (MNHN); Sorbonne Universite; Institut de Recherche pour le Developpement (IRD); Centre National de la Recherche Scientifique (CNRS); CNRS - National Institute for Biology (INSB)</t>
  </si>
  <si>
    <t>Janko, K (corresponding author), Acad Sci Czech Republ, Inst Anim Physiol &amp; Genet, Lab Fish Genet, Rumburska 89, Libechov 27721, Czech Republic.</t>
  </si>
  <si>
    <t>janko@iapg.cas.cz</t>
  </si>
  <si>
    <t>Janko, Karel/G-7183-2014; Marshall, Craig J./C-6668-2009; Musilova, Zuzana/S-2899-2017</t>
  </si>
  <si>
    <t>Marshall, Craig J./0000-0003-4186-0368; Couloux, Arnaud/0000-0003-2356-0062; Musilova, Zuzana/0000-0001-8759-8663; Cruaud, Corinne/0000-0002-4752-7278</t>
  </si>
  <si>
    <t>Grant Agency of Academy of Sciences [B60045602, KJB600450903]; Museum National d'Histoire Naturelle (Paris, France) [FR-TAF-325]; Centre for Biodiversity Research [LC06073-MSMT]; IRP IAPG [AV0Z50450515]; Museum National d'Histoire Naturelle [UMS 2700, 2005/67]; French national research agency [ANR-07-BLAN-213]; Consortium National de Recherche en Genomique [2005/67]; Genoscope [2005/67]; National Science Foundation [OPP 0132032]</t>
  </si>
  <si>
    <t>Grant Agency of Academy of Sciences; Museum National d'Histoire Naturelle (Paris, France); Centre for Biodiversity Research; IRP IAPG; Museum National d'Histoire Naturelle; French national research agency(Agence Nationale de la Recherche (ANR)); Consortium National de Recherche en Genomique(General Electric); Genoscope; National Science Foundation(National Science Foundation (NSF))</t>
  </si>
  <si>
    <t>This work was supported by the Grant Agency of Academy of Sciences [B60045602 and KJB600450903 to K.J.]; the Synthesys project conducted at the Museum National d'Histoire Naturelle (Paris, France), part of the European sixth framework program [FR-TAF-325 for K.J.]; the Centre for Biodiversity Research [LC06073-MSMT to Z.M.]; the Institute of Animal Physiology and Genetics receives continuous support from IRP IAPG [No. AV0Z50450515]. This work was also supported by the service de systematique moleculaire of the Museum National d'Histoire Naturelle (UMS 2700, departement Systematique &amp; Evolution) and the ANTFLOCKS project funded by the French national research agency (ANR-07-BLAN-213). It was also supported by the Consortium National de Recherche en Genomique through the agreement no. 2005/67 between the Genoscope and the Museum National d'Histoire Naturelle on the project Macrophylogeny of life.; We thank to Agnes Dettai and Barbara R Holland for inspiring comments and help with the network reconstructions. We are grateful to Chris C. Cheng for providing us with Ctyothenia material. We also thank for technical support the French polar institute Institut Paul Emile Victor and the IPEV program 281 (ICOTA) and to Alfred Wegener Institute, Bremerhaven, Germany, for supporting the Polarstern Cruise ANT XXIII-8. We thank Antarctica New Zealand and the Latitudinal Gradients Project for supporting the work of K066. We acknowledge with gratitude the support of The National Science Foundation Grant OPP 0132032 to the ICEFISH2004 cruise (Chief Scientist Bill Detrich, Northwestern University).</t>
  </si>
  <si>
    <t>1055-7903</t>
  </si>
  <si>
    <t>1095-9513</t>
  </si>
  <si>
    <t>MOL PHYLOGENET EVOL</t>
  </si>
  <si>
    <t>Mol. Phylogenet. Evol.</t>
  </si>
  <si>
    <t>10.1016/j.ympev.2011.03.008</t>
  </si>
  <si>
    <t>Biochemistry &amp; Molecular Biology; Evolutionary Biology; Genetics &amp; Heredity</t>
  </si>
  <si>
    <t>790HX</t>
  </si>
  <si>
    <t>WOS:000292580200004</t>
  </si>
  <si>
    <t>Sears, DWG</t>
  </si>
  <si>
    <t>Sears, Derek W. G.</t>
  </si>
  <si>
    <t>The thermoluminescence of meteorites: A brief 2010 perspective</t>
  </si>
  <si>
    <t>GEOCHRONOMETRIA</t>
  </si>
  <si>
    <t>Thermoluminescence; Meteorites; Orbits; Terrestrial Age; Metamorphism</t>
  </si>
  <si>
    <t>UNEQUILIBRATED ORDINARY CHONDRITES; EQUILIBRATED ORDINARY CHONDRITES; THERMO-LUMINESCENCE MEASUREMENTS; SHOCK-METAMORPHOSED SANDSTONE; TYPE-3 ORDINARY CHONDRITES; NATURAL THERMOLUMINESCENCE; ANTARCTIC METEORITES; TERRESTRIAL AGES; REHEATING HISTORY; H-CHONDRITES</t>
  </si>
  <si>
    <t>Early work on meteorite thermoluminescence, influenced by pottery dating and dosimetry applications, demonstrated a relationship between natural thermoluminescence and (1) the orbital perihelion of a meteorite and (2) the terrestrial age (time since fall) of a meteorite. For 14 years natural TL measurements were routinely made on newly recovered Antarctic meteorites to help identify unusual thermal and radiation histories, and to sort them by terrestrial age and perihelion. Two examples of the value of such data are presented, an Antarctic meteorite that underwent a major orbit change prior to fall and the collection mechanics of meteorites at the Lewis Cliff collection site. A second major area of focus for meteorite TL, that has no non-meteorite heritage, is the use of their induced TL to provide an extraordinarily sensitive and quantitative means of exploring metamorphic intensity and palaeothermometry. While especially valuable for unequilibrated ordinary chondrites, these types of measurement have proved useful with virtually every major class of meteorite, asteroidal and planetary. The challenge now is to extend the technique to small particles, micrometeorites, interplanetary dust particles, and cometary particles.</t>
  </si>
  <si>
    <t>[Sears, Derek W. G.] Univ Arkansas, Arkansas Ctr Space &amp; Planetary Sci, Fayetteville, AR 72701 USA; [Sears, Derek W. G.] Univ Arkansas, Dept Chem &amp; Biochem, Fayetteville, AR 72701 USA</t>
  </si>
  <si>
    <t>University of Arkansas System; University of Arkansas Fayetteville; University of Arkansas System; University of Arkansas Fayetteville</t>
  </si>
  <si>
    <t>Sears, DWG (corresponding author), Univ Arkansas, Arkansas Ctr Space &amp; Planetary Sci, Fayetteville, AR 72701 USA.</t>
  </si>
  <si>
    <t>dsears@uark.edu</t>
  </si>
  <si>
    <t>Research Corporation; NASA; NSF; State of Arkansas</t>
  </si>
  <si>
    <t>Research Corporation(Research Corporation for Science Advancement); NASA(National Aeronautics &amp; Space Administration (NASA)); NSF(National Science Foundation (NSF)); State of Arkansas</t>
  </si>
  <si>
    <t>I am grateful to all the students and other colleagues who worked with me on this topic over the last 40 years and who are responsible for the understandings that we have developed. I am also grateful to all the many colleagues who took an interest in our work and offered the best kind of encouragement; they found our work useful. I am also grateful to the Research Corporation, NASA, NSF, and the State of Arkansas who supported the research, and I am grateful to Ashok Singhvi for his gracious invitation to the APLED2 meeting and even more gracious hospitality. Finally, I am grateful to my wife, Hazel Sears, who has shared this interest with me for forty years and reviewed the present paper.</t>
  </si>
  <si>
    <t>1733-8387</t>
  </si>
  <si>
    <t>Geochronometria</t>
  </si>
  <si>
    <t>10.2478/s13386-011-0036-3</t>
  </si>
  <si>
    <t>781NY</t>
  </si>
  <si>
    <t>WOS:000291941300014</t>
  </si>
  <si>
    <t>Jones, CD; Lockhart, SJ</t>
  </si>
  <si>
    <t>Jones, Christopher D.; Lockhart, Susanne J.</t>
  </si>
  <si>
    <t>Detecting Vulnerable Marine Ecosystems in the Southern Ocean using research trawls and underwater imagery</t>
  </si>
  <si>
    <t>Vulnerable Marine Ecosystems; Antarctic benthic invertebrates; Fisheries management</t>
  </si>
  <si>
    <t>BENTHIC COMMUNITIES; BIODIVERSITY; ANTARCTICA; PATTERNS; SEA</t>
  </si>
  <si>
    <t>To ensure that destructive bottom fishing activities do not have significant adverse impacts on Vulnerable Marine Ecosystems (VMEs) in high seas areas of the World Ocean, as required by United Nations General Assembly Resolution 61-105, knowledge of the locations of VMEs is required. Quantifying the occurrence and abundance of VME indicator taxa in research bottom-trawl samples, as well as from in situ observations with underwater photography, provides methods for detecting these ecosystems. A case study is presented in which a threshold density of indicator taxa was used as the basis for VME designation. In 2009, high densities of VME indicator taxa were encountered at 11 sites off the South Orkney Islands in the Atlantic sector of the Southern Ocean. In most cases, thresholds were exceeded by a limited number of VME indicator taxa, primarily representatives of the class Demospongiae (siliceous sponges), Hexactinellida (glass sponges) and Ascidiacea (tunicates). In situ imagery further showed the importance of bryozoans (lace corals), scleractinians (stony corals) and stylastrids (hydrocorals) in the study region. The approach outlined here, which relies on widely used sampling techniques, could be employed throughout the World Ocean to detect and document the presence of VMEs from existing datasets. To illustrate this point, the method was applied to a separate dataset, collected in 2006, from a research cruise off the northern Antarctic Peninsula, which led to the detection of 17 VMEs. The VMEs from both the 2006 and 2009 data are now registered and influence the management of fisheries in the Southern Ocean. Published by Elsevier Ltd.</t>
  </si>
  <si>
    <t>[Jones, Christopher D.; Lockhart, Susanne J.] Natl Marine Fisheries Serv, Antarctic Ecosyst Res Div, SW Fisheries Sci Ctr, NOAA, La Jolla, CA 92037 USA</t>
  </si>
  <si>
    <t>Jones, CD (corresponding author), Natl Marine Fisheries Serv, Antarctic Ecosyst Res Div, SW Fisheries Sci Ctr, NOAA, 3333 N Torrey Pines Court, La Jolla, CA 92037 USA.</t>
  </si>
  <si>
    <t>chris.d.jones@noaa.gov</t>
  </si>
  <si>
    <t>10.1016/j.marpol.2011.02.004</t>
  </si>
  <si>
    <t>766AC</t>
  </si>
  <si>
    <t>WOS:000290749500021</t>
  </si>
  <si>
    <t>Lai, CH; Morley, SA; Tan, KS; Peck, LS</t>
  </si>
  <si>
    <t>Lai, C. H.; Morley, S. A.; Tan, K. S.; Peck, L. S.</t>
  </si>
  <si>
    <t>Thermal niche separation in two sympatric tropical intertidal Laternula (Bivalvia: Anomalodesmata)</t>
  </si>
  <si>
    <t>Burrowing activities; Laternula; Thermal niche; Thermal tolerance; Tropical infaunal bivalves</t>
  </si>
  <si>
    <t>CLIMATE-CHANGE; PHYSIOLOGY; IMPACTS; HABITAT; RANGE; TEMPERATURE; ENVIRONMENT; POPULATION; ADAPTATION; TOLERANCE</t>
  </si>
  <si>
    <t>Factors determining thermal niche separation of two sympatric infaunal bivalves (Laternula truncate and L. boschasina) occurring in a Singapore mangrove were examined by comparing experienced microhabitat temperature with the thermal dependency of mortality and burrowing (both success and speed). The shallow burrowing L. boschasina, which experiences a wider range of environmental temperatures than the deeper burrowing L. truncate, can burrow over a wider temperature range (18.8-37.9 degrees C) than L. truncata (20.7-36.3 degrees C), a thermal window which corresponds closely to the maximum and minimum sediment temperatures predicted from the extreme air temperatures recorded in Singapore (22.1 to 35.7 degrees C for L. truncate and 18.8 to 38.5 degrees C for L boschasina). The upper lethal limit of L. boschasina (36.4 to 38.4 degrees C) was also higher than that of L truncata (33.5-35.5 degrees C), but the lower lethal limit of L. truncata (5.7-5.7 degrees C) was considerably lower than L. boschasina (18.1-20.4 degrees C) and microhabitat temperature. This apparent niche separation of lower limits was also mirrored in the speed of burrowing: L. boschasina maintained a constant burrowing speed across its temperature range, whilst L. truncate burrowed more slowly at low temperatures. The much greater predation pressure on the shallow burrowing L. boschasina may provide the selective pressure for the maintenance of activity at the expense of reduced survival at low temperatures. (C) 2011 Elsevier B.V. All rights reserved.</t>
  </si>
  <si>
    <t>[Lai, C. H.; Tan, K. S.] Natl Univ Singapore, Trop Marine Sci Inst, Singapore 119227, Singapore; [Morley, S. A.; Peck, L. S.] British Antarctic Survey, NERC, Cambridge CB3 0ET, England</t>
  </si>
  <si>
    <t>National University of Singapore; UK Research &amp; Innovation (UKRI); Natural Environment Research Council (NERC); NERC British Antarctic Survey</t>
  </si>
  <si>
    <t>Lai, CH (corresponding author), Natl Univ Singapore, Trop Marine Sci Inst, 18 Kent Ridge Rd, Singapore 119227, Singapore.</t>
  </si>
  <si>
    <t>tmslc@nus.edu.sg</t>
  </si>
  <si>
    <t>Tan, Koh Siang/GOH-0321-2022; , Tan KS/HLW-4582-2023</t>
  </si>
  <si>
    <t>Tan, Koh Siang/0000-0002-4599-9482;</t>
  </si>
  <si>
    <t>Agency for Science, Technology and Research, Singapore [0821010024]; Natural Environment Research Council; NERC [bas0100025] Funding Source: UKRI; Natural Environment Research Council [bas0100025] Funding Source: researchfish</t>
  </si>
  <si>
    <t>Agency for Science, Technology and Research, Singapore(Agency for Science Technology &amp; Research (A*STAR));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</si>
  <si>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National Biodiversity Centre and Sungei Buloh Wetland Reserve (National Parks Board Singapore) for access to sampling sites. We thank SM Martin and Nguyen KD for help with collections and experiments. CHL was funded by the Agency for Science, Technology and Research, Singapore (SERC project no. 0821010024 to KST). SAM was funded by the Natural Environment Research Council under the British Antarctic Survey, Adaptations and physiology work package within the Ecosystems programme of Polar Science for Planet Earth. [SS]</t>
  </si>
  <si>
    <t>AUG 31</t>
  </si>
  <si>
    <t>10.1016/j.jembe.2011.05.014</t>
  </si>
  <si>
    <t>796JO</t>
  </si>
  <si>
    <t>WOS:000293047800009</t>
  </si>
  <si>
    <t>Bagshaw, EA; Tranter, M; Wadham, JL; Fountain, AG; Mowlem, M</t>
  </si>
  <si>
    <t>Bagshaw, E. A.; Tranter, M.; Wadham, J. L.; Fountain, A. G.; Mowlem, M.</t>
  </si>
  <si>
    <t>High-resolution monitoring reveals dissolved oxygen dynamics in an Antarctic cryoconite hole</t>
  </si>
  <si>
    <t>HYDROLOGICAL PROCESSES</t>
  </si>
  <si>
    <t>cryoconite hole; oxygen; Antarctica; low temperature biogeochemistry</t>
  </si>
  <si>
    <t>MCMURDO DRY VALLEYS; CANADA GLACIER; TAYLOR VALLEY; MICROBIAL COMMUNITIES; ARCTIC GLACIER; LAKES; BIOGEOCHEMISTRY; PRODUCTIVITY; EVOLUTION; SVALBARD</t>
  </si>
  <si>
    <t>This study presents the first high-resolution dataset of dissolved oxygen (DO) measurements in an ice-lidded cryoconite hole on Canada Glacier, McMurdo Dry Valleys, Antarctica. Fibre optic DO minisensors were installed in a cryoconite hole prior to seasonal internal melting and hydrological connection to the subsurface drainage system. Oxygen air saturation in the cryoconite hole typically ranged from 50 to 80%, in broad agreement with previous single measurements, indicating net respiration (R). This is consistent with results of simple incubation experiments performed in the field. Simultaneous time series for electrical conductivity, water temperature, and DO over the four-week study period provide information regarding the connectivity of cryoconite holes with the near-surface drainage system. The main driver of the observed variations in DO is likely to be periodic melt-freeze cycles. We conclude that automated sensing techniques, such as those described here, when used in conjunction with physical measurements, have great potential for high-resolution monitoring of the factors that perturb biogeochemical processes in cryospheric surface aquatic ecosystems. Copyright (C) 2011 John Wiley &amp; Sons, Ltd.</t>
  </si>
  <si>
    <t>[Bagshaw, E. A.; Tranter, M.; Wadham, J. L.] Univ Bristol, Sch Geog Sci, Bristol Glaciol Ctr, Bristol BS8 1SS, Avon, England; [Fountain, A. G.] Portland State Univ, Dept Geol, Portland, OR 97207 USA; [Fountain, A. G.] Portland State Univ, Dept Geog, Portland, OR 97207 USA; [Mowlem, M.] Univ Southampton, Natl Oceanog Ctr, Southampton SO14 3ZH, Hants, England</t>
  </si>
  <si>
    <t>University of Bristol; Portland State University; Portland State University; NERC National Oceanography Centre; University of Southampton</t>
  </si>
  <si>
    <t>Bagshaw, EA (corresponding author), Univ Bristol, Sch Geog Sci, Bristol Glaciol Ctr, Bristol BS8 1SS, Avon, England.</t>
  </si>
  <si>
    <t>Liz.Bagshaw@bristol.ac.uk</t>
  </si>
  <si>
    <t>Wadham, Jemma L/A-8352-2012; Wadham, Jemma L/G-3138-2014; Tranter, Martyn/E-3722-2010</t>
  </si>
  <si>
    <t>Bagshaw, Elizabeth/0000-0001-8392-1750; Mowlem, Matthew/0000-0001-7613-6121; Tranter, Martyn/0000-0003-2071-3094</t>
  </si>
  <si>
    <t>EPSRC [EP/D057620/1]; NSF [ANT-0423595]; Engineering and Physical Sciences Research Council [EP/D057620/1] Funding Source: researchfish; Natural Environment Research Council [NE/H002820/1, noc010003, noc010013, NE/I012974/1, NE/I008845/1] Funding Source: researchfish; EPSRC [EP/D057620/1] Funding Source: UKRI; NERC [noc010003, NE/I012974/1, NE/I008845/1, noc010013, NE/H002820/1] Funding Source: UKRI</t>
  </si>
  <si>
    <t>EPSRC(UK Research &amp; Innovation (UKRI)Engineering &amp; Physical Sciences Research Council (EPSRC)); NSF(National Science Foundation (NSF));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</si>
  <si>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This work was supported by EPSRC Grant EP/D057620/1, and NSF Grant ANT-0423595. Fieldwork was conducted with the MCMDV LTER site team whose support is gratefully acknowledged, with logistics provided by Raytheon Polar Services and PHI Helicopters. Owain Bayley assisted in the manufacture and setting up of thermistors, and Hassan Basagic was of great assistance in the field. The manuscript was greatly improved by the comments of three anonymous reviewers.</t>
  </si>
  <si>
    <t>0885-6087</t>
  </si>
  <si>
    <t>1099-1085</t>
  </si>
  <si>
    <t>HYDROL PROCESS</t>
  </si>
  <si>
    <t>Hydrol. Process.</t>
  </si>
  <si>
    <t>AUG 30</t>
  </si>
  <si>
    <t>10.1002/hyp.8049</t>
  </si>
  <si>
    <t>811ID</t>
  </si>
  <si>
    <t>WOS:000294201200009</t>
  </si>
  <si>
    <t>Masclin, SM; Frey, MM; Rogge, WF; Bales, RC</t>
  </si>
  <si>
    <t>Masclin, Sylvain M.; Frey, Markus M.; Rogge, Wolfgang F.; Bales, Roger C.</t>
  </si>
  <si>
    <t>Estimation of nitrate photolysis in the snowpack of the WAIS-Divide site and its contribution to measured atmospheric nitric oxide budget</t>
  </si>
  <si>
    <t>ABSTRACTS OF PAPERS OF THE AMERICAN CHEMICAL SOCIETY</t>
  </si>
  <si>
    <t>242nd National Meeting of the American-Chemical-Society (ACS)</t>
  </si>
  <si>
    <t>AUG 28-SEP 01, 2011</t>
  </si>
  <si>
    <t>Denver, CO</t>
  </si>
  <si>
    <t>[Masclin, Sylvain M.; Rogge, Wolfgang F.; Bales, Roger C.] Univ Calif, Dept Environm Syst, Merced, CA 95343 USA; [Frey, Markus M.] British Antarctic Survey, Nat Environm Res Council, Cambridge CB3 0ET, England; [Rogge, Wolfgang F.; Bales, Roger C.] Univ Calif, Sierra Nevada Res Inst, Merced, CA 95343 USA</t>
  </si>
  <si>
    <t>University of California System; University of California Merced; UK Research &amp; Innovation (UKRI); Natural Environment Research Council (NERC); NERC British Antarctic Survey; University of California System; University of California Merced</t>
  </si>
  <si>
    <t>smasclin@ucmerced.edu</t>
  </si>
  <si>
    <t>Frey, Markus/G-1756-2012</t>
  </si>
  <si>
    <t>Frey, Markus/0000-0003-0535-0416</t>
  </si>
  <si>
    <t>0065-7727</t>
  </si>
  <si>
    <t>ABSTR PAP AM CHEM S</t>
  </si>
  <si>
    <t>Abstr. Pap. Am. Chem. Soc.</t>
  </si>
  <si>
    <t>AUG 28</t>
  </si>
  <si>
    <t>103-ENVR</t>
  </si>
  <si>
    <t>880BE</t>
  </si>
  <si>
    <t>WOS:000299378302373</t>
  </si>
  <si>
    <t>Chu, XZ; Huang, WT; Fong, WC; Yu, ZB; Wang, ZJ; Smith, JA; Gardner, CS</t>
  </si>
  <si>
    <t>Chu, Xinzhao; Huang, Wentao; Fong, Weichun; Yu, Zhibin; Wang, Zhangjun; Smith, John A.; Gardner, Chester S.</t>
  </si>
  <si>
    <t>First lidar observations of polar mesospheric clouds and Fe temperatures at McMurdo (77.8°S, 166.7°E), Antarctica</t>
  </si>
  <si>
    <t>SOUTH-POLE; ART.; LAYERS; NLC</t>
  </si>
  <si>
    <t>We report the first lidar observations of polar mesospheric clouds (PMCs) and temperatures made with an Fe Boltzmann lidar at McMurdo, Antarctica in summer 2010-2011. Eighty-five hours of PMCs were observed between 21 Dec 2010 and 15 Feb 2011, giving an overall occurrence frequency of 29.9%. The mean PMC centroid altitude is 84.59 +/- 0.17 km, confirming previous reports that clouds in the Southern Hemisphere are similar to 1 km higher than in the North. By combining the McMurdo (77.8 degrees S) observations with those obtained at the South Pole (90 degrees S) and Rothera (67.5 degrees S), we find that the mean PMC altitude increases with increasing latitude with a statistically significant ascending rate of 40 +/- 3 m/deg. A negative correlation is found between the daily-mean temperatures at 90 km and PMC brightness. The observations provide direct evidence that the cold phase of wave-induced temperature oscillations facilitates PMC formation and Fe depletion, supporting previous modeling results. Citation: Chu, X., W. Huang, W. Fong, Z. Yu, Z. Wang, J. A. Smith, and C. S. Gardner (2011), First lidar observations of polar mesospheric clouds and Fe temperatures at McMurdo (77.8 degrees S, 166.7 degrees E), Antarctica, Geophys. Res. Lett., 38, L16810, doi:10.1029/2011GL048373.</t>
  </si>
  <si>
    <t>[Chu, Xinzhao; Huang, Wentao; Fong, Weichun; Yu, Zhibin; Wang, Zhangjun; Smith, John A.] Univ Colorado, Cooperat Inst Res Environm Sci, Boulder, CO 80309 USA; [Gardner, Chester S.] Univ Illinois, Dept Elect &amp; Comp Engn, Urbana, IL 61081 USA; [Chu, Xinzhao; Huang, Wentao; Fong, Weichun; Yu, Zhibin; Wang, Zhangjun; Smith, John A.] Univ Colorado, Dept Aerosp Engn Sci, Boulder, CO 80309 USA</t>
  </si>
  <si>
    <t>University of Colorado System; University of Colorado Boulder; University of Illinois System; University of Illinois Urbana-Champaign; University of Colorado System; University of Colorado Boulder</t>
  </si>
  <si>
    <t>; CHU, XINZHAO/I-5670-2015</t>
  </si>
  <si>
    <t>Smith, John/0000-0001-6066-793X; CHU, XINZHAO/0000-0001-6147-1963</t>
  </si>
  <si>
    <t>NSF [ANT-0839091]; Office of Polar Programs (OPP); Directorate For Geosciences [1246405, 0839091] Funding Source: National Science Foundation</t>
  </si>
  <si>
    <t>NSF(National Science Foundation (NSF)); Office of Polar Programs (OPP); Directorate For Geosciences(National Science Foundation (NSF)NSF - Directorate for Geosciences (GEO))</t>
  </si>
  <si>
    <t>We acknowledge Adrian J. McDonald and the staff of United State Antarctic Program, McMurdo Research Station, Antarctic New Zealand and Scott Base for their support in the McMurdo lidar campaign. We offer special thanks to Vladimir Papitashvili and Julie Palais at the National Science Foundation for their encouragement and help in deploying the lidar to McMurdo. This project was supported by NSF grant ANT-0839091.</t>
  </si>
  <si>
    <t>AUG 27</t>
  </si>
  <si>
    <t>L16810</t>
  </si>
  <si>
    <t>10.1029/2011GL048373</t>
  </si>
  <si>
    <t>813LQ</t>
  </si>
  <si>
    <t>WOS:000294368500003</t>
  </si>
  <si>
    <t>Favier, V; Agosta, C; Genthon, C; Arnaud, L; Trouvillez, A; Gallée, H</t>
  </si>
  <si>
    <t>Favier, Vincent; Agosta, Cecile; Genthon, Christophe; Arnaud, Laurent; Trouvillez, Alexandre; Gallee, Hubert</t>
  </si>
  <si>
    <t>Modeling the mass and surface heat budgets in a coastal blue ice area of Adelie Land, Antarctica</t>
  </si>
  <si>
    <t>ENERGY-BALANCE; ALBEDO MEASUREMENTS; SCALAR TRANSFER; SNOW-SURFACE; CLIMATE; GLACIER; PARAMETERIZATION; ACCUMULATION; TEMPERATURE; ABLATION</t>
  </si>
  <si>
    <t>Meteorological data recorded from 12 December 2008 to 30 June 2010 were analyzed to assess the surface energy balance (SEB) in a blue ice area of Cap Prudhomme, Adelie Land (66 degrees 41'S, 139 degrees 55'E). The SEB was computed with a newly developed model forced by direct measurements and with a voluntarily limited number of parameters to better assess model sensitivity. Incoming short-wave radiation was corrected for the slope and orientation of the local terrain assuming direct and diffuse radiation components. Turbulent heat fluxes were assessed using the bulk aerodynamic approach. Heat conduction in the ice was computed by solving the thermal diffusion equation. Snow accumulation was modeled using ERA interim total precipitation and a one-dimensional erosion model. The surface heat budget and accumulation/erosion model accurately reproduced field observations. The occurrence of blue ice is linked with higher rates of erosion than in the surrounding snow covered areas, which may be caused by local flow divergence or snow not being redistributed from higher elevations. Melting occurs between December and February when incoming short-wave radiation is high. However, the SEB was closely linked to air temperature through the incoming long-wave radiation and the turbulent sensible heat flux. Several warm events caused by cyclones intruding into the continent led to significant warming of the ice and high melting rates. Intruding cyclones were also associated with high precipitation that led to significant accumulation. Except in blue ice areas, modeling suggests that expected higher precipitation in a warmer climate will result in more accumulation.</t>
  </si>
  <si>
    <t>[Favier, Vincent; Agosta, Cecile; Genthon, Christophe; Arnaud, Laurent; Trouvillez, Alexandre; Gallee, Hubert] UJF CNRS, LGGE, F-38402 St Martin Dheres, France; [Trouvillez, Alexandre] UR ETNA, F-38402 St Martin Dheres, France</t>
  </si>
  <si>
    <t>Favier, V (corresponding author), UJF CNRS, LGGE, 54 Rue Moliere,BP 96, F-38402 St Martin Dheres, France.</t>
  </si>
  <si>
    <t>favier@lgge.obs.ujf-grenoble.fr</t>
  </si>
  <si>
    <t>Agosta, Cécile/B-9625-2013; Agosta, Cécile/HLQ-5577-2023; Favier, Vincent/T-1936-2017</t>
  </si>
  <si>
    <t>Agosta, Cécile/0000-0003-4091-1653; arnaud, laurent/0000-0002-4432-4205; Favier, Vincent/0000-0001-6024-9498</t>
  </si>
  <si>
    <t>IPEV; INSU; European Union</t>
  </si>
  <si>
    <t>IPEV; INSU(Centre National de la Recherche Scientifique (CNRS)); European Union(European Union (EU))</t>
  </si>
  <si>
    <t>GLACIOCLIM-SAMBA observatory is supported by IPEV and INSU. Some of the instruments were funded by IPEV programs (CONCORDIASI and CALVA programs) and by the European Union FP7 program ICE2SEA. We are also extremely grateful to IPEV for their logistical support in the field, and particularly recall Anthony Mangel and Frederic Vuillaume, who gave their lives to providing logistical support for Antarctic Research. Finally, we thank D. van As, M. Truffer and one anonymous reviewer for their valuable comments.</t>
  </si>
  <si>
    <t>AUG 26</t>
  </si>
  <si>
    <t>F03017</t>
  </si>
  <si>
    <t>10.1029/2010JF001939</t>
  </si>
  <si>
    <t>813LC</t>
  </si>
  <si>
    <t>WOS:000294367100001</t>
  </si>
  <si>
    <t>Ivany, LC; Brey, T; Huber, M; Buick, DP; Schöne, BR</t>
  </si>
  <si>
    <t>Ivany, Linda C.; Brey, Thomas; Huber, Matthew; Buick, Devin P.; Schoene, Bernd R.</t>
  </si>
  <si>
    <t>El Nino in the Eocene greenhouse recorded by fossil bivalves and wood from Antarctica</t>
  </si>
  <si>
    <t>SOUTHERN-OSCILLATION; SEA-ICE; CLIMATE; ENSO; VARIABILITY; GROWTH; TELECONNECTIONS; SHELLS; OCEAN; TEMPERATURE</t>
  </si>
  <si>
    <t>Quasi-periodic variation in sea-surface temperature, precipitation, and sea-level pressure in the equatorial Pacific known as the El Nino - Southern Oscillation (ENSO) is an important mode of interannual variability in global climate. A collapse of the tropical Pacific onto a state resembling a so-called 'permanent El Nino', with a preferentially warmed eastern equatorial Pacific, flatter thermocline, and reduced interannual variability, in a warmer world is predicted by prevailing ENSO theory. If correct, future warming will be accompanied by a shift toward persistent conditions resembling El Nino years today, with major implications for global hydrological cycles and consequent impacts on socioeconomic and ecological systems. However, much uncertainty remains about how interannual variability will be affected. Here, we present multi-annual records of climate derived from growth increment widths in fossil bivalves and co-occurring driftwood from the Antarctic peninsula that demonstrate significant variability in the quasi-biennial and 3-6 year bands consistent with ENSO, despite early Eocene (similar to 50 Mya) greenhouse conditions with global average temperature similar to 10 degrees higher than today. A coupled climate model suggests an ENSO signal and teleconnections to this region during the Eocene, much like today. The presence of ENSO variation during this markedly warmer interval argues for the persistence of robust interannual variability in our future greenhouse world. Citation: Ivany, L. C., T. Brey, M. Huber, D. P. Buick, and B. R. Schone (2011), El Nino in the Eocene greenhouse recorded by fossil bivalves and wood from Antarctica, Geophys. Res. Lett., 38, L16709, doi:10.1029/2011GL048635.</t>
  </si>
  <si>
    <t>[Ivany, Linda C.] Syracuse Univ, Dept Earth Sci, Syracuse, NY 13244 USA; [Brey, Thomas] Alfred Wegener Inst Polar &amp; Marine Res, D-27515 Bremerhaven, Germany; [Buick, Devin P.] Univ Hawaii Manoa, Dept Geol &amp; Geophys, Honolulu, HI 96822 USA; [Huber, Matthew] Purdue Univ, Dept Earth &amp; Atmospher Sci, W Lafayette, IN 47907 USA; [Huber, Matthew] Purdue Univ, Purdue Climate Change Res Ctr, W Lafayette, IN 47907 USA; [Schoene, Bernd R.] Johannes Gutenberg Univ Mainz, Inst Geosci, Dept Appl &amp; Analyt Paleontol, D-55128 Mainz, Germany; [Schoene, Bernd R.] Johannes Gutenberg Univ Mainz, Inst Geosci, INCREMENTS Res Grp, D-55128 Mainz, Germany</t>
  </si>
  <si>
    <t>Syracuse University; Helmholtz Association; Alfred Wegener Institute, Helmholtz Centre for Polar &amp; Marine Research; University of Hawaii System; University of Hawaii Manoa; Purdue University System; Purdue University; Purdue University System; Purdue University; Johannes Gutenberg University of Mainz; Johannes Gutenberg University of Mainz</t>
  </si>
  <si>
    <t>Ivany, LC (corresponding author), Syracuse Univ, Dept Earth Sci, Syracuse, NY 13244 USA.</t>
  </si>
  <si>
    <t>lcivany@syr.edu</t>
  </si>
  <si>
    <t>Huber, Matthew/A-7677-2008; Schöne, Bernd R/B-6294-2011</t>
  </si>
  <si>
    <t>Huber, Matthew/0000-0002-2771-9977; Schöne, Bernd R/0000-0002-6879-1633; Brey, Thomas/0000-0002-6345-2851</t>
  </si>
  <si>
    <t>[NSF-OPP 0125409]; [NSF-ATM 0927946]</t>
  </si>
  <si>
    <t>;</t>
  </si>
  <si>
    <t>We thank John Schue for help in measuring growth increments in Eurhomalea, Kwasi Gilbert and David Linsley for assistance preparing fossil wood, Imogen Poole for examining fossil wood, and Bruce Wilkinson for comments on the manuscript. This work was supported in part by NSF-OPP 0125409 to Ivany and NSF-ATM 0927946 to Huber. This is PCCRC paper 1110. The authors thank two anonymous reviewers for their assistance in evaluating this paper.</t>
  </si>
  <si>
    <t>AUG 25</t>
  </si>
  <si>
    <t>L16709</t>
  </si>
  <si>
    <t>10.1029/2011GL048635</t>
  </si>
  <si>
    <t>813LM</t>
  </si>
  <si>
    <t>WOS:000294368100007</t>
  </si>
  <si>
    <t>Rommerskirchen, F; Condon, T; Mollenhauer, G; Dupont, L; Schefuss, E</t>
  </si>
  <si>
    <t>Rommerskirchen, Florian; Condon, Tegan; Mollenhauer, Gesine; Dupont, Lydie; Schefuss, Enno</t>
  </si>
  <si>
    <t>Miocene to Pliocene development of surface and subsurface temperatures in the Benguela Current system</t>
  </si>
  <si>
    <t>TETRAETHER MEMBRANE-LIPIDS; MERIDIONAL OVERTURNING CIRCULATION; CURRENT UPWELLING SYSTEM; EASTERN SOUTH ATLANTIC; CORE-TOP CALIBRATION; LONG-CHAIN ALKENONES; ORGANIC-MATTER; TEX86 PALEOTHERMOMETRY; EMILIANIA-HUXLEYI; MIDDLE MIOCENE</t>
  </si>
  <si>
    <t>The initiation of the Benguela upwelling has been dated to the late Miocene, but estimates of its sea surface temperature evolution are not available. This study presents data from Ocean Drilling Program (ODP) Site 1085 recovered from the southern Cape Basin. Samples of the middle Miocene to Pliocene were analyzed for alkenone-based (U-37(K'), SSTUK) and glycerol dialkyl glycerol tetraether (GDGT) based (TEX86, Temp(TEX)) water temperature proxies. In concordance with global cooling during the Miocene, SSTUK and Temp(TEX) exhibit a decline of about 8 degrees C and 16 degrees C, respectively. The temperature trends suggest an inflow of cold Antarctic waters triggered by Antarctic ice sheet expansion and intensification of Southern Hemisphere southeasterly winds. A temperature offset between both proxies developed with the onset of upwelling, which can be explained by differences in habitat: alkenone-producing phytoplankton live in the euphotic zone and record sea surface temperatures, while GDGT-producing Thaumarchaeota are displaced to colder subsurface waters in upwelling-influenced areas and record subsurface water temperatures. We suggest that variations in subsurface water temperatures were driven by advection of cold Antarctic waters and thermocline adjustments that were due to changes in North Atlantic deep water formation. A decline in surface temperatures, an increased offset between temperature proxies, and an increase in primary productivity suggest the establishment of the Benguela upwelling at 10 Ma. During the Messinian Salinity Crisis, between 7 and 5 Ma, surface and subsurface temperature estimates became similar, likely because of a strong reduction in Atlantic overturning circulation, while high total organic carbon contents suggest a biogenic bloom. In the Pliocene the offset between the temperature estimates and the cooling trend was reestablished.</t>
  </si>
  <si>
    <t>[Rommerskirchen, Florian; Condon, Tegan; Dupont, Lydie; Schefuss, Enno] Univ Bremen, Ctr Marine Environm Sci, D-28334 Bremen, Germany; [Mollenhauer, Gesine] Alfred Wegener Inst Polar &amp; Marine Res, D-27570 Bremerhaven, Germany</t>
  </si>
  <si>
    <t>University of Bremen; Helmholtz Association; Alfred Wegener Institute, Helmholtz Centre for Polar &amp; Marine Research</t>
  </si>
  <si>
    <t>Rommerskirchen, F (corresponding author), Univ Bremen, Ctr Marine Environm Sci, POB 330 440, D-28334 Bremen, Germany.</t>
  </si>
  <si>
    <t>rommerskirchen@uni-bremen.de; tegdon@gmail.com; gesine.mollenhauer@awi.de; dupont@uni-bremen.de; schefuss@uni-bremen.de</t>
  </si>
  <si>
    <t>Schefuß, Enno/A-7101-2015; Mollenhauer, Gesine/B-5190-2015; Mollenhauer, Gesine/AAD-8167-2019</t>
  </si>
  <si>
    <t>Schefuß, Enno/0000-0002-5960-930X; Mollenhauer, Gesine/0000-0001-5138-564X; Mollenhauer, Gesine/0000-0001-5138-564X; Dupont, Lydie/0000-0001-9531-6793</t>
  </si>
  <si>
    <t>Deutsche Forschungsgemeinschaft (DFG, Bonn, Germany) [FOR 1070, SCHE 903/6]</t>
  </si>
  <si>
    <t>Deutsche Forschungsgemeinschaft (DFG, Bonn, Germany)(German Research Foundation (DFG))</t>
  </si>
  <si>
    <t>We thank Martin Butzin (University of Bremen, Germany), Torsten Bickert (MARUM, University of Bremen, Germany), Gregor Knorr (Alfred Wegener Institute, Bremerhaven, Germany), Stephan Mulitza (MARUM, University of Bremen, Germany) and Gerrit Lohmann (Alfred Wegener Institute, Bremerhaven, Germany) for helpful advice and constructive discussion, as well as Ralph Kreutz and Hella Buschhoff (both from University of Bremen, Germany) and Elke Joost, Katharina Siedenberg, and Abhinav Gogoi (all MARUM, University of Bremen, Germany) for analytical support. John Compton (University of Cape Town, South Africa), Jaap S. Sinninghe Damste (Royal Netherlands Institute for Sea Research, Netherlands), and an anonymous referee are gratefully acknowledged for constructive reviews. Samples were taken at the ODP repository in Bremen. Data are archived in PANGAEA (http://www.pangaea.de/). This study was financially supported by the Deutsche Forschungsgemeinschaft (DFG, Bonn, Germany) within the research unit Understanding Cenozoic Climate Cooling: The Role of the Hydrology Cycle, the Carbon Cycle, and Vegetation Changes (FOR 1070), grant SCHE 903/6.</t>
  </si>
  <si>
    <t>PA3216</t>
  </si>
  <si>
    <t>10.1029/2010PA002074</t>
  </si>
  <si>
    <t>813JX</t>
  </si>
  <si>
    <t>WOS:000294363800002</t>
  </si>
  <si>
    <t>Shprits, Y; Subbotin, D; Ni, BB; Horne, R; Baker, D; Cruce, P</t>
  </si>
  <si>
    <t>Shprits, Yuri; Subbotin, Dmitriy; Ni, Binbin; Horne, Richard; Baker, Daniel; Cruce, Patrick</t>
  </si>
  <si>
    <t>Profound change of the near-Earth radiation environment caused by solar superstorms</t>
  </si>
  <si>
    <t>QUASI-LINEAR DIFFUSION; PITCH-ANGLE DIFFUSION; RELATIVISTIC ELECTRONS; BELT ELECTRONS; RESONANT INTERACTION; INNER MAGNETOSPHERE; MAGNETIC STORM; ACCELERATION; LOSSES; WAVES</t>
  </si>
  <si>
    <t>The outer radiation belt is often enhanced during storms while the inner belt is usually considered to be unaffected by geomagnetic activity. During the most recent Halloween superstorms, the extreme erosion of the plasmasphere allowed particles to be transported closer to the Earth where they were locally accelerated. Modeling, which now includes transport with resonant acceleration and loss processes and mixed diffusion, shows a rather good correspondence with observations. In this study, we use the same version of the VERB code to model a storm stronger than the Halloween storms, which most likely occurred in the past and may occur in the future. Our simulations indicate that during such a strong event, electrons will be transported into the heart of the inner zone, where they will be accelerated by chorus waves. When the plasmapause extends to larger distances, electrons accelerated by resonant wave-particle interactions in the inner radiation belt will find themselves in a very different plasma environment and strong fluxes may persist for several years after such a storm. Such intensification of the near-Earth plasma environment would substantially decrease satellite lifetimes at LEO. The radiation mitigation strategy for satellites operating in the inner belt should include a consideration of the potential for a dramatic increase in the near-Earth radiation. Such intensification of the near-Earth radiation environment may be truly devastating and would substantially decrease the lifetimes of meteorological, communication, and military satellites.</t>
  </si>
  <si>
    <t>[Shprits, Yuri; Cruce, Patrick] Univ Calif Los Angeles, Inst Geophys &amp; Planetary Phys, Los Angeles, CA 90095 USA; [Shprits, Yuri; Subbotin, Dmitriy; Ni, Binbin] Univ Calif Los Angeles, Dept Atmospher &amp; Ocean Sci, Los Angeles, CA 90095 USA; [Horne, Richard] British Antarctic Survey, Cambridge CB3 0ET, England; [Baker, Daniel] Univ Colorado, LASP, Boulder, CO 80303 USA</t>
  </si>
  <si>
    <t>University of California System; University of California Los Angeles; University of California System; University of California Los Angeles; UK Research &amp; Innovation (UKRI); Natural Environment Research Council (NERC); NERC British Antarctic Survey; University of Colorado System; University of Colorado Boulder</t>
  </si>
  <si>
    <t>Shprits, Y (corresponding author), Univ Calif Los Angeles, Inst Geophys &amp; Planetary Phys, Los Angeles, CA 90095 USA.</t>
  </si>
  <si>
    <t>yshprits@atmos.ucla.edu</t>
  </si>
  <si>
    <t>Horne, Richard B/U-3764-2019; Shprits, Yuri Y/I-2174-2014; Ni, Binbin/I-5244-2013</t>
  </si>
  <si>
    <t>Horne, Richard B/0000-0002-0412-6407; Shprits, Yuri/0000-0002-9625-0834</t>
  </si>
  <si>
    <t>USAF [FA9550-08-1-0140]; NSF [ATM-0603191]; NASA [NNX09AF51G]; NERC [bas0100023] Funding Source: UKRI; Natural Environment Research Council [bas0100023] Funding Source: researchfish</t>
  </si>
  <si>
    <t>USAF; NSF(National Science Foundation (NSF)); NASA(National Aeronautics &amp; Space Administration (NASA)); NERC(UK Research &amp; Innovation (UKRI)Natural Environment Research Council (NERC)); Natural Environment Research Council(UK Research &amp; Innovation (UKRI)Natural Environment Research Council (NERC))</t>
  </si>
  <si>
    <t>This work was supported by the USAF Young Investigator Research grant FA9550-08-1-0140, NSF GEM grant ATM-0603191, and NASA grant NNX09AF51G. The authors would like to thank Jerry Goldstein, Martin Walt, Ryan Caron, and Viacheslav Merkin for useful discussions.</t>
  </si>
  <si>
    <t>S08007</t>
  </si>
  <si>
    <t>10.1029/2011SW000662</t>
  </si>
  <si>
    <t>813LF</t>
  </si>
  <si>
    <t>WOS:000294367400001</t>
  </si>
  <si>
    <t>Bortnik, J; Chen, L; Li, W; Thorne, RM; Horne, RB</t>
  </si>
  <si>
    <t>Bortnik, J.; Chen, L.; Li, W.; Thorne, R. M.; Horne, R. B.</t>
  </si>
  <si>
    <t>Modeling the evolution of chorus waves into plasmaspheric hiss</t>
  </si>
  <si>
    <t>STORM-TIME CHORUS; MAGNETOSPHERICALLY REFLECTED WHISTLERS; FREQUENCY ELECTROMAGNETIC RADIATION; SELF-CONSISTENT THEORY; LOW-ALTITUDE SATELLITE; PITCH-ANGLE DIFFUSION; VLF-EMISSIONS; ELF HISS; OUTER MAGNETOSPHERE; SOURCE REGION</t>
  </si>
  <si>
    <t>Plasmaspheric hiss (PH) is a band-limited, incoherent whistler mode emission found predominantly in the plasmasphere or high-density plasma regions in the near-Earth space environment. Since its discovery in the late 1960s, PH has been recognized as playing an important role in shaping the structure and dynamics of the Earth's electron radiation belts and creating the slot region that separates the inner and outer belts. However, the origin of PH has been a topic of intense debate for over four decades. Here we present a model for the origin of PH that involves the evolution of chorus waves into the PH spectrum. We perform extensive ray tracing using the HOTRAY code and calculate Landau damping using newly developed suprathermal flux maps from THEMIS observations, that are L and magnetic local time dependent, for both inside and outside the plasmasphere. Our results show remarkable consistency with the observed statistical characteristics of hiss, including the day/night asymmetry in wave power, frequency spectrum, geomagnetic control of PH, quasi-parallel equatorial wave normal angles, and confinement within the plasmasphere. Our model also reproduces ancillary features such as exohiss and extremely low frequency (ELF) hiss and might be related to a previously reported phenomenon called lower hybrid resonance duct trapping in the ionosphere. A detailed analysis of ray morphologies shows a separation into four distinct groups, which correspond to (1) rays that are trapped at the plasmapause, (2) PH rays, (3) ELF hiss rays, and (4) rays that represent the bulk of the chorus ray power.</t>
  </si>
  <si>
    <t>[Bortnik, J.; Chen, L.; Li, W.; Thorne, R. M.] Univ Calif Los Angeles, Dept Atmospher &amp; Ocean Sci, Los Angeles, CA 90095 USA; [Horne, R. B.] British Antarctic Survey, Cambridge CB3 0ET, England</t>
  </si>
  <si>
    <t>jbortnik@atmos.ucla.edu; clj@atmos.ucla.edu; moonli@atmos.ucla.edu; rmt@atmos.ucla.edu; rh@bas.ac.uk</t>
  </si>
  <si>
    <t>Horne, Richard B/U-3764-2019; Li, Wen/F-3722-2011; Chen, Lunjin/L-1250-2013</t>
  </si>
  <si>
    <t>NSF [AGS-0840178]; AFRL [FA9550-08-1-0140]; Natural Environment Research Council [bas0100023] Funding Source: researchfish; NERC [bas0100023] Funding Source: UKRI</t>
  </si>
  <si>
    <t>NSF(National Science Foundation (NSF)); AFRL(United States Department of DefenseUS Air Force Research Laboratory); Natural Environment Research Council(UK Research &amp; Innovation (UKRI)Natural Environment Research Council (NERC)); NERC(UK Research &amp; Innovation (UKRI)Natural Environment Research Council (NERC))</t>
  </si>
  <si>
    <t>The authors would like to acknowledge the NSF for their support of this work through grant AGS-0840178, the AFRL through grant FA9550-08-1-0140, and the THEMIS team for their distribution of an outstanding data set without which this work would not have been possible.</t>
  </si>
  <si>
    <t>AUG 24</t>
  </si>
  <si>
    <t>A08221</t>
  </si>
  <si>
    <t>10.1029/2011JA016499</t>
  </si>
  <si>
    <t>813KO</t>
  </si>
  <si>
    <t>WOS:000294365700001</t>
  </si>
  <si>
    <t>Goebell, S</t>
  </si>
  <si>
    <t>Goebell, Sibylle</t>
  </si>
  <si>
    <t>Comparison of coincident snow-freeboard and sea ice thickness profiles derived from helicopter-borne laser altimetry and electromagnetic induction sounding</t>
  </si>
  <si>
    <t>GRAVITY; DEPTH</t>
  </si>
  <si>
    <t>Sea ice thickness plays a critical role in global climate change, but it cannot be measured directly from space. Alternatively, sea ice freeboard is measured and converted to sea ice thickness with assumptions made for snow depth and snow/ice densities. This paper investigates the relationship between snow-freeboard (ice-freeboard plus snow) and total thickness (ice thickness plus snow) and addresses the uncertainties that arise from the unknown snow depth and snow/ice densities. A unique data set of coincident measurements of snow-freeboard and total thickness was collected in the Arctic and Antarctic. Snow-freeboard was determined by laser altimetry, and total thickness was determined by electromagnetic induction with a helicopter-borne instrument. Obtained total thickness/snow-freeboard ratios range from 2 to 12 in the Arctic and from 2 to 8 in the Antarctic. The principal finding is that the ratios vary greatly within each region, and a fixed ratio per profile should not be used, as this can induce incorrect ice thicknesses. The ratio uncertainties can induce a relative thickness error of 5.4% and 4.9% in the first-year and multiyear ice mode. Additionally, the coincident measurements allow the calculation of snow depth that can be used to densify existing in situ measurements. To assess accuracy, calculated snow depths were compared to in situ measurements and agree within +/- 5 cm. This increases if measurements and calculations differ spatially. The method of deriving snow-freeboard from laser altimetry is briefly described, and the variability of the total thickness/snow-freeboard ratio is shown for one profile in the Lincoln Sea and one in the Weddell Sea.</t>
  </si>
  <si>
    <t>[Goebell, Sibylle] Alfred Wegener Inst Polar &amp; Marine Res, Bremerhaven, Germany</t>
  </si>
  <si>
    <t>Goebell, S (corresponding author), Newcastle Univ, Sch Civil Engn &amp; Geosci, Newcastle Upon Tyne NE1 7RU, Tyne &amp; Wear, England.</t>
  </si>
  <si>
    <t>EU</t>
  </si>
  <si>
    <t>Special thanks go to P. Clarke and M. King (both at Newcastle University) for their general comments and help to improve language-related issues. Also, they encouraged me to finish this paper. Further, I would like to thank C. Haas for supervising this study, at that time at AWI Bremerhaven. Thanks also to S. Hendricks for processing the EM thickness data and support in acquiring the data in the Arctic. This study was supported by the EU project GreenICE. This study was completed while I was at Alfred Wegener Institute and was submitted for publication while I was at Newcastle University.</t>
  </si>
  <si>
    <t>AUG 23</t>
  </si>
  <si>
    <t>C08018</t>
  </si>
  <si>
    <t>10.1029/2009JC006055</t>
  </si>
  <si>
    <t>813KA</t>
  </si>
  <si>
    <t>WOS:000294364200001</t>
  </si>
  <si>
    <t>Meijers, AJS; Bindoff, NL; Rintoul, SR</t>
  </si>
  <si>
    <t>Meijers, A. J. S.; Bindoff, N. L.; Rintoul, S. R.</t>
  </si>
  <si>
    <t>Frontal movements and property fluxes: Contributions to heat and freshwater trends in the Southern Ocean</t>
  </si>
  <si>
    <t>ANTARCTIC CIRCUMPOLAR CURRENT; GRAVEST EMPIRICAL MODE; SUBSURFACE TEMPERATURE; LARGE-SCALE; PACIFIC; CIRCULATION; SALINITY; NORTH; TOPEX/POSEIDON; VARIABILITY</t>
  </si>
  <si>
    <t>We examine the synoptic variability of temperature and salinity in the Southern Ocean using a static gravest empirical mode (GEM) mapping based on historical hydrography and a time-evolving projection of the GEM created using satellite altimetry (satGEM). The GEM and satGEM projections allow the separation of observed trends into a component due to a shift of the circumpolar fronts (adiabatic) using the satGEM and a component due to changes in water masses (diabatic) expressed as a temporal trend in residual between historical hydrography and the static GEM. The mean southward movement of the Antarctic Circumpolar Current (ACC) fronts drives an adiabatic warming of 1.196 +/- 0.090 W m(-2) distributed over most of the ACC and at all depths. This is strongest where the meridional temperature gradient is largest, such as in the upper 1000 dbar of the Subantarctic Front (SAF). There is a weak adiabatic freshening of 6.57 +/- 0.18 mm yr(-1) m(-2), concentrated mainly below the Antarctic Intermediate Water and south of the SAF. Residuals between historical hydrography and the static GEM field, driven by diabatic changes in the water mass structure, have temporal trends in temperature and salinity. When these trends are integrated over the whole ACC there is a net cooling of -0.628 +/- 0.129 W m(-2) and strong freshening of 30.27 +/- 0.70 mm yr(-1) m(-2). By combining the diabatic and adiabatic components and integrating over the ACC the net increase in heat and freshwater in the region is 0.570 +/- 0.099 W m(-2) and 36.91 +/- 0.72 mm yr(-1) m(-2), respectively. The sum of the adiabatic and diabatic changes are consistent with previous trends inferred from observations.</t>
  </si>
  <si>
    <t>[Meijers, A. J. S.; Rintoul, S. R.] CSIRO, Hobart, Tas 7001, Australia; [Bindoff, N. L.] Univ Tasmania, Inst Marine &amp; Antarctic Studies, Hobart, Tas 7001, Australia; [Meijers, A. J. S.; Bindoff, N. L.; Rintoul, S. R.] Natl Res Flagships, Wealth Oceans Flagship, Hobart, Tas, Australia; [Bindoff, N. L.; Rintoul, S. R.] Antarctic Climate &amp; Ecosyst Cooperat Res Ctr, Hobart, Tas, Australia; [Bindoff, N. L.; Rintoul, S. R.] Ctr Australian Weather &amp; Climate Res, Hobart, Tas, Australia</t>
  </si>
  <si>
    <t>Commonwealth Scientific &amp; Industrial Research Organisation (CSIRO); University of Tasmania; Commonwealth Scientific &amp; Industrial Research Organisation (CSIRO); Antarctic Climate &amp; Ecosystems Cooperative Research Centre (ACE CRC); Commonwealth Scientific &amp; Industrial Research Organisation (CSIRO)</t>
  </si>
  <si>
    <t>Meijers, AJS (corresponding author), CSIRO, GPO Box 1538, Hobart, Tas 7001, Australia.</t>
  </si>
  <si>
    <t>andrew.meijers@csiro.au</t>
  </si>
  <si>
    <t>Rintoul, Stephen R/A-1471-2012; Meijers, Andrew/A-9903-2012; Bindoff, Nathaniel Lee/IVV-0333-2023; Bindoff, Nathaniel Lee/C-8050-2011</t>
  </si>
  <si>
    <t>Rintoul, Stephen R/0000-0002-7055-9876; Bindoff, Nathaniel Lee/0000-0001-5662-9519; Bindoff, Nathaniel Lee/0000-0001-5662-9519</t>
  </si>
  <si>
    <t>Australian government through Antarctic Climate and Ecosystems CRC; CNES; Department of Climate Change</t>
  </si>
  <si>
    <t>Australian government through Antarctic Climate and Ecosystems CRC(Australian GovernmentDepartment of Industry, Innovation and ScienceCooperative Research Centres (CRC) Programme); CNES(Centre National D'etudes Spatiales); Department of Climate Change</t>
  </si>
  <si>
    <t>This work is supported by the Australian government's Cooperative Research Centers Programme, through the Antarctic Climate and Ecosystems CRC. The altimeter products used in this analysis were produced by SSALTO/DUACS and distributed by AVISO, with support from CNES. This work was supported in part by the Australian Climate Change Science Program of the Department of Climate Change. We thank two anonymous reviewers for their helpful critique and suggestions.</t>
  </si>
  <si>
    <t>C08024</t>
  </si>
  <si>
    <t>10.1029/2010JC006832</t>
  </si>
  <si>
    <t>WOS:000294364200004</t>
  </si>
  <si>
    <t>Callahan, MP; Smith, KE; Cleaves, HJ; Ruzicka, J; Stern, JC; Glavin, DP; House, CH; Dworkin, JP</t>
  </si>
  <si>
    <t>Callahan, Michael P.; Smith, Karen E.; Cleaves, H. James, II; Ruzicka, Josef; Stern, Jennifer C.; Glavin, Daniel P.; House, Christopher H.; Dworkin, Jason P.</t>
  </si>
  <si>
    <t>Carbonaceous meteorites contain a wide range of extraterrestrial nucleobases</t>
  </si>
  <si>
    <t>MURCHISON METEORITE; AMINO-ACIDS; MASS-SPECTROMETRY; ISOTOPIC ANALYSES; CHONDRITES; PURINES; ORIGIN; PYRIMIDINES; MECHANISMS; ENRICHMENT</t>
  </si>
  <si>
    <t>All terrestrial organisms depend on nucleic acids (RNA and DNA), which use pyrimidine and purine nucleobases to encode genetic information. Carbon-rich meteorites may have been important sources of organic compounds required for the emergence of life on the early Earth; however, the origin and formation of nucleobases in meteorites has been debated for over 50 y. So far, the few nucleobases reported in meteorites are biologically common and lacked the structural diversity typical of other indigenous meteoritic organics. Here, we investigated the abundance and distribution of nucleobases and nucleobase analogs in formic acid extracts of 12 different meteorites by liquid chromatography-mass spectrometry. The Murchison and Lonewolf Nunataks 94102 meteorites contained a diverse suite of nucleobases, which included three unusual and terrestrially rare nucleobase analogs: purine, 2,6-diaminopurine, and 6,8-diaminopurine. In a parallel experiment, we found an identical suite of nucleobases and nucleobase analogs generated in reactions of ammonium cyanide. Additionally, these nucleobase analogs were not detected above our parts-per-billion detection limits in any of the procedural blanks, control samples, a terrestrial soil sample, and an Antarctic ice sample. Our results demonstrate that the purines detected in meteorites are consistent with products of ammonium cyanide chemistry, which provides a plausible mechanism for their synthesis in the asteroid parent bodies, and strongly supports an extraterrestrial origin. The discovery of new nucleobase analogs in meteorites also expands the prebiotic molecular inventory available for constructing the first genetic molecules.</t>
  </si>
  <si>
    <t>[Callahan, Michael P.; Stern, Jennifer C.; Glavin, Daniel P.; Dworkin, Jason P.] NASA, Goddard Space Flight Ctr, Greenbelt, MD 20771 USA; [Callahan, Michael P.; Stern, Jennifer C.; Glavin, Daniel P.; Dworkin, Jason P.] Goddard Ctr Astrobiol, Greenbelt, MD 20771 USA; [Smith, Karen E.; House, Christopher H.] Penn State Univ, Dept Geosci, University Pk, PA 16802 USA; [Smith, Karen E.; House, Christopher H.] Penn State Univ, Penn State Astrobiol Res Ctr, University Pk, PA 16802 USA; [Cleaves, H. James, II] Carnegie Inst Washington, Geophys Lab, Washington, DC 20015 USA; [Ruzicka, Josef] Thermo Fisher Sci, Sci Instruments Div, Somerset, NJ 08873 USA</t>
  </si>
  <si>
    <t>National Aeronautics &amp; Space Administration (NASA); NASA Goddard Space Flight Center; Pennsylvania Commonwealth System of Higher Education (PCSHE); Pennsylvania State University; Pennsylvania State University - University Park; Pennsylvania Commonwealth System of Higher Education (PCSHE); Pennsylvania State University; Pennsylvania State University - University Park; Carnegie Institution for Science; Thermo Fisher Scientific</t>
  </si>
  <si>
    <t>Callahan, MP (corresponding author), NASA, Goddard Space Flight Ctr, Greenbelt, MD 20771 USA.</t>
  </si>
  <si>
    <t>michael.p.callahan@nasa.gov</t>
  </si>
  <si>
    <t>Glavin, Daniel P/D-6194-2012; Růžička, Josef/D-8904-2012; Dworkin, Jason P./C-9417-2012; Callahan, Michael P/D-3630-2012; Stern, Jennifer/E-3135-2012</t>
  </si>
  <si>
    <t>Glavin, Daniel P/0000-0001-7779-7765; Dworkin, Jason P./0000-0002-3961-8997; Cleaves, Henderson/0000-0003-4101-0654; Stern, Jennifer/0000-0002-0162-8807</t>
  </si>
  <si>
    <t>NASA; Goddard Center for Astrobiology; NASA Astrobiology Institute</t>
  </si>
  <si>
    <t>NASA(National Aeronautics &amp; Space Administration (NASA)); Goddard Center for Astrobiology; NASA Astrobiology Institute</t>
  </si>
  <si>
    <t>The authors thank K. Righter (NASA Johnson Space Center, Houston, TX) for providing the Antarctic meteorites and discussions, L. Welzenbach and T. McCoy (Smithsonian National Museum of Natural History, Washington, DC) for providing the Murchison meteorite sample, P. Ehrenfreund (Affiliation, City, State) for providing the sample of Orgueil, P. Jenniskens and M. Shaddad (Affiliation, City, State) for providing the Almahata Sitta meteorite sample, R. Keays (University of Melbourne, Melbourne, Australia) for providing the Murchison soil sample, and the 2006 ANSMET team (Affiliation, City, State) for providing the Antarctic ice sample. M.P.C. and H.J.C. acknowledge support from the NASA Postdoctoral Program, administered by Oak Ridge Associated Universities through a contract with NASA. K.E.S. acknowledges support from the Goddard Center for Astrobiology. M.P.C., J.C.S., D.P.G., and J.P.D. acknowledge funding support from the NASA Astrobiology Institute and the Goddard Center for Astrobiology and the NASA Astrobiology: Exobiology and Evolutionary Biology Program. We thank A. Burton, J. Cook, A. Lazcano, A. Mandell, M. Martin, and two anonymous reviewers for valuable input regarding the writing of this manuscript.</t>
  </si>
  <si>
    <t>10.1073/pnas.1106493108</t>
  </si>
  <si>
    <t>810XO</t>
  </si>
  <si>
    <t>WOS:000294163500032</t>
  </si>
  <si>
    <t>Cooper, G; Reed, C; Nguyen, D; Carter, M; Wang, Y</t>
  </si>
  <si>
    <t>Cooper, George; Reed, Chris; Dang Nguyen; Carter, Malika; Wang, Yi</t>
  </si>
  <si>
    <t>Detection and formation scenario of citric acid, pyruvic acid, and other possible metabolism precursors in carbonaceous meteorites</t>
  </si>
  <si>
    <t>pyruvate; citrate; Murchison meteorite; Alan Hills; interstellar nitriles</t>
  </si>
  <si>
    <t>IDENTIFICATION; CONVERSION; SULFUR</t>
  </si>
  <si>
    <t>Carbonaceous meteorites deliver a variety of organic compounds to Earth that may have played a role in the origin and/or evolution of biochemical pathways. Some apparently ancient and critical metabolic processes require several compounds, some of which are relatively labile such as keto acids. Therefore, a prebiotic setting for any such individual process would have required either a continuous distant source for the entire suite of intact precursor molecules and/ or an energetic and compact local synthesis, particularly of the more fragile members. To date, compounds such as pyruvic acid, oxaloacetic acid, citric acid, isocitric acid, and aketoglutaric acid (all members of the citric acid cycle) have not been identified in extraterrestrial sources or, as a group, as part of a  one pot suite of compounds synthesized under plausibly prebiotic conditions. We have identified these compounds and others in carbonaceous meteorites and/ or as low temperature (laboratory) reaction products of pyruvic acid. In meteorites, we observe many as part of three newly reported classes of compounds: keto acids (pyruvic acid and homologs), hydroxy tricarboxylic acids (citric acid and homologs), and tricarboxylic acids. Laboratory syntheses using 13C-labeled reactants demonstrate that one compound alone, pyruvic acid, can produce several (nonenzymatic) members of the citric acid cycle including oxaloacetic acid. The isotopic composition of some of the meteoritic keto acids points to interstellar or presolar origins, indicating that such compounds might also exist in other planetary systems.</t>
  </si>
  <si>
    <t>[Cooper, George; Reed, Chris; Dang Nguyen; Carter, Malika] NASA, Ames Res Ctr, Exobiol Branch, Div Space Sci, Moffett Field, CA 94035 USA; [Wang, Yi] Dev Planning Res &amp; Anal ZymaX Forens Isotope, Escondido, CA 92029 USA</t>
  </si>
  <si>
    <t>National Aeronautics &amp; Space Administration (NASA); NASA Ames Research Center</t>
  </si>
  <si>
    <t>Cooper, G (corresponding author), NASA, Ames Res Ctr, Exobiol Branch, Div Space Sci, Moffett Field, CA 94035 USA.</t>
  </si>
  <si>
    <t>george.cooper@nasa.gov</t>
  </si>
  <si>
    <t>NASA-Johnson Space Center [ALH 83102]; NASA</t>
  </si>
  <si>
    <t>NASA-Johnson Space Center(National Aeronautics &amp; Space Administration (NASA)); NASA(National Aeronautics &amp; Space Administration (NASA))</t>
  </si>
  <si>
    <t>We thank Art Weber for helpful discussions; David Des Marais and Sandra Pizzarello for comments on the manuscript; Beverly M. McLeod and Donna H. Kleiner for library resources; Novelle Kimmich for assistance with figures; Aliah Dugas, Amy Byrd, and Patricia Chang for assistance with keto acid synthesis; Carlton Moore, Laurie Leshin, and the ASU Center for Meteorite Studies for samples of Murchison; NASA-Johnson Space Center Antarctic Meteorite Program for ALH 83102. This work was supported by NASA's Astrobiology and Exobiology Program.</t>
  </si>
  <si>
    <t>10.1073/pnas.1105715108</t>
  </si>
  <si>
    <t>WOS:000294163500036</t>
  </si>
  <si>
    <t>Bogdanova, MI; Daunt, F; Newell, M; Phillips, RA; Harris, MP; Wanless, S</t>
  </si>
  <si>
    <t>Bogdanova, Maria I.; Daunt, Francis; Newell, Mark; Phillips, Richard A.; Harris, Michael P.; Wanless, Sarah</t>
  </si>
  <si>
    <t>Seasonal interactions in the black-legged kittiwake, Rissa tridactyla: links between breeding performance and winter distribution</t>
  </si>
  <si>
    <t>PROCEEDINGS OF THE ROYAL SOCIETY B-BIOLOGICAL SCIENCES</t>
  </si>
  <si>
    <t>annual cycle; carry-over effects; reproductive success; wintering distribution; pre-breeding exodus</t>
  </si>
  <si>
    <t>INDIVIDUAL VARIATION; ENERGY-EXPENDITURE; MIGRATION; SEABIRD; CONSEQUENCES; PATTERNS; INSIGHTS; QUALITY; FITNESS; COSTS</t>
  </si>
  <si>
    <t>Relationships between events in one period of the annual cycle and behaviour in subsequent seasons are key determinants of individual life histories and population dynamics. However, studying such associations is challenging, given the difficulties in following individuals across seasons, particularly in migratory species. Relationships between breeding performance and subsequent winter ecology are particularly poorly understood, yet are likely to be profoundly important because of the costs of reproduction. Using geolocation technology, we show that black-legged kittiwakes that experienced breeding failure left their colony in southeast Scotland earlier than successful breeders. Moreover, a greater proportion of unsuccessful breeders (94% versus 53% successful) travelled over 3000 km to the West Atlantic, whereas fewer visited the East Atlantic (31% versus 80% successful), less than 1000 km from the colony. The two groups did not differ in the timing of return to the colony the following spring. However, 58 per cent of males made a previously undescribed long-distance pre-breeding movement to the central Atlantic. Our results demonstrate important links between reproductive performance and winter distribution, with significant implications for population dynamics. Furthermore, macro-scale segregation associated with breeding outcome is relevant to defining important wintering areas, in particular among declining species experiencing increasingly regular breeding failure.</t>
  </si>
  <si>
    <t>[Bogdanova, Maria I.; Daunt, Francis; Newell, Mark; Harris, Michael P.; Wanless, Sarah] Ctr Ecol &amp; Hydrol, Nat Environm Res Council, Penicuik EH26 0QB, Midlothian, Scotland; [Phillips, Richard A.] British Antarctic Survey, Nat Environm Res Council, Cambridge CB3 0ET, England</t>
  </si>
  <si>
    <t>UK Centre for Ecology &amp; Hydrology (UKCEH); UK Research &amp; Innovation (UKRI); Natural Environment Research Council (NERC); NERC British Antarctic Survey</t>
  </si>
  <si>
    <t>Bogdanova, MI (corresponding author), Ctr Ecol &amp; Hydrol, Nat Environm Res Council, Bush Estate, Penicuik EH26 0QB, Midlothian, Scotland.</t>
  </si>
  <si>
    <t>marib@ceh.ac.uk</t>
  </si>
  <si>
    <t>Bogdanova, Maria/AAS-2483-2020; Wanless, Sarah/K-2338-2012; Daunt, Francis/K-6688-2012</t>
  </si>
  <si>
    <t>Wanless, Sarah/0000-0002-2788-4606; Daunt, Francis/0000-0003-4638-3388</t>
  </si>
  <si>
    <t>0962-8452</t>
  </si>
  <si>
    <t>1471-2954</t>
  </si>
  <si>
    <t>P ROY SOC B-BIOL SCI</t>
  </si>
  <si>
    <t>Proc. R. Soc. B-Biol. Sci.</t>
  </si>
  <si>
    <t>AUG 22</t>
  </si>
  <si>
    <t>10.1098/rspb.2010.2601</t>
  </si>
  <si>
    <t>790ML</t>
  </si>
  <si>
    <t>WOS:000292592000002</t>
  </si>
  <si>
    <t>Firing, YL; Chereskin, TK; Mazloff, MR</t>
  </si>
  <si>
    <t>Firing, Yvonne L.; Chereskin, Teresa K.; Mazloff, Matthew R.</t>
  </si>
  <si>
    <t>Vertical structure and transport of the Antarctic Circumpolar Current in Drake Passage from direct velocity observations</t>
  </si>
  <si>
    <t>SOUTHERN-OCEAN; BAROCLINIC INSTABILITY; EDDY DIFFUSIVITY; VARIABILITY; STRATIFICATION; CIRCULATION; AUSTRALIA; BALANCE; MODEL; WAVES</t>
  </si>
  <si>
    <t>The structure of the Antarctic Circumpolar Current (ACC) in Drake Passage is examined using 4.5 years of shipboard acoustic Doppler current profiler (ADCP) velocity data. The extended 1000 m depth range available from the 38 kHz ADCP allows us to investigate the vertical structure of the current. The mean observed current varies slowly with depth, while eddy kinetic energy and shear variance exhibit strong depth dependence. Objectively mapped streamlines are self-similar with depth, consistent with an equivalent barotropic structure. Vertical wavenumber spectra of observed currents and current shear reveal intermediate wavenumber anisotropy and rotation indicative of downward energy propagation above 500 m and upward propagation below 500 m. The mean observed transport of the ACC in the upper 1000 m is estimated at 95 +/- 2 Sv or 71% of the canonical total transport of 134 Sv. Mean current speeds in the ACC jets remain quite strong at 1000 m, 10-20 cm s(-1). Vertical structure functions to describe the current and extrapolate below 1000 m are explored with the aid of full-depth profiles from lowered ADCP and a 3 year mean from the Southern Ocean State Estimate (SOSE). A number of functions, including an exponential, are nearly equally good fits to the observations, explaining &gt;75% of the variance. Fits to an exponentially decaying function can be extrapolated to give an estimate of 154 +/- 38 Sv for the full-depth transport.</t>
  </si>
  <si>
    <t>[Firing, Yvonne L.; Chereskin, Teresa K.; Mazloff, Matthew R.] Univ Calif San Diego, Scripps Inst Oceanog, La Jolla, CA 92093 USA</t>
  </si>
  <si>
    <t>Firing, YL (corresponding author), Univ Calif San Diego, Scripps Inst Oceanog, 9500 Gillman Dr, La Jolla, CA 92093 USA.</t>
  </si>
  <si>
    <t>yfiring@ucsd.edu</t>
  </si>
  <si>
    <t>Mazloff, Matthew/0000-0002-1650-5850; Firing, Yvonne/0000-0002-3640-3974; Chereskin, Teresa/0000-0003-1214-0978</t>
  </si>
  <si>
    <t>National Science Foundation (NSF) Office of Polar Programs (OPP) Antarctic (ANT) division [OPP-0338103/ANT-0838750, ANT-0636493]; NSF Division of Ocean Science [OCE-0961218]; Texas Advanced Computing Center [MCA06N007]; NASA; Office of Polar Programs (OPP); Directorate For Geosciences [0961218, 0838750] Funding Source: National Science Foundation</t>
  </si>
  <si>
    <t>National Science Foundation (NSF) Office of Polar Programs (OPP) Antarctic (ANT) division(National Science Foundation (NSF)); NSF Division of Ocean Science; Texas Advanced Computing Center; NASA(National Aeronautics &amp; Space Administration (NASA)); Office of Polar Programs (OPP); Directorate For Geosciences(National Science Foundation (NSF)NSF - Directorate for Geosciences (GEO))</t>
  </si>
  <si>
    <t>We acknowledge the National Science Foundation (NSF) Office of Polar Programs (OPP) Antarctic (ANT) division for support of the observational programs and this research through grants OPP-0338103/ANT-0838750 (LMG ADCP program) and ANT-0636493 (cDrake). SOSE support was provided by NSF Division of Ocean Science grant OCE-0961218 and TeraGrid resources provided by Texas Advanced Computing Center under grant number MCA06N007. Yvonne Firing received support from the NASA Earth and Space Science Fellowship (NESSF) Program. Eric Firing, Julia Hummon, and Sharon Escher have made invaluable contributions to the ADCP data collection, processing, and editing. We are also grateful to the captain and crew of the ARSV Laurence M. Gould and to Raytheon Polar Services Corporation for their excellent technical and logistical support. Janet Sprintall generously provided salinity profiles to go with the XBT/XCTD data. Yvonne Firing is grateful for inspiring discussions with Eric Firing.</t>
  </si>
  <si>
    <t>AUG 20</t>
  </si>
  <si>
    <t>C08015</t>
  </si>
  <si>
    <t>10.1029/2011JC006999</t>
  </si>
  <si>
    <t>810NZ</t>
  </si>
  <si>
    <t>WOS:000294133300003</t>
  </si>
  <si>
    <t>Kopalová, K; Nedbalová, L; De Haan, M; Van de Vijver, B</t>
  </si>
  <si>
    <t>Kopalova, Katerina; Nedbalova, Linda; De Haan, Myriam; Van de Vijver, Bart</t>
  </si>
  <si>
    <t>Description of five new species of the diatom genus Luticola (Bacillariophyta, Diadesmidaceae) found in lakes of James Ross Island (Maritime Antarctic Region)</t>
  </si>
  <si>
    <t>PHYTOTAXA</t>
  </si>
  <si>
    <t>Bacillariophyta; diatoms; Luticola; new species; morphology; ecology</t>
  </si>
  <si>
    <t>SOUTH SHETLAND ISLANDS; MOUNTAINS NATIONAL-PARK; MCMURDO DRY VALLEYS; NORTHERN PART; FRESH-WATER; SP NOV.; BIODIVERSITY; SEDIMENTS; TAXA</t>
  </si>
  <si>
    <t>During a survey of the non-marine diatom flora from lakes on James Ross Island (Maritime Antarctic Region), five new Luticola species have been recorded: Luticola desmetii, L. doliiformis, L. evkae, L. permuticopsis and L. tomsui. Detailed morphology descriptions of these taxa are given based on both light (LM) and scanning electron microscopy (SEM). The morphological features of each taxon have been compared with similar taxa and notes on the ecology of the species have been added.</t>
  </si>
  <si>
    <t>[Kopalova, Katerina; Nedbalova, Linda] Charles Univ Prague, Fac Sci, Dept Ecol, Prague 12844 2, Czech Republic; [Nedbalova, Linda] Acad Sci Czech Republic, Sect Plant Ecol, Inst Bot, CZ-39782 Trebon, Czech Republic; [De Haan, Myriam; Van de Vijver, Bart] Natl Bot Garden Belgium, Dept Bryophyta &amp; Thallophyta, B-1860 Domein Van Bouchout, Belgium</t>
  </si>
  <si>
    <t>Charles University Prague; Czech Academy of Sciences; Institute of Botany of the Czech Academy of Sciences</t>
  </si>
  <si>
    <t>Kopalová, K (corresponding author), Charles Univ Prague, Fac Sci, Dept Ecol, Vinicna 7, Prague 12844 2, Czech Republic.</t>
  </si>
  <si>
    <t>k.kopalova@hotmail.com; lindane@natur.cuni.cz; myriam.dehaan@br.fgov.be; vandevijver@br.fgov.be</t>
  </si>
  <si>
    <t>Kopalová, Kateřina/H-1598-2014; Nedbalová, Linda/AFF-8321-2022; Nedbalová, Linda/AAF-1001-2022; Kopalova, Katerina/M-6207-2017</t>
  </si>
  <si>
    <t>Nedbalová, Linda/0000-0003-1800-714X; Nedbalová, Linda/0000-0003-1800-714X; Kopalova, Katerina/0000-0002-7905-4268</t>
  </si>
  <si>
    <t>Charles University Grant Agency [GA UK 394211]; FWO [G.0533.07]; Erasmus travel grant; [MSMT KONTAKT ME 945]; [MSMT 0021620828]; [AV0Z60050516]</t>
  </si>
  <si>
    <t>Charles University Grant Agency; FWO(FWO); Erasmus travel grant; ; ;</t>
  </si>
  <si>
    <t>This study has been supported by the projects GA UK 394211 (Charles University Grant Agency) and MSMT KONTAKT ME 945. Part of this research was funded by the projects: MSMT 0021620828 and AV0Z60050516. Additional funding was provided by the FWO project G.0533.07 and an Erasmus travel grant to the University of Antwerp, Belgium. The authors also like to thank members of the expeditions to the Czech Antarctic Station J.G. Mendel, especially Dr J. Elster, for their help during sampling. Dr Sarah Spaulding is acknowledged for sending the isotype material of L. dolia. Dr Paul Hamilton and an anonymous reviewer are thanked for their valuable comments and discussions that helped to improve the manuscript.</t>
  </si>
  <si>
    <t>1179-3155</t>
  </si>
  <si>
    <t>Phytotaxa</t>
  </si>
  <si>
    <t>AUG 19</t>
  </si>
  <si>
    <t>10.11646/phytotaxa.27.1.5</t>
  </si>
  <si>
    <t>814FO</t>
  </si>
  <si>
    <t>WOS:000294433500005</t>
  </si>
  <si>
    <t>Li, Y; Lu, H; Jarvis, MJ; Clilverd, MA; Bates, B</t>
  </si>
  <si>
    <t>Li, Yun; Lu, Hua; Jarvis, Martin J.; Clilverd, Mark A.; Bates, Bryson</t>
  </si>
  <si>
    <t>Nonlinear and nonstationary influences of geomagnetic activity on the winter North Atlantic Oscillation</t>
  </si>
  <si>
    <t>SOLAR-CYCLE MODULATION; COSMIC-RAY FLUX; MULTIDECADAL OSCILLATION; SURFACE-TEMPERATURE; SPATIAL STRUCTURE; CLIMATE RESPONSE; LOWER ATMOSPHERE; NAO; VARIABILITY; TRENDS</t>
  </si>
  <si>
    <t>The relationship between the geomagnetic aa index and the winter North Atlantic Oscillation (NAO) has previously been found to be nonstationary, being weakly negative during the early 20th century and significantly positive since the 1970s. The study reported here applies a statistical method called the generalized additive modeling (GAM) to elucidate the underlying physical reasons. We find that the relationship between aa index and the NAO during the Northern Hemispheric winter is generally nonlinear and can be described by a concave shape with a negative relation for small to medium aa and a positive relation for medium to large aa. The nonstationary character of the aa-NAO relationship may be ascribed to two factors. First, it is modulated by the multidecadal variation of solar activity. This solar modulation is indicated by significant change points of the trends of solar indices around the beginning of solar cycle 14, 20, and 22 (i.e., similar to 1902/1903, similar to 1962/1963, and similar to 1995/1996). Coherent changes of the trend in the winter time NAO followed the solar trend changes a few years later. Second, the aa-NAO relationship is dominated by the aa data from the declining phase of even-numbered solar cycles, implying that the 27 day recurrent solar wind streams may be responsible for the observed aa-NAO relationship. It is possible that an increase of long-duration recurrent solar wind streams from high-latitude coronal holes during solar cycles 20 and 22 may partially account for the significant positive aa-NAO relationship during the last 30 years of the 20th century.</t>
  </si>
  <si>
    <t>[Li, Yun] CSIRO Math Informat &amp; Stat, CSIRO Climate Adaptat Flagship, Wembley, WA 6913, Australia; [Lu, Hua; Jarvis, Martin J.; Clilverd, Mark A.] British Antarctic Survey, Cambridge CB3 0ET, England; [Bates, Bryson] CSIRO Marine &amp; Atmospher Res, CSIRO Climate Adaptat Flagship, Wembley, WA 6913, Australia</t>
  </si>
  <si>
    <t>Commonwealth Scientific &amp; Industrial Research Organisation (CSIRO); UK Research &amp; Innovation (UKRI); Natural Environment Research Council (NERC); NERC British Antarctic Survey; Commonwealth Scientific &amp; Industrial Research Organisation (CSIRO)</t>
  </si>
  <si>
    <t>Li, Y (corresponding author), CSIRO Math Informat &amp; Stat, CSIRO Climate Adaptat Flagship, Wembley, WA 6913, Australia.</t>
  </si>
  <si>
    <t>yun.li@csiro.au; hlu@bas.ac.uk; mjja@bas.ac.uk; macl@bas.ac.uk; bryson.bates@csiro.au</t>
  </si>
  <si>
    <t>Bates, Bryson C/N-8481-2014; Lu, Hua/GXA-0276-2022; Li, Yun/E-8569-2010; Li, Yun/ABZ-6481-2022</t>
  </si>
  <si>
    <t>Lu, Hua/0000-0001-9485-5082; Li, Yun/0000-0001-9925-7372; Li, Yun/0000-0001-9925-7372</t>
  </si>
  <si>
    <t>Indian Ocean Climate Initiative; UK Natural Environment Research Council (NERC); Natural Environment Research Council [bas0100023] Funding Source: researchfish; NERC [bas0100023] Funding Source: UKRI</t>
  </si>
  <si>
    <t>Indian Ocean Climate Initiative; 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</si>
  <si>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Y.L. and B.B. were supported by the Indian Ocean Climate Initiative. H.L., M.J.J., and M.A.C. were supported by the UK Natural Environment Research Council (NERC). We thank two anonymous reviewers for their constructive comments.</t>
  </si>
  <si>
    <t>D16109</t>
  </si>
  <si>
    <t>10.1029/2011JD015822</t>
  </si>
  <si>
    <t>810MN</t>
  </si>
  <si>
    <t>WOS:000294129500005</t>
  </si>
  <si>
    <t>Martínez-Garcia, A; Rosell-Melé, A; Jaccard, SL; Geibert, W; Sigman, DM; Haug, GH</t>
  </si>
  <si>
    <t>Martinez-Garcia, Alfredo; Rosell-Mele, Antoni; Jaccard, Samuel L.; Geibert, Walter; Sigman, Daniel M.; Haug, Gerald H.</t>
  </si>
  <si>
    <t>Southern Ocean dust-climate coupling over the past four million years</t>
  </si>
  <si>
    <t>ATMOSPHERIC CO2; EQUATORIAL PACIFIC; POLAR OCEAN; IRON; STRATIFICATION; PRODUCTIVITY; CIRCULATION</t>
  </si>
  <si>
    <t>Dust has the potential to modify global climate by influencing the radiative balance of the atmosphere and by supplying iron and other essential limiting micronutrients to the ocean(1,2). Indeed, dust supply to the Southern Ocean increases during ice ages, and 'iron fertilization' of the subantarctic zone may have contributed up to 40 parts per million by volume (p. p. m. v.) of the decrease (80-100 p. p. m. v.) in atmospheric carbon dioxide observed during late Pleistocene glacial cycles(3-7). So far, however, the magnitude of Southern Ocean dust deposition in earlier times and its role in the development and evolution of Pleistocene glacial cycles have remained unclear. Here we report a high-resolution record of dust and iron supply to the Southern Ocean over the past four million years, derived from the analysis of marine sediments from ODP Site 1090, located in the Atlantic sector of the subantarctic zone. The close correspondence of our dust and iron deposition records with Antarctic ice core reconstructions of dust flux covering the past 800,000 years (refs 8, 9) indicates that both of these archives record large-scale deposition changes that should apply to most of the Southern Ocean, validating previous interpretations of the ice core data. The extension of the record beyond the interval covered by the Antarctic ice cores reveals that, in contrast to the relatively gradual intensification of glacial cycles over the past three million years, Southern Ocean dust and iron flux rose sharply at the Mid-Pleistocene climatic transition around 1.25 million years ago. This finding complements previous observations over late Pleistocene glacial cycles(5,8,9), providing new evidence of a tight connection between high dust input to the Southern Ocean and the emergence of the deep glaciations that characterize the past one million years of Earth history.</t>
  </si>
  <si>
    <t>[Martinez-Garcia, Alfredo; Jaccard, Samuel L.; Haug, Gerald H.] ETH, Inst Geol, CH-8092 Zurich, Switzerland; [Martinez-Garcia, Alfredo; Haug, Gerald H.] Univ Potsdam, Inst Geosci, DFG Leibniz Ctr Surface Proc &amp; Climate Studies, D-14476 Potsdam, Germany; [Martinez-Garcia, Alfredo; Rosell-Mele, Antoni] Univ Autonoma Barcelona, ICTA, Bellaterra 08193, Catalonia, Spain; [Rosell-Mele, Antoni] ICREA, Barcelona 08010, Catalonia, Spain; [Rosell-Mele, Antoni] Oregon State Univ, Coll Ocean &amp; Atmospher Sci, Corvallis, OR 97331 USA; [Geibert, Walter] Univ Edinburgh, Sch GeoSci, Edinburgh EH9 3JW, Midlothian, Scotland; [Geibert, Walter] Scottish Assoc Marine Sci SAMS, Scottish Marine Lab, Oban PA37 1QA, Argyll, Scotland; [Sigman, Daniel M.] Princeton Univ, Dept Geosci, Princeton, NJ 08544 USA</t>
  </si>
  <si>
    <t>Swiss Federal Institutes of Technology Domain; ETH Zurich; University of Potsdam; Autonomous University of Barcelona; ICREA; Oregon State University; University of Edinburgh; Princeton University</t>
  </si>
  <si>
    <t>Martínez-Garcia, A (corresponding author), ETH, Inst Geol, CH-8092 Zurich, Switzerland.</t>
  </si>
  <si>
    <t>alfredo.martinez-garcia@erdw.ethz.ch</t>
  </si>
  <si>
    <t>Rosell-Melé, Antoni/B-3433-2013; Geibert, Walter/C-3722-2011; Martinez-Garcia, Alfredo/A-6244-2010; Geibert, Walter/ABA-9785-2020; Jaccard, Samuel/G-3447-2014; Sigman, Daniel M./A-2649-2008; Jaccard, Samuel/IZP-9669-2023; Sigman, Daniel M./IYJ-2613-2023</t>
  </si>
  <si>
    <t>Rosell-Melé, Antoni/0000-0002-5513-2647; Martinez-Garcia, Alfredo/0000-0002-7206-5079; Geibert, Walter/0000-0001-8646-2334; Jaccard, Samuel/0000-0002-5793-0896; Sigman, Daniel M./0000-0002-7923-1973;</t>
  </si>
  <si>
    <t>Spanish Ministry of Science and Innovation (MICINN); European Commission; Deutsche Forschungsgemeinschaft (DFG); NERC [dml010007] Funding Source: UKRI; Natural Environment Research Council [dml010007] Funding Source: researchfish; ICREA Funding Source: Custom</t>
  </si>
  <si>
    <t>Spanish Ministry of Science and Innovation (MICINN)(Spanish Government); European Commission(European Union (EU)European Commission Joint Research Centre); Deutsche Forschungsgemeinschaft (DFG)(German Research Foundation (DFG)); NERC(UK Research &amp; Innovation (UKRI)Natural Environment Research Council (NERC)); Natural Environment Research Council(UK Research &amp; Innovation (UKRI)Natural Environment Research Council (NERC)); ICREA(ICREA)</t>
  </si>
  <si>
    <t>We thank S. Stefer for performing the XRF scanner measurements at the University of Bremen; and I. Voge for assistance in the ICP-SFMS analysis at the Alfred Wegener Institute for Polar and Marine Research. We thank the Integrated Ocean Drilling Program for providing the samples used in this study. This research used data acquired at the XRF Core Scanner Laboratory at the MARUM - Center for Marine Environmental Sciences, University of Bremen. Support for this work was provided by the Spanish Ministry of Science and Innovation (MICINN), the European Commission, and the Deutsche Forschungsgemeinschaft (DFG).</t>
  </si>
  <si>
    <t>AUG 18</t>
  </si>
  <si>
    <t>U141</t>
  </si>
  <si>
    <t>10.1038/nature10310</t>
  </si>
  <si>
    <t>811JV</t>
  </si>
  <si>
    <t>WOS:000294206500033</t>
  </si>
  <si>
    <t>Argus, DF; Blewitt, G; Peltier, WR; Kreemer, C</t>
  </si>
  <si>
    <t>Argus, Donald F.; Blewitt, Geoffrey; Peltier, W. Richard; Kreemer, Corne</t>
  </si>
  <si>
    <t>Rise of the Ellsworth mountains and parts of the East Antarctic coast observed with GPS</t>
  </si>
  <si>
    <t>GLACIAL ISOSTATIC-ADJUSTMENT; SEA-LEVEL DATA; ICE-SHEET; SPACE GEODESY; EARTH; MODEL; VELOCITY; HISTORY; SURFACE; GRACE</t>
  </si>
  <si>
    <t>Using GPS observations from 1996 to 2011, we constrain postglacial rebound in Antarctica. Sites in the Ellsworth mountains, West Antarctica, are rising at approximate to 5 +/- 4 mm/yr (95% confidence limits), as in the postglacial rebound model of Peltier, but approximate to 10 mm/yr slower than in the model of Ivins and James. Therefore significant ice loss from the Ellsworth mountains ended by 4 ka, and current ice loss there is less than inferred from GRACE gravity observations in studies assuming the model of Ivins and James. Three sites along the coast of East Antarctica are rising at 3 to 4 +/- 2 mm/yr, in viscous response to Holocene unloading of ice along the Queen Maud Land coast and elsewhere. Kerguelen island and seven sites along the coast of East Antarctic are part of a rigid Antarctica plate. O'Higgins, northern Antarctic peninsula, is moving southeast at 2.3 +/- 0.6 mm/yr relative to the Antarctic plate. Citation: Argus, D. F., G. Blewitt, W. R. Peltier, and C. Kreemer (2011), Rise of the Ellsworth mountains and parts of the East Antarctic coast observed with GPS, Geophys. Res. Lett., 38, L16303, doi:10.1029/2011GL048025.</t>
  </si>
  <si>
    <t>[Argus, Donald F.] CALTECH, Jet Prop Lab, Pasadena, CA 91109 USA; [Blewitt, Geoffrey; Kreemer, Corne] Univ Nevada, Nevada Bur Mines &amp; Geol, Reno, NV 89557 USA; [Blewitt, Geoffrey; Kreemer, Corne] Univ Nevada, Seismol Lab, Reno, NV 89557 USA; [Peltier, W. Richard] Univ Toronto, Dept Phys, Toronto, ON M5S 1A7, Canada</t>
  </si>
  <si>
    <t>California Institute of Technology; National Aeronautics &amp; Space Administration (NASA); NASA Jet Propulsion Laboratory (JPL); Nevada System of Higher Education (NSHE); University of Nevada Reno; Nevada System of Higher Education (NSHE); University of Nevada Reno; University of Toronto</t>
  </si>
  <si>
    <t>Argus, DF (corresponding author), CALTECH, Jet Prop Lab, 4800 Oak Grove Dr,MS 238-600, Pasadena, CA 91109 USA.</t>
  </si>
  <si>
    <t>donald.f.argus@jpl.nasa.gov</t>
  </si>
  <si>
    <t>Peltier, William R./A-1102-2008; Argus, Donald F/F-7704-2011</t>
  </si>
  <si>
    <t>NASA under National Science Foundation [EAR-0735156]; (NASA) National Aeronautics and Space Administration; NASA [NNX09AM74G]; University of Toronto under NSERC [A9627]; NASA [NNX09AM74G, 111949] Funding Source: Federal RePORTER</t>
  </si>
  <si>
    <t>NASA under National Science Foundation; (NASA) National Aeronautics and Space Administration(National Aeronautics &amp; Space Administration (NASA)); NASA(National Aeronautics &amp; Space Administration (NASA)); University of Toronto under NSERC; NASA(National Aeronautics &amp; Space Administration (NASA))</t>
  </si>
  <si>
    <t>We are grateful to the enthusiastic scientists who deployed GPS sites in the harsh Antarctica terrain. We thank Michael Bevis for providing us with the WAGN data and informing us how to connect the WAGN to the ANET benchmarks. We are grateful to T. J. Wilson and the ANET principal investigators. We thank Karen Simon, Thomas James, and Erik Ivins for sharing the predictions of their postglacial rebound model. We thank Michael Bevis and an anonymous reviewer for their constructive criticism. UNAVCO operates the Global GNSS Network at the direction of JPL for NASA with support from NASA under National Science Foundation Cooperative Agreement EAR-0735156. D. F. Argus completed research at Jet Propulsion Laboratory, California Institute of Technology, under contract with the (NASA) National Aeronautics and Space Administration; G. Blewitt performed research under NASA grant NNX09AM74G; W. R. Peltier performed research at the University of Toronto under NSERC Discovery grant A9627.</t>
  </si>
  <si>
    <t>AUG 17</t>
  </si>
  <si>
    <t>L16303</t>
  </si>
  <si>
    <t>10.1029/2011GL048025</t>
  </si>
  <si>
    <t>810MP</t>
  </si>
  <si>
    <t>WOS:000294129700002</t>
  </si>
  <si>
    <t>Donnadieu, Y; Dromart, G; Goddéris, Y; Pucéat, E; Brigaud, B; Dera, G; Dumas, C; Olivier, N</t>
  </si>
  <si>
    <t>Donnadieu, Yannick; Dromart, Gilles; Godderis, Yves; Puceat, Emmanuelle; Brigaud, Benjamin; Dera, Guillaume; Dumas, Christophe; Olivier, Nicolas</t>
  </si>
  <si>
    <t>A mechanism for brief glacial episodes in the Mesozoic greenhouse</t>
  </si>
  <si>
    <t>CARBON-ISOTOPE STRATIGRAPHY; EARLY CRETACEOUS CARBON; ATMOSPHERIC CO2; PARIS BASIN; ANTARCTIC GLACIATION; GEOCHEMICAL EVIDENCE; JURASSIC TRANSITION; SNOWBALL EARTH; ANOXIC EVENT; PLATFORM</t>
  </si>
  <si>
    <t>The Mesozoic, perhaps the longest period of warmth during the Phanerozoic Earth history, has been repeatedly affected by short-lived cold interludes lasting about one million years. While the origin of these cold snaps has been classically attributed to a temporary atmospheric CO(2) drawdown, quantified mechanisms explaining these instabilities of the carbon cycle are still lacking. Based on a climate carbon cycle model, we show that the general demise of carbonate platforms accompanying these short-lived cold interludes is a powerful mechanism capable of generating a fast atmospheric CO2 decrease and a moderate sea level drop associated with ice sheet buildup. The temporary nature of the carbonate production decline explains the relative short time of these cold events but makes it possible to account for ice sheet waxing and waning.</t>
  </si>
  <si>
    <t>[Donnadieu, Yannick; Dera, Guillaume; Dumas, Christophe] UVSQ, IPSL, LSCE, CEA,CNRS, F-91191 Gif Sur Yvette, France; [Dromart, Gilles; Olivier, Nicolas] Univ Lyon, ENS Lyon, CNRS, UMR 5570, F-69364 Lyon, France; [Godderis, Yves] Univ Toulouse 3, LMTG, CNRS, F-31400 Toulouse, France; [Puceat, Emmanuelle] Univ Bourgogne, CNRS, F-2100 Dijon, France; [Brigaud, Benjamin] Univ Paris 11, CNRS, UMR 8148, F-91405 Orsay, France</t>
  </si>
  <si>
    <t>Universite Paris Saclay; Universite Paris Cite; CEA; Centre National de la Recherche Scientifique (CNRS); Ecole Normale Superieure de Lyon (ENS de LYON); Centre National de la Recherche Scientifique (CNRS); Universite de Toulouse; Universite Toulouse III - Paul Sabatier; Centre National de la Recherche Scientifique (CNRS); Institut de Recherche pour le Developpement (IRD); Universite de Bourgogne; Centre National de la Recherche Scientifique (CNRS); Centre National de la Recherche Scientifique (CNRS); CNRS - National Institute for Earth Sciences &amp; Astronomy (INSU); Universite Paris Saclay</t>
  </si>
  <si>
    <t>Donnadieu, Y (corresponding author), UVSQ, IPSL, LSCE, CEA,CNRS, F-91191 Gif Sur Yvette, France.</t>
  </si>
  <si>
    <t>yannick.donnadieu@lsce.ipsl.fr</t>
  </si>
  <si>
    <t>Brigaud, Benjamin/E-4459-2013; DERA, Guillaume/G-1436-2011; Dera, Guillaume/K-8187-2019; donnadieu, yannick/G-7546-2016</t>
  </si>
  <si>
    <t>Brigaud, Benjamin/0000-0001-6961-2177; Dera, Guillaume/0000-0002-8915-9258; donnadieu, yannick/0000-0002-7315-2684</t>
  </si>
  <si>
    <t>PA3212</t>
  </si>
  <si>
    <t>10.1029/2010PA002100</t>
  </si>
  <si>
    <t>810MG</t>
  </si>
  <si>
    <t>WOS:000294128800001</t>
  </si>
  <si>
    <t>Eder, EB; Lewis, MN; Marín, MR; Campagna, C</t>
  </si>
  <si>
    <t>Beatriz Eder, Elena; Noemi Lewis, Mirtha; Rosa Marin, Maria; Campagna, Claudio</t>
  </si>
  <si>
    <t>On- and off-shelf diving effort of juvenile elephant seals from Peninsula Valdes determined by light loggers</t>
  </si>
  <si>
    <t>JOURNAL OF MAMMALOGY</t>
  </si>
  <si>
    <t>diving effort; light-temperature loggers; Mirounga leonina; Patagonian Shelf</t>
  </si>
  <si>
    <t>MIROUNGA-LEONINA; FORAGING ECOLOGY; BEHAVIOR; MOVEMENTS; MAMMALS; SURFACE; AREAS; NAIVE; DIVES</t>
  </si>
  <si>
    <t>The shallow Patagonian Shelf off Peninsula Valdes limits the dive depth of southern elephant seals (Mirounga leonina) to &lt; 100 m, an unusual circumstance for this deep-diving species. Beyond the shelf water depths of &gt; 1,000 m enable the seals to forage deeper and use the entire water column. We compared the diving pattern of 10 juveniles instrumented with light temperature loggers to determine if diving effort, measured as dive durations longer than the estimated aerobic dive limit, differed between on-shelf and off-shelf waters. The productive Patagonian Shelf, an environment where juveniles showed lower diving effort, also was used commonly by older seals, which likely displaced juveniles off-shelf periodically, where they exhibited increased diving effort.</t>
  </si>
  <si>
    <t>[Beatriz Eder, Elena; Noemi Lewis, Mirtha; Rosa Marin, Maria; Campagna, Claudio] Ctr Nacl Patagon, RA-9120 Puerto Madryn, Chubut, Argentina; [Campagna, Claudio] Wildlife Conservat Soc Argentina, Buenos Aires, DF, Argentina</t>
  </si>
  <si>
    <t>Centro Nacional Patagonico (CENPAT)</t>
  </si>
  <si>
    <t>Eder, EB (corresponding author), Ctr Nacl Patagon, Blvd Brown 2915, RA-9120 Puerto Madryn, Chubut, Argentina.</t>
  </si>
  <si>
    <t>eder@cenpat.edu.ar</t>
  </si>
  <si>
    <t>Lewis, Mirtha/0000-0001-6262-6226; Campagna, Claudio/0000-0002-7971-5062</t>
  </si>
  <si>
    <t>Agencia Nacional de Promocion Cientifica y Tecnologica [PICT 01-11749]; Consejo Nacional de Investigaciones Cientificas y Tecnicas [PIP 02462, 1123/03]; National Research Council of Argentina (Consejo Nacional de Investigaciones Cientificas y Tecnicas)</t>
  </si>
  <si>
    <t>Agencia Nacional de Promocion Cientifica y Tecnologica(ANPCyTSpanish Government); Consejo Nacional de Investigaciones Cientificas y Tecnicas(Consejo Nacional de Investigaciones Cientificas y Tecnicas (CONICET)); National Research Council of Argentina (Consejo Nacional de Investigaciones Cientificas y Tecnicas)(Consejo Nacional de Investigaciones Cientificas y Tecnicas (CONICET))</t>
  </si>
  <si>
    <t>We thank M. Uhart, F. Perez, J. Guzman, V. Zavattieri, R. Vera, and J. Rua for field assistance during deployment of equipment; N. Ortiz for logistical support during dive simulation; and Dr. M. Hindell, Dr. M. Bester, Dr. W. Perrin, Bachelor of Science in Zoology and Conservation honors student G. Ashcroft, and an anonymous reviewer for revision and valuable comments on this manuscript. Centro Nacional Patagonico (CENPAT-Consejo Nacional de Investigaciones Cientificas y Tecnicas) provided logistical support. The satellite tracking research was financed by Agencia Nacional de Promocion Cientifica y Tecnologica PICT 01-11749 and Consejo Nacional de Investigaciones Cientificas y Tecnicas PIP 02462 Resolucion 1123/03. The light temperature sensors were provided by the Australian Antarctic Division. This research was part of a Ph.D. program supported by the National Research Council of Argentina (Consejo Nacional de Investigaciones Cientificas y Tecnicas).</t>
  </si>
  <si>
    <t>0022-2372</t>
  </si>
  <si>
    <t>1545-1542</t>
  </si>
  <si>
    <t>J MAMMAL</t>
  </si>
  <si>
    <t>J. Mammal.</t>
  </si>
  <si>
    <t>AUG 16</t>
  </si>
  <si>
    <t>10.1644/10-MAMM-A-292.1</t>
  </si>
  <si>
    <t>812TD</t>
  </si>
  <si>
    <t>WOS:000294314900013</t>
  </si>
  <si>
    <t>Lorenz, RD; Gleeson, D; Prieto-Ballesteros, O; Gomez, F; Hand, K; Bulat, S</t>
  </si>
  <si>
    <t>Lorenz, Ralph D.; Gleeson, Damhnait; Prieto-Ballesteros, Olga; Gomez, Felipe; Hand, Kevin; Bulat, Sergey</t>
  </si>
  <si>
    <t>Analog environments for a Europa lander mission</t>
  </si>
  <si>
    <t>Europa; Ice; Astrobiology; Analog field studies; Antarctica</t>
  </si>
  <si>
    <t>SURFACE; SALTS; LAKE; ICE; MICROORGANISMS; ENERGY; MODELS; ORIGIN; VOSTOK</t>
  </si>
  <si>
    <t>This paper reviews the utility of analog environments in preparations for a Europa lander mission. Such analogs are useful in the demonstration and rehearsal of engineering functions such as sample acquisition from an icy surface, as well as in the exercise of the scientific protocols needed to identify organic, inorganic and possible biological impurities in ice. Particular attention is drawn to Antarctic and Arctic analog sites where progress in these latter areas has been significant in recent years. (C) 2010 COSPAR. Published by Elsevier Ltd. All rights reserved.</t>
  </si>
  <si>
    <t>[Lorenz, Ralph D.] Johns Hopkins Univ, Appl Phys Lab, Laurel, MD 20723 USA; [Gleeson, Damhnait] Univ Colorado, Dept Geol Sci, Boulder, CO 80309 USA; [Prieto-Ballesteros, Olga; Gomez, Felipe] Ctr Astrobiol INTA CSIC, Madrid 28850, Spain; [Hand, Kevin] CALTECH, Jet Prop Lab, Pasadena, CA 91109 USA; [Bulat, Sergey] Petersburg Nucl Phys Inst, St Petersburg 188300, Russia</t>
  </si>
  <si>
    <t>Johns Hopkins University; Johns Hopkins University Applied Physics Laboratory; University of Colorado System; University of Colorado Boulder; Consejo Superior de Investigaciones Cientificas (CSIC); CSIC - Centro de Astrobiologia (INTA); California Institute of Technology; National Aeronautics &amp; Space Administration (NASA); NASA Jet Propulsion Laboratory (JPL); National Research Centre - Kurchatov Institute; Petersburg Nuclear Physics Institute</t>
  </si>
  <si>
    <t>Lorenz, RD (corresponding author), Johns Hopkins Univ, Appl Phys Lab, 11100 Johns Hopkins Rd, Laurel, MD 20723 USA.</t>
  </si>
  <si>
    <t>Ralph.lorenz@jhuapl.edu</t>
  </si>
  <si>
    <t>Hand, Kevin Peter/I-8246-2018; Gómez, Felipe/L-7315-2014; Prieto-Ballesteros, Olga/J-8510-2012; Lorenz, Ralph/B-8759-2016</t>
  </si>
  <si>
    <t>Hand, Kevin Peter/0000-0002-3225-9426; Gómez, Felipe/0000-0001-9977-7060; Prieto-Ballesteros, Olga/0000-0002-2278-1210; Bulat, Sergey/0000-0002-2574-882X; Lorenz, Ralph/0000-0001-8528-4644</t>
  </si>
  <si>
    <t>10.1016/j.asr.2010.05.006</t>
  </si>
  <si>
    <t>802ZX</t>
  </si>
  <si>
    <t>WOS:000293550600007</t>
  </si>
  <si>
    <t>Bulat, SA; Alekhina, IA; Marie, D; Martins, J; Petit, JR</t>
  </si>
  <si>
    <t>Bulat, Sergey A.; Alekhina, Irina A.; Marie, Dominique; Martins, Jean; Petit, Jean Robert</t>
  </si>
  <si>
    <t>Searching for life in extreme environments relevant to Jovian's Europa: Lessons from subglacial ice studies at Lake Vostok (East Antarctica)</t>
  </si>
  <si>
    <t>Subglacial environments; Antarctica; Low biomass; Forward contamination; Astrobiology; Icy worlds</t>
  </si>
  <si>
    <t>MICROORGANISMS; CORE</t>
  </si>
  <si>
    <t>The objective was to estimate the genuine microbial content of ice samples from refrozen water (accretion ice) from the subglacial Lake Vostok (Antarctica) buried beneath the 4-km thick East Antarctic ice sheet. The samples were extracted by heavy deep ice drilling from 3659 m below the surface. High pressure, a low carbon and chemical content, isolation, complete darkness and the probable excess of oxygen in water for millions of years characterize this extreme environment. A decontamination protocol was first applied to samples selected for the absence of cracks to remove the outer part contaminated by handling and drilling fluid. Preliminary indications showed the accretion ice samples to be almost gas free with a low impurity content. Flow cytometry showed the very low unevenly distributed biomass while repeated microscopic observations were unsuccessful. We used strategies of Ancient DNA research that include establishing contaminant databases and criteria to validate the amplification results. To date, positive results that passed the artifacts and contaminant databases have been obtained for a pair of bacterial phylotypes only in accretion ice samples featured by some bedrock sediments. The phylotypes included the chemolithoautotrophic thermophile Hydrogenophilus thermoluteolus and one unclassified phylotype. Combined with geochemical and geophysical considerations, our results suggest the presence of a deep biosphere, possibly thriving within some active faults of the bedrock encircling the subglacial lake, where the temperature is as high as 50 degrees C and in situ hydrogen is probably present. Our approach indicates that the search for life in the subglacial Lake Vostok is constrained by a high probability of forward-contamination. Our strategy includes strict decontamination procedures, thorough tracking of contaminants at each step of the analysis and validation of the results along with geophysical and ecological considerations for the lake setting. This may serve to establish a guideline protocol for studying extraterrestrial ice samples. (C) 2010 COSPAR. Published by Elsevier Ltd. All rights reserved.</t>
  </si>
  <si>
    <t>[Bulat, Sergey A.; Alekhina, Irina A.] Petersburg Nucl Phys Inst, St Petersburg Gatchina 188300, Russia; [Marie, Dominique] Stn Biol Roscoff, F-29682 Roscoff, France; [Bulat, Sergey A.; Alekhina, Irina A.; Petit, Jean Robert] UJF, CNRS, Lab Glaciol &amp; Geophys Environm, F-38402 St Martin Dheres, France; [Martins, Jean] UFJ, CNRS, Lab Etud Transferts Hydrol &amp; Environm, F-38041 Grenoble 9, France</t>
  </si>
  <si>
    <t>National Research Centre - Kurchatov Institute; Petersburg Nuclear Physics Institute; Sorbonne Universite; Communaute Universite Grenoble Alpes; Universite Grenoble Alpes (UGA); Centre National de la Recherche Scientifique (CNRS); Communaute Universite Grenoble Alpes; Institut National Polytechnique de Grenoble; Universite Grenoble Alpes (UGA); Centre National de la Recherche Scientifique (CNRS); Institut de Recherche pour le Developpement (IRD)</t>
  </si>
  <si>
    <t>Bulat, SA (corresponding author), Petersburg Nucl Phys Inst, St Petersburg Gatchina 188300, Russia.</t>
  </si>
  <si>
    <t>sergey.bulat@ujf-grenoble.fr</t>
  </si>
  <si>
    <t>Martins, Jean/AAF-4186-2021; Martins, Jean M.F./B-2715-2008; Alekhina, Irina/L-2163-2016</t>
  </si>
  <si>
    <t>Martins, Jean/0000-0003-0314-1311; Martins, Jean M.F./0000-0003-0314-1311; Bulat, Sergey/0000-0002-2574-882X; Alekhina, Irina/0000-0001-9820-8675</t>
  </si>
  <si>
    <t>Russian Foundation for Basic Research [ANR-07-Blan-0223-Lac Vostok]</t>
  </si>
  <si>
    <t>Vostok ice core samples were obtained from the joint Russian, French and American Program (1989-1998) and later from the Russian national program. We acknowledge the Russian Antarctic Expedition, IPEV and OPP NSF for logistic support and the SPMI drilling team for field work. We are grateful to V.Ya. Lipenkov for providing the gas data. The work was supported in Russia by the Russian Foundation for Basic Research Project RFBR-NCNIL (S.A. Bulat) and in France by the Grant ANR-07-Blan-0223-Lac Vostok.</t>
  </si>
  <si>
    <t>10.1016/j.asr.2010.11.024</t>
  </si>
  <si>
    <t>WOS:000293550600008</t>
  </si>
  <si>
    <t>Biele, J; Ulamec, S; Hilchenbach, M; Kömle, NI</t>
  </si>
  <si>
    <t>Biele, J.; Ulamec, S.; Hilchenbach, M.; Koemle, N. I.</t>
  </si>
  <si>
    <t>In situ analysis of Europa ices by short-range melting probes</t>
  </si>
  <si>
    <t>Europa; Lander; Sampling; Melting probe; Technology; Instrumentation; Ice; Astrobiology</t>
  </si>
  <si>
    <t>LIQUID WATER; EXPLORATION; TECHNOLOGY; SYSTEM</t>
  </si>
  <si>
    <t>A key aspect for understanding the astrobiological potential of planets and moons in the Solar system is the analysis of material embedded in or underneath icy layers on the surface. In particular in case of the icy crust of Jupiters moon Europa such investigation would be of greatest interest. For a Europa lander to be launched in the 2020-2030 timeframe, we propose to use a simplified instrumented melting probe which is able to access and sample depths of a few meters without the necessity of heavy and complicated drilling equipment. While melting probes have successfully been used for terrestrial applications, e.g. in Antarctic ice, their behavior in vacuum and at very low temperatures is different and theory needs confirmation by tests. In an earlier work, the planetary simulation chamber at DLR in Cologne has been used to perform a series of melting tests in cold (LN2-cooled) water ice samples. The feasibility of the method could be demonstrated and the energy demand for a space mission was estimated. A simplified melting probe to access the uppermost meters of Europa's crust appears to be feasible yet very demanding in terms of energy. The melting probe needs to be equipped with a suite of scientific instruments that are capable of determining the chemical and isotopic composition of the embedded or dissolved materials and which are indicative of organic material. An overview of potential instrumentation is given. (C) 2010 COSPAR. Published by Elsevier Ltd. All rights reserved.</t>
  </si>
  <si>
    <t>[Biele, J.; Ulamec, S.] DLR German Aerosp Ctr RB MUSC, D-51147 Cologne, Germany; [Hilchenbach, M.] Max Planck Inst Solar Syst Res, D-37191 Katlenburg Lindau, Germany; [Koemle, N. I.] Austrian Acad Sci, Space Res Inst, A-8042 Graz, Austria</t>
  </si>
  <si>
    <t>Helmholtz Association; German Aerospace Centre (DLR); Max Planck Society; Austrian Academy of Sciences</t>
  </si>
  <si>
    <t>Biele, J (corresponding author), DLR German Aerosp Ctr RB MUSC, D-51147 Cologne, Germany.</t>
  </si>
  <si>
    <t>Jens.Biele@dlr.de</t>
  </si>
  <si>
    <t>Biele, Jens/ABI-1218-2020</t>
  </si>
  <si>
    <t>Biele, Jens/0000-0002-7414-829X; Ulamec, Stephan/0000-0002-8856-4622</t>
  </si>
  <si>
    <t>10.1016/j.asr.2010.02.029</t>
  </si>
  <si>
    <t>WOS:000293550600013</t>
  </si>
  <si>
    <t>Liu, XX; Wang, YL; Gao, H; Xu, XD</t>
  </si>
  <si>
    <t>Liu, Xiaoxiang; Wang, Yali; Gao, Hong; Xu, Xudong</t>
  </si>
  <si>
    <t>Identification and characterization of genes encoding two novel LEA proteins in Antarctic and temperate strains of Chlorella vulgaris</t>
  </si>
  <si>
    <t>GENE</t>
  </si>
  <si>
    <t>Chlorella vulgaris; Antarctic strain; Freeze tolerance; Late embryogenesis abundant proteins; Cryoprotective activity</t>
  </si>
  <si>
    <t>EMBRYOGENESIS ABUNDANT PROTEINS; ENHANCES FREEZING TOLERANCE; COLD-ACCLIMATION; CRYOPROTECTIVE ACTIVITY; RESPONSIVE DEHYDRIN; ABSCISIC-ACID; IN-VITRO; DEHYDRATION; EXPRESSION; PURIFICATION</t>
  </si>
  <si>
    <t>An Antarctic strain (NJ-7) of Chlorella vulgaris possesses the same 18S rRNA sequence as that of a temperate strain (UTEX259), but shows significantly higher freezing tolerance than the latter. Suppression subtractive hybridization (SSH) was performed to identify genes of intensified expression in NJ-7 relative to UTEX259. Among the genes identified, Ccor1 and Ccor2, co-organized in the same gene cluster Ccor1-Ccor2-Ccor1-Ccor2, showed much higher expression levels in NJ-7 than in UTEX259 at both 20 degrees C and 4 degrees C. As detected by Northern blot and Western blot analyses, the two genes were cold-inducible in NJ-7 but almost not expressed in UTEX259. Their encoded products are predicted to share 55.7% identity to each other and possess physicochemical characteristics similar to that of late embryogenesis abundant (LEA) proteins in plants. The purified recombinant Ccor1 and Ccor2 showed high heat-stability and could act as cryoprotectants to lactate dehydrogenase in vitro. Based on their expression patterns and protein characteristics, we propose that Ccor1 and Ccor2 are two novel LEA proteins and are related to the greatly enhanced freezing tolerance in the Antarctic strain. (C) 2011 Elsevier B.V. All rights reserved.</t>
  </si>
  <si>
    <t>[Liu, Xiaoxiang; Wang, Yali; Gao, Hong; Xu, Xudong] Chinese Acad Sci, Inst Hydrobiol, State Key Lab Freshwater Ecol &amp; Biotechnol, Wuhan 430072, Hubei, Peoples R China</t>
  </si>
  <si>
    <t>Xu, XD (corresponding author), Chinese Acad Sci, Inst Hydrobiol, State Key Lab Freshwater Ecol &amp; Biotechnol, Wuhan 430072, Hubei, Peoples R China.</t>
  </si>
  <si>
    <t>0378-1119</t>
  </si>
  <si>
    <t>1879-0038</t>
  </si>
  <si>
    <t>Gene</t>
  </si>
  <si>
    <t>AUG 15</t>
  </si>
  <si>
    <t>10.1016/j.gene.2011.05.006</t>
  </si>
  <si>
    <t>802GC</t>
  </si>
  <si>
    <t>WOS:000293496300007</t>
  </si>
  <si>
    <t>Möller, A; Xie, ZY; Cai, MH; Zhong, GC; Huang, P; Cai, MG; Sturm, R; He, JF; Ebinghaus, R</t>
  </si>
  <si>
    <t>Moeller, Axel; Xie, Zhiyong; Cai, Minghong; Zhong, Guangcai; Huang, Peng; Cai, Minggang; Sturm, Renate; He, Jianfeng; Ebinghaus, Ralf</t>
  </si>
  <si>
    <t>Polybrominated Diphenyl Ethers vs Alternate Brominated Flame Retardants and Dechloranes from East Asia to the Arctic</t>
  </si>
  <si>
    <t>PEARL RIVER DELTA; ORGANOCHLORINE COMPOUNDS; ISOMER PROFILES; AIR; PBDES; PLUS; HEXABROMOBENZENE; POLLUTANTS; SEAWATER; CHINA</t>
  </si>
  <si>
    <t>Marine boundary layer air and seawater samples taken during a polar expedition cruise from East China Sea to the Arctic were analyzed in order to compare the occurrence, distribution, and fate of the banned polybrominated diphenyl ethers (PBDEs) with their brominated alternatives as well as the chlorinated Dechloranes. The sum of PBDEs (Sigma 10PBDEs) in the atmosphere ranged from 0.07 to 8.1 pg m(-3) with . BDE-209 being the dominating congener and from not detected (n.d.) to 0.6 pg L-1 in seawater. Alternate brominated flame retardants (BFRs), especially hexabromobenzene (HBB), (2,3-dibromopropyl-2,4,6-tribromophenyl ether (DPTE), pentabromotoluene (PBT), 2 ethylhexyl 2,3,4,5-tetrabromobenzoate (EHTBB), bis-(2-ethylhexyl)-tetrabromophthalate (TBPH), were detected in higher concentrations than PBDEs, even in the high Arctic (0.6 to 15.4 pg m(-3) for sum of alternate BFRs), indicating the change of PBDEs toward alternate BFRs in the environmental predominance. In addition, Dechlorane Plus (DP) as well as Dechlorane 602, 603, and 604 were detected both in the atmosphere and in seawater. The highest concentrations as well as the highest compound variability were observed in East Asian samples suggesting the Asian continent as source of these compounds in the marine environment The air-seawater exchange indicates strong deposition, especially of alternate BFRs, as well as dry particle-bound deposition of BDE-209 into the ocean.</t>
  </si>
  <si>
    <t>[Moeller, Axel; Xie, Zhiyong; Zhong, Guangcai; Sturm, Renate; Ebinghaus, Ralf] Helmholtz Zentrum Geesthacht, Ctr Mat &amp; Coastal Res, Dept Environm Chem, Inst Coastal Res, D-21502 Geesthacht, Germany; [Cai, Minghong; He, Jianfeng] Polar Res Inst China, SOA Key Lab Polar Sci, Shanghai 200136, Peoples R China; [Zhong, Guangcai] Chinese Acad Sci, Yantai Inst Coastal Zone Res, Yantai 264003, Peoples R China; [Zhong, Guangcai] Chinese Acad Sci, Grad Sch, Beijing 100039, Peoples R China; [Huang, Peng; Cai, Minggang] Xiamen Univ, Coll Oceanog &amp; Environm Sci, Xiamen 361005, Peoples R China</t>
  </si>
  <si>
    <t>Helmholtz Association; Helmholtz-Zentrum Hereon; Polar Research Institute of China; Chinese Academy of Sciences; Yantai Institute of Coastal Zone Research, CAS; Chinese Academy of Sciences; University of Chinese Academy of Sciences, CAS; Xiamen University</t>
  </si>
  <si>
    <t>Möller, A (corresponding author), Helmholtz Zentrum Geesthacht, Ctr Mat &amp; Coastal Res, Dept Environm Chem, Inst Coastal Res, Max Planck Str 1, D-21502 Geesthacht, Germany.</t>
  </si>
  <si>
    <t>axel.moeller@hzg.de; caiminghong@pric.gov.cn</t>
  </si>
  <si>
    <t>Huang, Peng/E-8571-2017; Xie, Zhiyong/E-8436-2014; cai, minggang/G-3979-2010; HUANG, Shuiying/C-3117-2014</t>
  </si>
  <si>
    <t>Huang, Peng/0000-0001-7038-3869; cai, minggang/0000-0003-2828-0529;</t>
  </si>
  <si>
    <t>Chinese Arctic and Antarctic Administration, State Oceanic Administration of China</t>
  </si>
  <si>
    <t>We acknowledge the crew of the R/V Xuelong and the support from the Chinese Arctic and Antarctic Administration, State Oceanic Administration of China. Volker Matthias (HZG) is acknowledged for help plotting the BTs.</t>
  </si>
  <si>
    <t>10.1021/es201850n</t>
  </si>
  <si>
    <t>805VZ</t>
  </si>
  <si>
    <t>WOS:000293758400011</t>
  </si>
  <si>
    <t>Salzmann, U; Riding, JB; Nelson, AE; Smellie, JL</t>
  </si>
  <si>
    <t>Salzmann, Ulrich; Riding, James B.; Nelson, Anna E.; Smellie, John L.</t>
  </si>
  <si>
    <t>How likely was a green Antarctic Peninsula during warm Pliocene interglacials? A critical reassessment based on new palynofloras from James Ross Island</t>
  </si>
  <si>
    <t>PALAEOGEOGRAPHY PALAEOCLIMATOLOGY PALAEOECOLOGY</t>
  </si>
  <si>
    <t>Pliocene; Antarctica; Vegetation; Pollen; Dinoflagellate; Neogene; Antarctic Peninsula</t>
  </si>
  <si>
    <t>GLACIOEUSTATIC SEDIMENTARY CYCLES; CAPE-ROBERTS PROJECT; VICTORIA LAND BASIN; SIRIUS GROUP; ICE-SHEET; LATE NEOGENE; TRANSANTARCTIC MOUNTAINS; GLACIAL HISTORY; PALYNOLOGY; CLIMATE</t>
  </si>
  <si>
    <t>The question of whether Pliocene climate was warm enough to support a substantial vegetation cover on Antarctica is of great significance to the ongoing and controversial debate on the stability or dynamism of Antarctic ice sheets during warm periods with high atmospheric greenhouse gas concentrations. Here we present a systematic palynological comparison of pollen and dinoflagellate cyst assemblages from Early Pliocene diamictites and underlying late Cretaceous sediments collected from James Ross Island, northern Antarctic Peninsula. The diamictites are dated using a combination of 40Ar/39Ar and Sr-87/Sr-86 isotope ages on interbedded lavas and pristine bivalves. Well preserved pectinid shells and cheilostome bryozoans suggest that the palynomorph-bearing sediments were probably deposited during warmer Pliocene interglacials and later amalgamated into a diamictite formed by a major ice advance during cold glacial cycle. The palynological analyses presented herein do not identify any in-situ pollen and spores which indicate the presence of a substantial vegetation cover. Our study suggests a local (i.e. James Ross Island) provenance for most of the diamictites, whilst sediments from the western coast might have been delivered by ice sheets from the Antarctic Peninsula. Whilst the acritarch Leiosphaeridia might imply the presence of sea-ice and near-modern climate conditions during the Late Neogene, the presence of the dinoflagellate cyst Bitectatodinium tepikiense at one location suggests that sea surface temperatures might have been substantially warmer during some interglacials. The absence of in-situ pollen and spores in the James Ross Island diamictites cannot be taken as proof of non-existence of vegetation. However, the combined palynological and geological evidence presented in this paper makes the presence of a substantial Pliocene vegetation cover on James Ross Island unlikely and supports previous reconstructions of a permanent ice sheet on the Antarctic Peninsula throughout the Late Neogene. (C) 2011 Elsevier B.V. All rights reserved.</t>
  </si>
  <si>
    <t>[Salzmann, Ulrich] Northumbria Univ, Sch Built &amp; Nat Environment, Newcastle Upon Tyne NE1 8ST, Tyne &amp; Wear, England; [Riding, James B.] British Geol Survey, Kingsley Dunham Ctr, Nottingham NG12 5GG, England; [Nelson, Anna E.] British Antarctic Survey, Cambridge CB3 0ET, England; [Smellie, John L.] Univ Leicester, Dept Geol, Leicester LE1 7RH, Leics, England</t>
  </si>
  <si>
    <t>Northumbria University; UK Research &amp; Innovation (UKRI); Natural Environment Research Council (NERC); NERC British Geological Survey; UK Research &amp; Innovation (UKRI); Natural Environment Research Council (NERC); NERC British Antarctic Survey; University of Leicester</t>
  </si>
  <si>
    <t>Salzmann, U (corresponding author), Northumbria Univ, Sch Built &amp; Nat Environment, Ellison Bldg, Newcastle Upon Tyne NE1 8ST, Tyne &amp; Wear, England.</t>
  </si>
  <si>
    <t>ulrich.salzmann@northumbria.ac.uk; j.riding@bgs.ac.uk; annaelizabethlaloe@googlemail.com; jls55@le.ac.uk</t>
  </si>
  <si>
    <t>Salzmann, Ulrich/H-9929-2017</t>
  </si>
  <si>
    <t>Salzmann, Ulrich/0000-0001-5598-5327</t>
  </si>
  <si>
    <t>Natural Environment Research Council (NERC); NERC [bgs010024, bas0100026] Funding Source: UKRI; Natural Environment Research Council [bgs010024, bas0100026]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</si>
  <si>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</si>
  <si>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financed by the Natural Environment Research Council (NERC) and was part of the British Antarctic Survey's GEACEP Programme (2005-2009; ISODYN Project), which investigated the greenhouse to ice-house climate change throughout the Neogene. This paper also contributes to the SCAR ACE (Antarctic Climate Evolution) programme. James B. Riding publishes with the approval of the Executive Director, British Geological Survey (NERC).</t>
  </si>
  <si>
    <t>0031-0182</t>
  </si>
  <si>
    <t>1872-616X</t>
  </si>
  <si>
    <t>PALAEOGEOGR PALAEOCL</t>
  </si>
  <si>
    <t>Paleogeogr. Paleoclimatol. Paleoecol.</t>
  </si>
  <si>
    <t>10.1016/j.palaeo.2011.01.028</t>
  </si>
  <si>
    <t>Geography, Physical; Geosciences, Multidisciplinary; Paleontology</t>
  </si>
  <si>
    <t>Physical Geography; Geology; Paleontology</t>
  </si>
  <si>
    <t>810RF</t>
  </si>
  <si>
    <t>WOS:000294144100006</t>
  </si>
  <si>
    <t>Dolan, AM; Haywood, AM; Hill, DJ; Dowsett, HJ; Hunter, SJ; Lunt, DJ; Pickering, SJ</t>
  </si>
  <si>
    <t>Dolan, Aisling M.; Haywood, Alan M.; Hill, Daniel J.; Dowsett, Harry J.; Hunter, Stephen J.; Lunt, Daniel J.; Pickering, Steven J.</t>
  </si>
  <si>
    <t>Sensitivity of Pliocene ice sheets to orbital forcing</t>
  </si>
  <si>
    <t>Pliocene; Ice sheets; Orbital forcing; Sea level</t>
  </si>
  <si>
    <t>SEA-LEVEL FLUCTUATIONS; MIDDLE PLIOCENE; BOUNDARY-CONDITIONS; ATMOSPHERIC CO2; SOLAR-SYSTEM; LATE NEOGENE; LATE MIOCENE; CLIMATE; GREENLAND; MODEL</t>
  </si>
  <si>
    <t>The stability of the Earth's major ice sheets is a critical uncertainty in predictions of future climate and sea level change. One method of investigating the behaviour of the Greenland and the Antarctic ice sheets in a warmer-than-modern climate is to look back at past warm periods of Earth history, for example the Pliocene. This paper presents climate and ice sheet modelling results for the mid-Pliocene warm period (mPWP; 3.3 to 3.0 million years ago), which has been identified as a key interval for understanding warmer-than-modern climates (Jansen et al., 2007). Using boundary conditions supplied by the United States Geological Survey PRISM Group (Pliocene Research, Interpretation and Synoptic Mapping), the Hadley Centre coupled ocean-atmosphere climate model (HadCM3) and the British Antarctic Survey Ice Sheet Model (BASISM), we show large reductions in the Greenland and East Antarctic Ice Sheets (GrIS and EAIS) compared to modern in standard mPWP experiments. We also present the first results illustrating the variability of the ice sheets due to realistic orbital forcing during the mid-Pliocene. While GrIS volumes are lower than modern under even the most extreme (cold) mid-Pliocene orbit (losing at least 35% of its ice mass), the EAIS can both grow and shrink, losing up to 20% or gaining up to 10% of its present-day volume. The changes in ice sheet volume incurred by altering orbital forcing alone means that global sea level can vary by more than 25 m during the mid-Pliocene. However, we have also shown that the response of the ice sheets to mPWP orbital hemispheric forcing can be in anti-phase, whereby the greatest reductions in EAIS volume are concurrent with the smallest reductions of the GrIS. If this anti-phase relationship is in operation throughout the mPWP, then the total eustatic sea level response would be dampened compared to the ice sheet fluctuations that are theoretically possible. This suggests that maximum eustatic sea level rise does not correspond to orbital maxima, but occurs at times where the anti-phasing of Northern and Southern Hemisphere ice sheet retreat is minimised. (C) 2011 Elsevier B.V. All rights reserved.</t>
  </si>
  <si>
    <t>[Dolan, Aisling M.; Haywood, Alan M.; Hunter, Stephen J.; Pickering, Steven J.] Univ Leeds, Sch Earth &amp; Environment, Leeds LS2 9JT, W Yorkshire, England; [Hill, Daniel J.] British Geol Survey, Nottingham NG12 5GG, England; [Dowsett, Harry J.] US Geol Survey, Eastern Geol &amp; Paleoclimate Sci Ctr, Reston, VA 20192 USA; [Lunt, Daniel J.] Univ Bristol, Sch Geog Sci, Bristol BS8 1SS, Avon, England; [Lunt, Daniel J.] British Antarctic Survey, Cambridge CB3 0ET, England</t>
  </si>
  <si>
    <t>University of Leeds; UK Research &amp; Innovation (UKRI); Natural Environment Research Council (NERC); NERC British Geological Survey; United States Department of the Interior; United States Geological Survey; University of Bristol; UK Research &amp; Innovation (UKRI); Natural Environment Research Council (NERC); NERC British Antarctic Survey</t>
  </si>
  <si>
    <t>Dolan, AM (corresponding author), Univ Leeds, Sch Earth &amp; Environment, Woodhouse Lane, Leeds LS2 9JT, W Yorkshire, England.</t>
  </si>
  <si>
    <t>a.m.dolan08@leeds.ac.uk</t>
  </si>
  <si>
    <t>Salzmann, Ulrich/H-9929-2017; Dolan, Aisling M/D-2625-2012; Lunt, Daniel/G-9451-2011</t>
  </si>
  <si>
    <t>Salzmann, Ulrich/0000-0001-5598-5327; Dowsett, Harry/0000-0003-1983-7524; Hill, Daniel/0000-0001-5492-3925; Dolan, Aisling/0000-0002-9585-9648; Lunt, Daniel/0000-0003-3585-6928</t>
  </si>
  <si>
    <t>Natural Environment Research Council (NERC) [NE/HO14144/1]; British Geological Survey; BAS; Natural Environment Research Council [bas0100027, bgs05002, NE/H014144/1, ncas10009] Funding Source: researchfish; NERC [bas0100027, bgs05002, NE/H014144/1] Funding Source: UKRI</t>
  </si>
  <si>
    <t>Natural Environment Research Council (NERC)(UK Research &amp; Innovation (UKRI)Natural Environment Research Council (NERC)); British Geological Survey; BAS; Natural Environment Research Council(UK Research &amp; Innovation (UKRI)Natural Environment Research Council (NERC)); NERC(UK Research &amp; Innovation (UKRI)Natural Environment Research Council (NERC))</t>
  </si>
  <si>
    <t>The Natural Environment Research Council (NERC) is acknowledge for its support to A.M.D. and A.M.H. A.M.H. also acknowledges the Leverhulme Trust for the award of a Philip Leverhulme Prize (2008). D.J.H is funded by the British Geological Survey. H.J.D acknowledges the US Dept of Interior and USGS Office of Global Change. D.J.L. is jointly funded by BAS and is currently a NERC/RCUK research fellow, and acknowledges their support. We also wish to acknowledge the PRISM group for use of their palaeoenvironmental reconstructions, Richard Hindmarsh for use of BASISM, Jacques Laskar for making the astronomical solutions available for use in this study and Robin Smith for facilitating the implementation of orbital configurations within the UM. This paper is a product of NERC Grant NE/HO14144/1.</t>
  </si>
  <si>
    <t>10.1016/j.palaeo.2011.03.030</t>
  </si>
  <si>
    <t>WOS:000294144100009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</si>
</sst>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41</v>
      </c>
      <c r="AH2">
        <v>37</v>
      </c>
      <c r="AI2">
        <v>41</v>
      </c>
      <c r="AJ2">
        <v>1</v>
      </c>
      <c r="AK2">
        <v>28</v>
      </c>
      <c r="AL2" t="s">
        <v>92</v>
      </c>
      <c r="AM2" t="s">
        <v>93</v>
      </c>
      <c r="AN2" t="s">
        <v>94</v>
      </c>
      <c r="AO2" t="s">
        <v>95</v>
      </c>
      <c r="AP2" t="s">
        <v>74</v>
      </c>
      <c r="AQ2" t="s">
        <v>74</v>
      </c>
      <c r="AR2" t="s">
        <v>77</v>
      </c>
      <c r="AS2" t="s">
        <v>96</v>
      </c>
      <c r="AT2" t="s">
        <v>97</v>
      </c>
      <c r="AU2">
        <v>2012</v>
      </c>
      <c r="AV2">
        <v>16</v>
      </c>
      <c r="AW2">
        <v>1</v>
      </c>
      <c r="AX2" t="s">
        <v>74</v>
      </c>
      <c r="AY2" t="s">
        <v>74</v>
      </c>
      <c r="AZ2" t="s">
        <v>74</v>
      </c>
      <c r="BA2" t="s">
        <v>74</v>
      </c>
      <c r="BB2">
        <v>79</v>
      </c>
      <c r="BC2">
        <v>86</v>
      </c>
      <c r="BD2" t="s">
        <v>74</v>
      </c>
      <c r="BE2" t="s">
        <v>98</v>
      </c>
      <c r="BF2" t="str">
        <f>HYPERLINK("http://dx.doi.org/10.1007/s00792-011-0407-y","http://dx.doi.org/10.1007/s00792-011-0407-y")</f>
        <v>http://dx.doi.org/10.1007/s00792-011-0407-y</v>
      </c>
      <c r="BG2" t="s">
        <v>74</v>
      </c>
      <c r="BH2" t="s">
        <v>74</v>
      </c>
      <c r="BI2">
        <v>8</v>
      </c>
      <c r="BJ2" t="s">
        <v>99</v>
      </c>
      <c r="BK2" t="s">
        <v>100</v>
      </c>
      <c r="BL2" t="s">
        <v>99</v>
      </c>
      <c r="BM2" t="s">
        <v>101</v>
      </c>
      <c r="BN2">
        <v>22052561</v>
      </c>
      <c r="BO2" t="s">
        <v>74</v>
      </c>
      <c r="BP2" t="s">
        <v>74</v>
      </c>
      <c r="BQ2" t="s">
        <v>74</v>
      </c>
      <c r="BR2" t="s">
        <v>102</v>
      </c>
      <c r="BS2" t="s">
        <v>103</v>
      </c>
      <c r="BT2" t="str">
        <f>HYPERLINK("https%3A%2F%2Fwww.webofscience.com%2Fwos%2Fwoscc%2Ffull-record%2FWOS:000298390900007","View Full Record in Web of Science")</f>
        <v>View Full Record in Web of Science</v>
      </c>
    </row>
    <row r="3" spans="1:72" x14ac:dyDescent="0.15">
      <c r="A3" t="s">
        <v>72</v>
      </c>
      <c r="B3" t="s">
        <v>104</v>
      </c>
      <c r="C3" t="s">
        <v>74</v>
      </c>
      <c r="D3" t="s">
        <v>74</v>
      </c>
      <c r="E3" t="s">
        <v>74</v>
      </c>
      <c r="F3" t="s">
        <v>105</v>
      </c>
      <c r="G3" t="s">
        <v>74</v>
      </c>
      <c r="H3" t="s">
        <v>74</v>
      </c>
      <c r="I3" t="s">
        <v>106</v>
      </c>
      <c r="J3" t="s">
        <v>77</v>
      </c>
      <c r="K3" t="s">
        <v>74</v>
      </c>
      <c r="L3" t="s">
        <v>74</v>
      </c>
      <c r="M3" t="s">
        <v>78</v>
      </c>
      <c r="N3" t="s">
        <v>79</v>
      </c>
      <c r="O3" t="s">
        <v>74</v>
      </c>
      <c r="P3" t="s">
        <v>74</v>
      </c>
      <c r="Q3" t="s">
        <v>74</v>
      </c>
      <c r="R3" t="s">
        <v>74</v>
      </c>
      <c r="S3" t="s">
        <v>74</v>
      </c>
      <c r="T3" t="s">
        <v>107</v>
      </c>
      <c r="U3" t="s">
        <v>108</v>
      </c>
      <c r="V3" t="s">
        <v>109</v>
      </c>
      <c r="W3" t="s">
        <v>110</v>
      </c>
      <c r="X3" t="s">
        <v>111</v>
      </c>
      <c r="Y3" t="s">
        <v>112</v>
      </c>
      <c r="Z3" t="s">
        <v>113</v>
      </c>
      <c r="AA3" t="s">
        <v>114</v>
      </c>
      <c r="AB3" t="s">
        <v>115</v>
      </c>
      <c r="AC3" t="s">
        <v>116</v>
      </c>
      <c r="AD3" t="s">
        <v>117</v>
      </c>
      <c r="AE3" t="s">
        <v>118</v>
      </c>
      <c r="AF3" t="s">
        <v>74</v>
      </c>
      <c r="AG3">
        <v>34</v>
      </c>
      <c r="AH3">
        <v>56</v>
      </c>
      <c r="AI3">
        <v>61</v>
      </c>
      <c r="AJ3">
        <v>2</v>
      </c>
      <c r="AK3">
        <v>46</v>
      </c>
      <c r="AL3" t="s">
        <v>119</v>
      </c>
      <c r="AM3" t="s">
        <v>93</v>
      </c>
      <c r="AN3" t="s">
        <v>120</v>
      </c>
      <c r="AO3" t="s">
        <v>95</v>
      </c>
      <c r="AP3" t="s">
        <v>121</v>
      </c>
      <c r="AQ3" t="s">
        <v>74</v>
      </c>
      <c r="AR3" t="s">
        <v>77</v>
      </c>
      <c r="AS3" t="s">
        <v>96</v>
      </c>
      <c r="AT3" t="s">
        <v>97</v>
      </c>
      <c r="AU3">
        <v>2012</v>
      </c>
      <c r="AV3">
        <v>16</v>
      </c>
      <c r="AW3">
        <v>1</v>
      </c>
      <c r="AX3" t="s">
        <v>74</v>
      </c>
      <c r="AY3" t="s">
        <v>74</v>
      </c>
      <c r="AZ3" t="s">
        <v>74</v>
      </c>
      <c r="BA3" t="s">
        <v>74</v>
      </c>
      <c r="BB3">
        <v>95</v>
      </c>
      <c r="BC3">
        <v>103</v>
      </c>
      <c r="BD3" t="s">
        <v>74</v>
      </c>
      <c r="BE3" t="s">
        <v>122</v>
      </c>
      <c r="BF3" t="str">
        <f>HYPERLINK("http://dx.doi.org/10.1007/s00792-011-0409-9","http://dx.doi.org/10.1007/s00792-011-0409-9")</f>
        <v>http://dx.doi.org/10.1007/s00792-011-0409-9</v>
      </c>
      <c r="BG3" t="s">
        <v>74</v>
      </c>
      <c r="BH3" t="s">
        <v>74</v>
      </c>
      <c r="BI3">
        <v>9</v>
      </c>
      <c r="BJ3" t="s">
        <v>99</v>
      </c>
      <c r="BK3" t="s">
        <v>100</v>
      </c>
      <c r="BL3" t="s">
        <v>99</v>
      </c>
      <c r="BM3" t="s">
        <v>101</v>
      </c>
      <c r="BN3">
        <v>22072308</v>
      </c>
      <c r="BO3" t="s">
        <v>74</v>
      </c>
      <c r="BP3" t="s">
        <v>74</v>
      </c>
      <c r="BQ3" t="s">
        <v>74</v>
      </c>
      <c r="BR3" t="s">
        <v>102</v>
      </c>
      <c r="BS3" t="s">
        <v>123</v>
      </c>
      <c r="BT3" t="str">
        <f>HYPERLINK("https%3A%2F%2Fwww.webofscience.com%2Fwos%2Fwoscc%2Ffull-record%2FWOS:000298390900009","View Full Record in Web of Science")</f>
        <v>View Full Record in Web of Science</v>
      </c>
    </row>
    <row r="4" spans="1:72" x14ac:dyDescent="0.15">
      <c r="A4" t="s">
        <v>72</v>
      </c>
      <c r="B4" t="s">
        <v>124</v>
      </c>
      <c r="C4" t="s">
        <v>74</v>
      </c>
      <c r="D4" t="s">
        <v>74</v>
      </c>
      <c r="E4" t="s">
        <v>74</v>
      </c>
      <c r="F4" t="s">
        <v>125</v>
      </c>
      <c r="G4" t="s">
        <v>74</v>
      </c>
      <c r="H4" t="s">
        <v>74</v>
      </c>
      <c r="I4" t="s">
        <v>126</v>
      </c>
      <c r="J4" t="s">
        <v>77</v>
      </c>
      <c r="K4" t="s">
        <v>74</v>
      </c>
      <c r="L4" t="s">
        <v>74</v>
      </c>
      <c r="M4" t="s">
        <v>78</v>
      </c>
      <c r="N4" t="s">
        <v>79</v>
      </c>
      <c r="O4" t="s">
        <v>74</v>
      </c>
      <c r="P4" t="s">
        <v>74</v>
      </c>
      <c r="Q4" t="s">
        <v>74</v>
      </c>
      <c r="R4" t="s">
        <v>74</v>
      </c>
      <c r="S4" t="s">
        <v>74</v>
      </c>
      <c r="T4" t="s">
        <v>127</v>
      </c>
      <c r="U4" t="s">
        <v>128</v>
      </c>
      <c r="V4" t="s">
        <v>129</v>
      </c>
      <c r="W4" t="s">
        <v>130</v>
      </c>
      <c r="X4" t="s">
        <v>131</v>
      </c>
      <c r="Y4" t="s">
        <v>132</v>
      </c>
      <c r="Z4" t="s">
        <v>133</v>
      </c>
      <c r="AA4" t="s">
        <v>74</v>
      </c>
      <c r="AB4" t="s">
        <v>74</v>
      </c>
      <c r="AC4" t="s">
        <v>134</v>
      </c>
      <c r="AD4" t="s">
        <v>135</v>
      </c>
      <c r="AE4" t="s">
        <v>136</v>
      </c>
      <c r="AF4" t="s">
        <v>74</v>
      </c>
      <c r="AG4">
        <v>29</v>
      </c>
      <c r="AH4">
        <v>24</v>
      </c>
      <c r="AI4">
        <v>27</v>
      </c>
      <c r="AJ4">
        <v>3</v>
      </c>
      <c r="AK4">
        <v>54</v>
      </c>
      <c r="AL4" t="s">
        <v>119</v>
      </c>
      <c r="AM4" t="s">
        <v>93</v>
      </c>
      <c r="AN4" t="s">
        <v>137</v>
      </c>
      <c r="AO4" t="s">
        <v>95</v>
      </c>
      <c r="AP4" t="s">
        <v>121</v>
      </c>
      <c r="AQ4" t="s">
        <v>74</v>
      </c>
      <c r="AR4" t="s">
        <v>77</v>
      </c>
      <c r="AS4" t="s">
        <v>96</v>
      </c>
      <c r="AT4" t="s">
        <v>97</v>
      </c>
      <c r="AU4">
        <v>2012</v>
      </c>
      <c r="AV4">
        <v>16</v>
      </c>
      <c r="AW4">
        <v>1</v>
      </c>
      <c r="AX4" t="s">
        <v>74</v>
      </c>
      <c r="AY4" t="s">
        <v>74</v>
      </c>
      <c r="AZ4" t="s">
        <v>74</v>
      </c>
      <c r="BA4" t="s">
        <v>74</v>
      </c>
      <c r="BB4">
        <v>127</v>
      </c>
      <c r="BC4">
        <v>133</v>
      </c>
      <c r="BD4" t="s">
        <v>74</v>
      </c>
      <c r="BE4" t="s">
        <v>138</v>
      </c>
      <c r="BF4" t="str">
        <f>HYPERLINK("http://dx.doi.org/10.1007/s00792-011-0412-1","http://dx.doi.org/10.1007/s00792-011-0412-1")</f>
        <v>http://dx.doi.org/10.1007/s00792-011-0412-1</v>
      </c>
      <c r="BG4" t="s">
        <v>74</v>
      </c>
      <c r="BH4" t="s">
        <v>74</v>
      </c>
      <c r="BI4">
        <v>7</v>
      </c>
      <c r="BJ4" t="s">
        <v>99</v>
      </c>
      <c r="BK4" t="s">
        <v>100</v>
      </c>
      <c r="BL4" t="s">
        <v>99</v>
      </c>
      <c r="BM4" t="s">
        <v>101</v>
      </c>
      <c r="BN4">
        <v>22083129</v>
      </c>
      <c r="BO4" t="s">
        <v>74</v>
      </c>
      <c r="BP4" t="s">
        <v>74</v>
      </c>
      <c r="BQ4" t="s">
        <v>74</v>
      </c>
      <c r="BR4" t="s">
        <v>102</v>
      </c>
      <c r="BS4" t="s">
        <v>139</v>
      </c>
      <c r="BT4" t="str">
        <f>HYPERLINK("https%3A%2F%2Fwww.webofscience.com%2Fwos%2Fwoscc%2Ffull-record%2FWOS:000298390900012","View Full Record in Web of Science")</f>
        <v>View Full Record in Web of Science</v>
      </c>
    </row>
    <row r="5" spans="1:72" x14ac:dyDescent="0.15">
      <c r="A5" t="s">
        <v>72</v>
      </c>
      <c r="B5" t="s">
        <v>140</v>
      </c>
      <c r="C5" t="s">
        <v>74</v>
      </c>
      <c r="D5" t="s">
        <v>74</v>
      </c>
      <c r="E5" t="s">
        <v>74</v>
      </c>
      <c r="F5" t="s">
        <v>141</v>
      </c>
      <c r="G5" t="s">
        <v>74</v>
      </c>
      <c r="H5" t="s">
        <v>74</v>
      </c>
      <c r="I5" t="s">
        <v>142</v>
      </c>
      <c r="J5" t="s">
        <v>143</v>
      </c>
      <c r="K5" t="s">
        <v>74</v>
      </c>
      <c r="L5" t="s">
        <v>74</v>
      </c>
      <c r="M5" t="s">
        <v>78</v>
      </c>
      <c r="N5" t="s">
        <v>79</v>
      </c>
      <c r="O5" t="s">
        <v>74</v>
      </c>
      <c r="P5" t="s">
        <v>74</v>
      </c>
      <c r="Q5" t="s">
        <v>74</v>
      </c>
      <c r="R5" t="s">
        <v>74</v>
      </c>
      <c r="S5" t="s">
        <v>74</v>
      </c>
      <c r="T5" t="s">
        <v>74</v>
      </c>
      <c r="U5" t="s">
        <v>144</v>
      </c>
      <c r="V5" t="s">
        <v>145</v>
      </c>
      <c r="W5" t="s">
        <v>146</v>
      </c>
      <c r="X5" t="s">
        <v>147</v>
      </c>
      <c r="Y5" t="s">
        <v>148</v>
      </c>
      <c r="Z5" t="s">
        <v>149</v>
      </c>
      <c r="AA5" t="s">
        <v>150</v>
      </c>
      <c r="AB5" t="s">
        <v>151</v>
      </c>
      <c r="AC5" t="s">
        <v>152</v>
      </c>
      <c r="AD5" t="s">
        <v>153</v>
      </c>
      <c r="AE5" t="s">
        <v>154</v>
      </c>
      <c r="AF5" t="s">
        <v>74</v>
      </c>
      <c r="AG5">
        <v>84</v>
      </c>
      <c r="AH5">
        <v>77</v>
      </c>
      <c r="AI5">
        <v>82</v>
      </c>
      <c r="AJ5">
        <v>0</v>
      </c>
      <c r="AK5">
        <v>22</v>
      </c>
      <c r="AL5" t="s">
        <v>155</v>
      </c>
      <c r="AM5" t="s">
        <v>156</v>
      </c>
      <c r="AN5" t="s">
        <v>157</v>
      </c>
      <c r="AO5" t="s">
        <v>158</v>
      </c>
      <c r="AP5" t="s">
        <v>159</v>
      </c>
      <c r="AQ5" t="s">
        <v>74</v>
      </c>
      <c r="AR5" t="s">
        <v>160</v>
      </c>
      <c r="AS5" t="s">
        <v>161</v>
      </c>
      <c r="AT5" t="s">
        <v>162</v>
      </c>
      <c r="AU5">
        <v>2012</v>
      </c>
      <c r="AV5">
        <v>76</v>
      </c>
      <c r="AW5" t="s">
        <v>74</v>
      </c>
      <c r="AX5" t="s">
        <v>74</v>
      </c>
      <c r="AY5" t="s">
        <v>74</v>
      </c>
      <c r="AZ5" t="s">
        <v>74</v>
      </c>
      <c r="BA5" t="s">
        <v>74</v>
      </c>
      <c r="BB5">
        <v>68</v>
      </c>
      <c r="BC5">
        <v>82</v>
      </c>
      <c r="BD5" t="s">
        <v>74</v>
      </c>
      <c r="BE5" t="s">
        <v>163</v>
      </c>
      <c r="BF5" t="str">
        <f>HYPERLINK("http://dx.doi.org/10.1016/j.gca.2011.10.025","http://dx.doi.org/10.1016/j.gca.2011.10.025")</f>
        <v>http://dx.doi.org/10.1016/j.gca.2011.10.025</v>
      </c>
      <c r="BG5" t="s">
        <v>74</v>
      </c>
      <c r="BH5" t="s">
        <v>74</v>
      </c>
      <c r="BI5">
        <v>15</v>
      </c>
      <c r="BJ5" t="s">
        <v>164</v>
      </c>
      <c r="BK5" t="s">
        <v>100</v>
      </c>
      <c r="BL5" t="s">
        <v>164</v>
      </c>
      <c r="BM5" t="s">
        <v>165</v>
      </c>
      <c r="BN5" t="s">
        <v>74</v>
      </c>
      <c r="BO5" t="s">
        <v>74</v>
      </c>
      <c r="BP5" t="s">
        <v>74</v>
      </c>
      <c r="BQ5" t="s">
        <v>74</v>
      </c>
      <c r="BR5" t="s">
        <v>102</v>
      </c>
      <c r="BS5" t="s">
        <v>166</v>
      </c>
      <c r="BT5" t="str">
        <f>HYPERLINK("https%3A%2F%2Fwww.webofscience.com%2Fwos%2Fwoscc%2Ffull-record%2FWOS:000298148700005","View Full Record in Web of Science")</f>
        <v>View Full Record in Web of Science</v>
      </c>
    </row>
    <row r="6" spans="1:72" x14ac:dyDescent="0.15">
      <c r="A6" t="s">
        <v>72</v>
      </c>
      <c r="B6" t="s">
        <v>167</v>
      </c>
      <c r="C6" t="s">
        <v>74</v>
      </c>
      <c r="D6" t="s">
        <v>74</v>
      </c>
      <c r="E6" t="s">
        <v>74</v>
      </c>
      <c r="F6" t="s">
        <v>168</v>
      </c>
      <c r="G6" t="s">
        <v>74</v>
      </c>
      <c r="H6" t="s">
        <v>74</v>
      </c>
      <c r="I6" t="s">
        <v>169</v>
      </c>
      <c r="J6" t="s">
        <v>143</v>
      </c>
      <c r="K6" t="s">
        <v>74</v>
      </c>
      <c r="L6" t="s">
        <v>74</v>
      </c>
      <c r="M6" t="s">
        <v>78</v>
      </c>
      <c r="N6" t="s">
        <v>79</v>
      </c>
      <c r="O6" t="s">
        <v>74</v>
      </c>
      <c r="P6" t="s">
        <v>74</v>
      </c>
      <c r="Q6" t="s">
        <v>74</v>
      </c>
      <c r="R6" t="s">
        <v>74</v>
      </c>
      <c r="S6" t="s">
        <v>74</v>
      </c>
      <c r="T6" t="s">
        <v>74</v>
      </c>
      <c r="U6" t="s">
        <v>170</v>
      </c>
      <c r="V6" t="s">
        <v>171</v>
      </c>
      <c r="W6" t="s">
        <v>172</v>
      </c>
      <c r="X6" t="s">
        <v>173</v>
      </c>
      <c r="Y6" t="s">
        <v>174</v>
      </c>
      <c r="Z6" t="s">
        <v>175</v>
      </c>
      <c r="AA6" t="s">
        <v>176</v>
      </c>
      <c r="AB6" t="s">
        <v>177</v>
      </c>
      <c r="AC6" t="s">
        <v>178</v>
      </c>
      <c r="AD6" t="s">
        <v>179</v>
      </c>
      <c r="AE6" t="s">
        <v>180</v>
      </c>
      <c r="AF6" t="s">
        <v>74</v>
      </c>
      <c r="AG6">
        <v>103</v>
      </c>
      <c r="AH6">
        <v>62</v>
      </c>
      <c r="AI6">
        <v>67</v>
      </c>
      <c r="AJ6">
        <v>0</v>
      </c>
      <c r="AK6">
        <v>40</v>
      </c>
      <c r="AL6" t="s">
        <v>155</v>
      </c>
      <c r="AM6" t="s">
        <v>156</v>
      </c>
      <c r="AN6" t="s">
        <v>157</v>
      </c>
      <c r="AO6" t="s">
        <v>158</v>
      </c>
      <c r="AP6" t="s">
        <v>159</v>
      </c>
      <c r="AQ6" t="s">
        <v>74</v>
      </c>
      <c r="AR6" t="s">
        <v>160</v>
      </c>
      <c r="AS6" t="s">
        <v>161</v>
      </c>
      <c r="AT6" t="s">
        <v>162</v>
      </c>
      <c r="AU6">
        <v>2012</v>
      </c>
      <c r="AV6">
        <v>76</v>
      </c>
      <c r="AW6" t="s">
        <v>74</v>
      </c>
      <c r="AX6" t="s">
        <v>74</v>
      </c>
      <c r="AY6" t="s">
        <v>74</v>
      </c>
      <c r="AZ6" t="s">
        <v>74</v>
      </c>
      <c r="BA6" t="s">
        <v>74</v>
      </c>
      <c r="BB6">
        <v>125</v>
      </c>
      <c r="BC6">
        <v>146</v>
      </c>
      <c r="BD6" t="s">
        <v>74</v>
      </c>
      <c r="BE6" t="s">
        <v>181</v>
      </c>
      <c r="BF6" t="str">
        <f>HYPERLINK("http://dx.doi.org/10.1016/j.gca.2011.10.028","http://dx.doi.org/10.1016/j.gca.2011.10.028")</f>
        <v>http://dx.doi.org/10.1016/j.gca.2011.10.028</v>
      </c>
      <c r="BG6" t="s">
        <v>74</v>
      </c>
      <c r="BH6" t="s">
        <v>74</v>
      </c>
      <c r="BI6">
        <v>22</v>
      </c>
      <c r="BJ6" t="s">
        <v>164</v>
      </c>
      <c r="BK6" t="s">
        <v>100</v>
      </c>
      <c r="BL6" t="s">
        <v>164</v>
      </c>
      <c r="BM6" t="s">
        <v>165</v>
      </c>
      <c r="BN6" t="s">
        <v>74</v>
      </c>
      <c r="BO6" t="s">
        <v>182</v>
      </c>
      <c r="BP6" t="s">
        <v>74</v>
      </c>
      <c r="BQ6" t="s">
        <v>74</v>
      </c>
      <c r="BR6" t="s">
        <v>102</v>
      </c>
      <c r="BS6" t="s">
        <v>183</v>
      </c>
      <c r="BT6" t="str">
        <f>HYPERLINK("https%3A%2F%2Fwww.webofscience.com%2Fwos%2Fwoscc%2Ffull-record%2FWOS:000298148700009","View Full Record in Web of Science")</f>
        <v>View Full Record in Web of Science</v>
      </c>
    </row>
    <row r="7" spans="1:72" x14ac:dyDescent="0.15">
      <c r="A7" t="s">
        <v>72</v>
      </c>
      <c r="B7" t="s">
        <v>184</v>
      </c>
      <c r="C7" t="s">
        <v>74</v>
      </c>
      <c r="D7" t="s">
        <v>74</v>
      </c>
      <c r="E7" t="s">
        <v>74</v>
      </c>
      <c r="F7" t="s">
        <v>185</v>
      </c>
      <c r="G7" t="s">
        <v>74</v>
      </c>
      <c r="H7" t="s">
        <v>74</v>
      </c>
      <c r="I7" t="s">
        <v>186</v>
      </c>
      <c r="J7" t="s">
        <v>187</v>
      </c>
      <c r="K7" t="s">
        <v>74</v>
      </c>
      <c r="L7" t="s">
        <v>74</v>
      </c>
      <c r="M7" t="s">
        <v>78</v>
      </c>
      <c r="N7" t="s">
        <v>79</v>
      </c>
      <c r="O7" t="s">
        <v>74</v>
      </c>
      <c r="P7" t="s">
        <v>74</v>
      </c>
      <c r="Q7" t="s">
        <v>74</v>
      </c>
      <c r="R7" t="s">
        <v>74</v>
      </c>
      <c r="S7" t="s">
        <v>74</v>
      </c>
      <c r="T7" t="s">
        <v>188</v>
      </c>
      <c r="U7" t="s">
        <v>74</v>
      </c>
      <c r="V7" t="s">
        <v>189</v>
      </c>
      <c r="W7" t="s">
        <v>190</v>
      </c>
      <c r="X7" t="s">
        <v>191</v>
      </c>
      <c r="Y7" t="s">
        <v>192</v>
      </c>
      <c r="Z7" t="s">
        <v>193</v>
      </c>
      <c r="AA7" t="s">
        <v>74</v>
      </c>
      <c r="AB7" t="s">
        <v>194</v>
      </c>
      <c r="AC7" t="s">
        <v>74</v>
      </c>
      <c r="AD7" t="s">
        <v>74</v>
      </c>
      <c r="AE7" t="s">
        <v>74</v>
      </c>
      <c r="AF7" t="s">
        <v>74</v>
      </c>
      <c r="AG7">
        <v>12</v>
      </c>
      <c r="AH7">
        <v>7</v>
      </c>
      <c r="AI7">
        <v>9</v>
      </c>
      <c r="AJ7">
        <v>0</v>
      </c>
      <c r="AK7">
        <v>7</v>
      </c>
      <c r="AL7" t="s">
        <v>195</v>
      </c>
      <c r="AM7" t="s">
        <v>196</v>
      </c>
      <c r="AN7" t="s">
        <v>197</v>
      </c>
      <c r="AO7" t="s">
        <v>198</v>
      </c>
      <c r="AP7" t="s">
        <v>74</v>
      </c>
      <c r="AQ7" t="s">
        <v>74</v>
      </c>
      <c r="AR7" t="s">
        <v>199</v>
      </c>
      <c r="AS7" t="s">
        <v>200</v>
      </c>
      <c r="AT7" t="s">
        <v>201</v>
      </c>
      <c r="AU7">
        <v>2012</v>
      </c>
      <c r="AV7">
        <v>51</v>
      </c>
      <c r="AW7">
        <v>1</v>
      </c>
      <c r="AX7" t="s">
        <v>74</v>
      </c>
      <c r="AY7" t="s">
        <v>74</v>
      </c>
      <c r="AZ7" t="s">
        <v>74</v>
      </c>
      <c r="BA7" t="s">
        <v>74</v>
      </c>
      <c r="BB7">
        <v>63</v>
      </c>
      <c r="BC7">
        <v>72</v>
      </c>
      <c r="BD7" t="s">
        <v>74</v>
      </c>
      <c r="BE7" t="s">
        <v>74</v>
      </c>
      <c r="BF7" t="s">
        <v>74</v>
      </c>
      <c r="BG7" t="s">
        <v>74</v>
      </c>
      <c r="BH7" t="s">
        <v>74</v>
      </c>
      <c r="BI7">
        <v>10</v>
      </c>
      <c r="BJ7" t="s">
        <v>164</v>
      </c>
      <c r="BK7" t="s">
        <v>100</v>
      </c>
      <c r="BL7" t="s">
        <v>164</v>
      </c>
      <c r="BM7" t="s">
        <v>202</v>
      </c>
      <c r="BN7" t="s">
        <v>74</v>
      </c>
      <c r="BO7" t="s">
        <v>74</v>
      </c>
      <c r="BP7" t="s">
        <v>74</v>
      </c>
      <c r="BQ7" t="s">
        <v>74</v>
      </c>
      <c r="BR7" t="s">
        <v>102</v>
      </c>
      <c r="BS7" t="s">
        <v>203</v>
      </c>
      <c r="BT7" t="str">
        <f>HYPERLINK("https%3A%2F%2Fwww.webofscience.com%2Fwos%2Fwoscc%2Ffull-record%2FWOS:000298741200005","View Full Record in Web of Science")</f>
        <v>View Full Record in Web of Science</v>
      </c>
    </row>
    <row r="8" spans="1:72" x14ac:dyDescent="0.15">
      <c r="A8" t="s">
        <v>72</v>
      </c>
      <c r="B8" t="s">
        <v>204</v>
      </c>
      <c r="C8" t="s">
        <v>74</v>
      </c>
      <c r="D8" t="s">
        <v>74</v>
      </c>
      <c r="E8" t="s">
        <v>74</v>
      </c>
      <c r="F8" t="s">
        <v>205</v>
      </c>
      <c r="G8" t="s">
        <v>74</v>
      </c>
      <c r="H8" t="s">
        <v>74</v>
      </c>
      <c r="I8" t="s">
        <v>206</v>
      </c>
      <c r="J8" t="s">
        <v>207</v>
      </c>
      <c r="K8" t="s">
        <v>74</v>
      </c>
      <c r="L8" t="s">
        <v>74</v>
      </c>
      <c r="M8" t="s">
        <v>78</v>
      </c>
      <c r="N8" t="s">
        <v>79</v>
      </c>
      <c r="O8" t="s">
        <v>74</v>
      </c>
      <c r="P8" t="s">
        <v>74</v>
      </c>
      <c r="Q8" t="s">
        <v>74</v>
      </c>
      <c r="R8" t="s">
        <v>74</v>
      </c>
      <c r="S8" t="s">
        <v>74</v>
      </c>
      <c r="T8" t="s">
        <v>208</v>
      </c>
      <c r="U8" t="s">
        <v>209</v>
      </c>
      <c r="V8" t="s">
        <v>210</v>
      </c>
      <c r="W8" t="s">
        <v>211</v>
      </c>
      <c r="X8" t="s">
        <v>212</v>
      </c>
      <c r="Y8" t="s">
        <v>213</v>
      </c>
      <c r="Z8" t="s">
        <v>214</v>
      </c>
      <c r="AA8" t="s">
        <v>215</v>
      </c>
      <c r="AB8" t="s">
        <v>216</v>
      </c>
      <c r="AC8" t="s">
        <v>217</v>
      </c>
      <c r="AD8" t="s">
        <v>218</v>
      </c>
      <c r="AE8" t="s">
        <v>219</v>
      </c>
      <c r="AF8" t="s">
        <v>74</v>
      </c>
      <c r="AG8">
        <v>38</v>
      </c>
      <c r="AH8">
        <v>6</v>
      </c>
      <c r="AI8">
        <v>6</v>
      </c>
      <c r="AJ8">
        <v>0</v>
      </c>
      <c r="AK8">
        <v>25</v>
      </c>
      <c r="AL8" t="s">
        <v>220</v>
      </c>
      <c r="AM8" t="s">
        <v>221</v>
      </c>
      <c r="AN8" t="s">
        <v>222</v>
      </c>
      <c r="AO8" t="s">
        <v>223</v>
      </c>
      <c r="AP8" t="s">
        <v>74</v>
      </c>
      <c r="AQ8" t="s">
        <v>74</v>
      </c>
      <c r="AR8" t="s">
        <v>207</v>
      </c>
      <c r="AS8" t="s">
        <v>224</v>
      </c>
      <c r="AT8" t="s">
        <v>97</v>
      </c>
      <c r="AU8">
        <v>2012</v>
      </c>
      <c r="AV8">
        <v>22</v>
      </c>
      <c r="AW8">
        <v>1</v>
      </c>
      <c r="AX8" t="s">
        <v>74</v>
      </c>
      <c r="AY8" t="s">
        <v>74</v>
      </c>
      <c r="AZ8" t="s">
        <v>74</v>
      </c>
      <c r="BA8" t="s">
        <v>74</v>
      </c>
      <c r="BB8">
        <v>63</v>
      </c>
      <c r="BC8">
        <v>69</v>
      </c>
      <c r="BD8" t="s">
        <v>74</v>
      </c>
      <c r="BE8" t="s">
        <v>225</v>
      </c>
      <c r="BF8" t="str">
        <f>HYPERLINK("http://dx.doi.org/10.1177/0959683611409773","http://dx.doi.org/10.1177/0959683611409773")</f>
        <v>http://dx.doi.org/10.1177/0959683611409773</v>
      </c>
      <c r="BG8" t="s">
        <v>74</v>
      </c>
      <c r="BH8" t="s">
        <v>74</v>
      </c>
      <c r="BI8">
        <v>7</v>
      </c>
      <c r="BJ8" t="s">
        <v>226</v>
      </c>
      <c r="BK8" t="s">
        <v>100</v>
      </c>
      <c r="BL8" t="s">
        <v>227</v>
      </c>
      <c r="BM8" t="s">
        <v>228</v>
      </c>
      <c r="BN8" t="s">
        <v>74</v>
      </c>
      <c r="BO8" t="s">
        <v>74</v>
      </c>
      <c r="BP8" t="s">
        <v>74</v>
      </c>
      <c r="BQ8" t="s">
        <v>74</v>
      </c>
      <c r="BR8" t="s">
        <v>102</v>
      </c>
      <c r="BS8" t="s">
        <v>229</v>
      </c>
      <c r="BT8" t="str">
        <f>HYPERLINK("https%3A%2F%2Fwww.webofscience.com%2Fwos%2Fwoscc%2Ffull-record%2FWOS:000298353900007","View Full Record in Web of Science")</f>
        <v>View Full Record in Web of Science</v>
      </c>
    </row>
    <row r="9" spans="1:72" x14ac:dyDescent="0.15">
      <c r="A9" t="s">
        <v>72</v>
      </c>
      <c r="B9" t="s">
        <v>230</v>
      </c>
      <c r="C9" t="s">
        <v>74</v>
      </c>
      <c r="D9" t="s">
        <v>74</v>
      </c>
      <c r="E9" t="s">
        <v>74</v>
      </c>
      <c r="F9" t="s">
        <v>231</v>
      </c>
      <c r="G9" t="s">
        <v>74</v>
      </c>
      <c r="H9" t="s">
        <v>74</v>
      </c>
      <c r="I9" t="s">
        <v>232</v>
      </c>
      <c r="J9" t="s">
        <v>233</v>
      </c>
      <c r="K9" t="s">
        <v>74</v>
      </c>
      <c r="L9" t="s">
        <v>74</v>
      </c>
      <c r="M9" t="s">
        <v>78</v>
      </c>
      <c r="N9" t="s">
        <v>234</v>
      </c>
      <c r="O9" t="s">
        <v>235</v>
      </c>
      <c r="P9" t="s">
        <v>236</v>
      </c>
      <c r="Q9" t="s">
        <v>237</v>
      </c>
      <c r="R9" t="s">
        <v>74</v>
      </c>
      <c r="S9" t="s">
        <v>74</v>
      </c>
      <c r="T9" t="s">
        <v>238</v>
      </c>
      <c r="U9" t="s">
        <v>239</v>
      </c>
      <c r="V9" t="s">
        <v>240</v>
      </c>
      <c r="W9" t="s">
        <v>241</v>
      </c>
      <c r="X9" t="s">
        <v>242</v>
      </c>
      <c r="Y9" t="s">
        <v>243</v>
      </c>
      <c r="Z9" t="s">
        <v>244</v>
      </c>
      <c r="AA9" t="s">
        <v>245</v>
      </c>
      <c r="AB9" t="s">
        <v>246</v>
      </c>
      <c r="AC9" t="s">
        <v>247</v>
      </c>
      <c r="AD9" t="s">
        <v>248</v>
      </c>
      <c r="AE9" t="s">
        <v>249</v>
      </c>
      <c r="AF9" t="s">
        <v>74</v>
      </c>
      <c r="AG9">
        <v>19</v>
      </c>
      <c r="AH9">
        <v>0</v>
      </c>
      <c r="AI9">
        <v>1</v>
      </c>
      <c r="AJ9">
        <v>0</v>
      </c>
      <c r="AK9">
        <v>2</v>
      </c>
      <c r="AL9" t="s">
        <v>250</v>
      </c>
      <c r="AM9" t="s">
        <v>251</v>
      </c>
      <c r="AN9" t="s">
        <v>252</v>
      </c>
      <c r="AO9" t="s">
        <v>253</v>
      </c>
      <c r="AP9" t="s">
        <v>254</v>
      </c>
      <c r="AQ9" t="s">
        <v>74</v>
      </c>
      <c r="AR9" t="s">
        <v>255</v>
      </c>
      <c r="AS9" t="s">
        <v>256</v>
      </c>
      <c r="AT9" t="s">
        <v>97</v>
      </c>
      <c r="AU9">
        <v>2012</v>
      </c>
      <c r="AV9">
        <v>291</v>
      </c>
      <c r="AW9">
        <v>1</v>
      </c>
      <c r="AX9" t="s">
        <v>74</v>
      </c>
      <c r="AY9" t="s">
        <v>74</v>
      </c>
      <c r="AZ9" t="s">
        <v>74</v>
      </c>
      <c r="BA9" t="s">
        <v>74</v>
      </c>
      <c r="BB9">
        <v>213</v>
      </c>
      <c r="BC9">
        <v>216</v>
      </c>
      <c r="BD9" t="s">
        <v>74</v>
      </c>
      <c r="BE9" t="s">
        <v>257</v>
      </c>
      <c r="BF9" t="str">
        <f>HYPERLINK("http://dx.doi.org/10.1007/s10967-011-1312-7","http://dx.doi.org/10.1007/s10967-011-1312-7")</f>
        <v>http://dx.doi.org/10.1007/s10967-011-1312-7</v>
      </c>
      <c r="BG9" t="s">
        <v>74</v>
      </c>
      <c r="BH9" t="s">
        <v>74</v>
      </c>
      <c r="BI9">
        <v>4</v>
      </c>
      <c r="BJ9" t="s">
        <v>258</v>
      </c>
      <c r="BK9" t="s">
        <v>259</v>
      </c>
      <c r="BL9" t="s">
        <v>260</v>
      </c>
      <c r="BM9" t="s">
        <v>261</v>
      </c>
      <c r="BN9" t="s">
        <v>74</v>
      </c>
      <c r="BO9" t="s">
        <v>74</v>
      </c>
      <c r="BP9" t="s">
        <v>74</v>
      </c>
      <c r="BQ9" t="s">
        <v>74</v>
      </c>
      <c r="BR9" t="s">
        <v>102</v>
      </c>
      <c r="BS9" t="s">
        <v>262</v>
      </c>
      <c r="BT9" t="str">
        <f>HYPERLINK("https%3A%2F%2Fwww.webofscience.com%2Fwos%2Fwoscc%2Ffull-record%2FWOS:000298010800037","View Full Record in Web of Science")</f>
        <v>View Full Record in Web of Science</v>
      </c>
    </row>
    <row r="10" spans="1:72" x14ac:dyDescent="0.15">
      <c r="A10" t="s">
        <v>72</v>
      </c>
      <c r="B10" t="s">
        <v>263</v>
      </c>
      <c r="C10" t="s">
        <v>74</v>
      </c>
      <c r="D10" t="s">
        <v>74</v>
      </c>
      <c r="E10" t="s">
        <v>74</v>
      </c>
      <c r="F10" t="s">
        <v>264</v>
      </c>
      <c r="G10" t="s">
        <v>74</v>
      </c>
      <c r="H10" t="s">
        <v>74</v>
      </c>
      <c r="I10" t="s">
        <v>265</v>
      </c>
      <c r="J10" t="s">
        <v>266</v>
      </c>
      <c r="K10" t="s">
        <v>74</v>
      </c>
      <c r="L10" t="s">
        <v>74</v>
      </c>
      <c r="M10" t="s">
        <v>78</v>
      </c>
      <c r="N10" t="s">
        <v>79</v>
      </c>
      <c r="O10" t="s">
        <v>74</v>
      </c>
      <c r="P10" t="s">
        <v>74</v>
      </c>
      <c r="Q10" t="s">
        <v>74</v>
      </c>
      <c r="R10" t="s">
        <v>74</v>
      </c>
      <c r="S10" t="s">
        <v>74</v>
      </c>
      <c r="T10" t="s">
        <v>267</v>
      </c>
      <c r="U10" t="s">
        <v>268</v>
      </c>
      <c r="V10" t="s">
        <v>269</v>
      </c>
      <c r="W10" t="s">
        <v>270</v>
      </c>
      <c r="X10" t="s">
        <v>271</v>
      </c>
      <c r="Y10" t="s">
        <v>272</v>
      </c>
      <c r="Z10" t="s">
        <v>273</v>
      </c>
      <c r="AA10" t="s">
        <v>274</v>
      </c>
      <c r="AB10" t="s">
        <v>275</v>
      </c>
      <c r="AC10" t="s">
        <v>276</v>
      </c>
      <c r="AD10" t="s">
        <v>277</v>
      </c>
      <c r="AE10" t="s">
        <v>278</v>
      </c>
      <c r="AF10" t="s">
        <v>74</v>
      </c>
      <c r="AG10">
        <v>30</v>
      </c>
      <c r="AH10">
        <v>26</v>
      </c>
      <c r="AI10">
        <v>33</v>
      </c>
      <c r="AJ10">
        <v>5</v>
      </c>
      <c r="AK10">
        <v>32</v>
      </c>
      <c r="AL10" t="s">
        <v>279</v>
      </c>
      <c r="AM10" t="s">
        <v>280</v>
      </c>
      <c r="AN10" t="s">
        <v>281</v>
      </c>
      <c r="AO10" t="s">
        <v>282</v>
      </c>
      <c r="AP10" t="s">
        <v>283</v>
      </c>
      <c r="AQ10" t="s">
        <v>74</v>
      </c>
      <c r="AR10" t="s">
        <v>284</v>
      </c>
      <c r="AS10" t="s">
        <v>285</v>
      </c>
      <c r="AT10" t="s">
        <v>97</v>
      </c>
      <c r="AU10">
        <v>2012</v>
      </c>
      <c r="AV10">
        <v>55</v>
      </c>
      <c r="AW10">
        <v>1</v>
      </c>
      <c r="AX10" t="s">
        <v>74</v>
      </c>
      <c r="AY10" t="s">
        <v>74</v>
      </c>
      <c r="AZ10" t="s">
        <v>74</v>
      </c>
      <c r="BA10" t="s">
        <v>74</v>
      </c>
      <c r="BB10">
        <v>76</v>
      </c>
      <c r="BC10">
        <v>82</v>
      </c>
      <c r="BD10" t="s">
        <v>74</v>
      </c>
      <c r="BE10" t="s">
        <v>286</v>
      </c>
      <c r="BF10" t="str">
        <f>HYPERLINK("http://dx.doi.org/10.1007/s11430-011-4275-1","http://dx.doi.org/10.1007/s11430-011-4275-1")</f>
        <v>http://dx.doi.org/10.1007/s11430-011-4275-1</v>
      </c>
      <c r="BG10" t="s">
        <v>74</v>
      </c>
      <c r="BH10" t="s">
        <v>74</v>
      </c>
      <c r="BI10">
        <v>7</v>
      </c>
      <c r="BJ10" t="s">
        <v>287</v>
      </c>
      <c r="BK10" t="s">
        <v>100</v>
      </c>
      <c r="BL10" t="s">
        <v>288</v>
      </c>
      <c r="BM10" t="s">
        <v>289</v>
      </c>
      <c r="BN10" t="s">
        <v>74</v>
      </c>
      <c r="BO10" t="s">
        <v>74</v>
      </c>
      <c r="BP10" t="s">
        <v>74</v>
      </c>
      <c r="BQ10" t="s">
        <v>74</v>
      </c>
      <c r="BR10" t="s">
        <v>102</v>
      </c>
      <c r="BS10" t="s">
        <v>290</v>
      </c>
      <c r="BT10" t="str">
        <f>HYPERLINK("https%3A%2F%2Fwww.webofscience.com%2Fwos%2Fwoscc%2Ffull-record%2FWOS:000298967300008","View Full Record in Web of Science")</f>
        <v>View Full Record in Web of Science</v>
      </c>
    </row>
    <row r="11" spans="1:72" x14ac:dyDescent="0.15">
      <c r="A11" t="s">
        <v>72</v>
      </c>
      <c r="B11" t="s">
        <v>291</v>
      </c>
      <c r="C11" t="s">
        <v>74</v>
      </c>
      <c r="D11" t="s">
        <v>74</v>
      </c>
      <c r="E11" t="s">
        <v>74</v>
      </c>
      <c r="F11" t="s">
        <v>292</v>
      </c>
      <c r="G11" t="s">
        <v>74</v>
      </c>
      <c r="H11" t="s">
        <v>74</v>
      </c>
      <c r="I11" t="s">
        <v>293</v>
      </c>
      <c r="J11" t="s">
        <v>294</v>
      </c>
      <c r="K11" t="s">
        <v>74</v>
      </c>
      <c r="L11" t="s">
        <v>74</v>
      </c>
      <c r="M11" t="s">
        <v>78</v>
      </c>
      <c r="N11" t="s">
        <v>79</v>
      </c>
      <c r="O11" t="s">
        <v>74</v>
      </c>
      <c r="P11" t="s">
        <v>74</v>
      </c>
      <c r="Q11" t="s">
        <v>74</v>
      </c>
      <c r="R11" t="s">
        <v>74</v>
      </c>
      <c r="S11" t="s">
        <v>74</v>
      </c>
      <c r="T11" t="s">
        <v>295</v>
      </c>
      <c r="U11" t="s">
        <v>296</v>
      </c>
      <c r="V11" t="s">
        <v>297</v>
      </c>
      <c r="W11" t="s">
        <v>298</v>
      </c>
      <c r="X11" t="s">
        <v>299</v>
      </c>
      <c r="Y11" t="s">
        <v>300</v>
      </c>
      <c r="Z11" t="s">
        <v>301</v>
      </c>
      <c r="AA11" t="s">
        <v>302</v>
      </c>
      <c r="AB11" t="s">
        <v>303</v>
      </c>
      <c r="AC11" t="s">
        <v>304</v>
      </c>
      <c r="AD11" t="s">
        <v>305</v>
      </c>
      <c r="AE11" t="s">
        <v>306</v>
      </c>
      <c r="AF11" t="s">
        <v>74</v>
      </c>
      <c r="AG11">
        <v>97</v>
      </c>
      <c r="AH11">
        <v>17</v>
      </c>
      <c r="AI11">
        <v>17</v>
      </c>
      <c r="AJ11">
        <v>0</v>
      </c>
      <c r="AK11">
        <v>15</v>
      </c>
      <c r="AL11" t="s">
        <v>307</v>
      </c>
      <c r="AM11" t="s">
        <v>156</v>
      </c>
      <c r="AN11" t="s">
        <v>308</v>
      </c>
      <c r="AO11" t="s">
        <v>309</v>
      </c>
      <c r="AP11" t="s">
        <v>310</v>
      </c>
      <c r="AQ11" t="s">
        <v>74</v>
      </c>
      <c r="AR11" t="s">
        <v>311</v>
      </c>
      <c r="AS11" t="s">
        <v>312</v>
      </c>
      <c r="AT11" t="s">
        <v>97</v>
      </c>
      <c r="AU11">
        <v>2012</v>
      </c>
      <c r="AV11">
        <v>105</v>
      </c>
      <c r="AW11">
        <v>1</v>
      </c>
      <c r="AX11" t="s">
        <v>74</v>
      </c>
      <c r="AY11" t="s">
        <v>74</v>
      </c>
      <c r="AZ11" t="s">
        <v>74</v>
      </c>
      <c r="BA11" t="s">
        <v>74</v>
      </c>
      <c r="BB11">
        <v>131</v>
      </c>
      <c r="BC11">
        <v>145</v>
      </c>
      <c r="BD11" t="s">
        <v>74</v>
      </c>
      <c r="BE11" t="s">
        <v>313</v>
      </c>
      <c r="BF11" t="str">
        <f>HYPERLINK("http://dx.doi.org/10.1111/j.1095-8312.2011.01770.x","http://dx.doi.org/10.1111/j.1095-8312.2011.01770.x")</f>
        <v>http://dx.doi.org/10.1111/j.1095-8312.2011.01770.x</v>
      </c>
      <c r="BG11" t="s">
        <v>74</v>
      </c>
      <c r="BH11" t="s">
        <v>74</v>
      </c>
      <c r="BI11">
        <v>15</v>
      </c>
      <c r="BJ11" t="s">
        <v>314</v>
      </c>
      <c r="BK11" t="s">
        <v>100</v>
      </c>
      <c r="BL11" t="s">
        <v>314</v>
      </c>
      <c r="BM11" t="s">
        <v>315</v>
      </c>
      <c r="BN11" t="s">
        <v>74</v>
      </c>
      <c r="BO11" t="s">
        <v>316</v>
      </c>
      <c r="BP11" t="s">
        <v>74</v>
      </c>
      <c r="BQ11" t="s">
        <v>74</v>
      </c>
      <c r="BR11" t="s">
        <v>102</v>
      </c>
      <c r="BS11" t="s">
        <v>317</v>
      </c>
      <c r="BT11" t="str">
        <f>HYPERLINK("https%3A%2F%2Fwww.webofscience.com%2Fwos%2Fwoscc%2Ffull-record%2FWOS:000297740100009","View Full Record in Web of Science")</f>
        <v>View Full Record in Web of Science</v>
      </c>
    </row>
    <row r="12" spans="1:72" x14ac:dyDescent="0.15">
      <c r="A12" t="s">
        <v>72</v>
      </c>
      <c r="B12" t="s">
        <v>318</v>
      </c>
      <c r="C12" t="s">
        <v>74</v>
      </c>
      <c r="D12" t="s">
        <v>74</v>
      </c>
      <c r="E12" t="s">
        <v>74</v>
      </c>
      <c r="F12" t="s">
        <v>319</v>
      </c>
      <c r="G12" t="s">
        <v>74</v>
      </c>
      <c r="H12" t="s">
        <v>74</v>
      </c>
      <c r="I12" t="s">
        <v>320</v>
      </c>
      <c r="J12" t="s">
        <v>321</v>
      </c>
      <c r="K12" t="s">
        <v>74</v>
      </c>
      <c r="L12" t="s">
        <v>74</v>
      </c>
      <c r="M12" t="s">
        <v>78</v>
      </c>
      <c r="N12" t="s">
        <v>79</v>
      </c>
      <c r="O12" t="s">
        <v>74</v>
      </c>
      <c r="P12" t="s">
        <v>74</v>
      </c>
      <c r="Q12" t="s">
        <v>74</v>
      </c>
      <c r="R12" t="s">
        <v>74</v>
      </c>
      <c r="S12" t="s">
        <v>74</v>
      </c>
      <c r="T12" t="s">
        <v>322</v>
      </c>
      <c r="U12" t="s">
        <v>74</v>
      </c>
      <c r="V12" t="s">
        <v>323</v>
      </c>
      <c r="W12" t="s">
        <v>324</v>
      </c>
      <c r="X12" t="s">
        <v>325</v>
      </c>
      <c r="Y12" t="s">
        <v>326</v>
      </c>
      <c r="Z12" t="s">
        <v>327</v>
      </c>
      <c r="AA12" t="s">
        <v>328</v>
      </c>
      <c r="AB12" t="s">
        <v>329</v>
      </c>
      <c r="AC12" t="s">
        <v>330</v>
      </c>
      <c r="AD12" t="s">
        <v>331</v>
      </c>
      <c r="AE12" t="s">
        <v>332</v>
      </c>
      <c r="AF12" t="s">
        <v>74</v>
      </c>
      <c r="AG12">
        <v>28</v>
      </c>
      <c r="AH12">
        <v>20</v>
      </c>
      <c r="AI12">
        <v>20</v>
      </c>
      <c r="AJ12">
        <v>0</v>
      </c>
      <c r="AK12">
        <v>11</v>
      </c>
      <c r="AL12" t="s">
        <v>333</v>
      </c>
      <c r="AM12" t="s">
        <v>334</v>
      </c>
      <c r="AN12" t="s">
        <v>335</v>
      </c>
      <c r="AO12" t="s">
        <v>336</v>
      </c>
      <c r="AP12" t="s">
        <v>337</v>
      </c>
      <c r="AQ12" t="s">
        <v>74</v>
      </c>
      <c r="AR12" t="s">
        <v>321</v>
      </c>
      <c r="AS12" t="s">
        <v>338</v>
      </c>
      <c r="AT12" t="s">
        <v>162</v>
      </c>
      <c r="AU12">
        <v>2012</v>
      </c>
      <c r="AV12">
        <v>136</v>
      </c>
      <c r="AW12">
        <v>1</v>
      </c>
      <c r="AX12" t="s">
        <v>74</v>
      </c>
      <c r="AY12" t="s">
        <v>74</v>
      </c>
      <c r="AZ12" t="s">
        <v>339</v>
      </c>
      <c r="BA12" t="s">
        <v>74</v>
      </c>
      <c r="BB12">
        <v>6</v>
      </c>
      <c r="BC12">
        <v>14</v>
      </c>
      <c r="BD12" t="s">
        <v>74</v>
      </c>
      <c r="BE12" t="s">
        <v>340</v>
      </c>
      <c r="BF12" t="str">
        <f>HYPERLINK("http://dx.doi.org/10.1016/j.geomorph.2011.06.017","http://dx.doi.org/10.1016/j.geomorph.2011.06.017")</f>
        <v>http://dx.doi.org/10.1016/j.geomorph.2011.06.017</v>
      </c>
      <c r="BG12" t="s">
        <v>74</v>
      </c>
      <c r="BH12" t="s">
        <v>74</v>
      </c>
      <c r="BI12">
        <v>9</v>
      </c>
      <c r="BJ12" t="s">
        <v>226</v>
      </c>
      <c r="BK12" t="s">
        <v>100</v>
      </c>
      <c r="BL12" t="s">
        <v>227</v>
      </c>
      <c r="BM12" t="s">
        <v>341</v>
      </c>
      <c r="BN12" t="s">
        <v>74</v>
      </c>
      <c r="BO12" t="s">
        <v>342</v>
      </c>
      <c r="BP12" t="s">
        <v>74</v>
      </c>
      <c r="BQ12" t="s">
        <v>74</v>
      </c>
      <c r="BR12" t="s">
        <v>102</v>
      </c>
      <c r="BS12" t="s">
        <v>343</v>
      </c>
      <c r="BT12" t="str">
        <f>HYPERLINK("https%3A%2F%2Fwww.webofscience.com%2Fwos%2Fwoscc%2Ffull-record%2FWOS:000297872900002","View Full Record in Web of Science")</f>
        <v>View Full Record in Web of Science</v>
      </c>
    </row>
    <row r="13" spans="1:72" x14ac:dyDescent="0.15">
      <c r="A13" t="s">
        <v>72</v>
      </c>
      <c r="B13" t="s">
        <v>344</v>
      </c>
      <c r="C13" t="s">
        <v>74</v>
      </c>
      <c r="D13" t="s">
        <v>74</v>
      </c>
      <c r="E13" t="s">
        <v>74</v>
      </c>
      <c r="F13" t="s">
        <v>345</v>
      </c>
      <c r="G13" t="s">
        <v>74</v>
      </c>
      <c r="H13" t="s">
        <v>74</v>
      </c>
      <c r="I13" t="s">
        <v>346</v>
      </c>
      <c r="J13" t="s">
        <v>347</v>
      </c>
      <c r="K13" t="s">
        <v>74</v>
      </c>
      <c r="L13" t="s">
        <v>74</v>
      </c>
      <c r="M13" t="s">
        <v>78</v>
      </c>
      <c r="N13" t="s">
        <v>79</v>
      </c>
      <c r="O13" t="s">
        <v>74</v>
      </c>
      <c r="P13" t="s">
        <v>74</v>
      </c>
      <c r="Q13" t="s">
        <v>74</v>
      </c>
      <c r="R13" t="s">
        <v>74</v>
      </c>
      <c r="S13" t="s">
        <v>74</v>
      </c>
      <c r="T13" t="s">
        <v>348</v>
      </c>
      <c r="U13" t="s">
        <v>349</v>
      </c>
      <c r="V13" t="s">
        <v>350</v>
      </c>
      <c r="W13" t="s">
        <v>351</v>
      </c>
      <c r="X13" t="s">
        <v>352</v>
      </c>
      <c r="Y13" t="s">
        <v>353</v>
      </c>
      <c r="Z13" t="s">
        <v>354</v>
      </c>
      <c r="AA13" t="s">
        <v>74</v>
      </c>
      <c r="AB13" t="s">
        <v>355</v>
      </c>
      <c r="AC13" t="s">
        <v>356</v>
      </c>
      <c r="AD13" t="s">
        <v>357</v>
      </c>
      <c r="AE13" t="s">
        <v>358</v>
      </c>
      <c r="AF13" t="s">
        <v>74</v>
      </c>
      <c r="AG13">
        <v>55</v>
      </c>
      <c r="AH13">
        <v>8</v>
      </c>
      <c r="AI13">
        <v>8</v>
      </c>
      <c r="AJ13">
        <v>0</v>
      </c>
      <c r="AK13">
        <v>16</v>
      </c>
      <c r="AL13" t="s">
        <v>307</v>
      </c>
      <c r="AM13" t="s">
        <v>156</v>
      </c>
      <c r="AN13" t="s">
        <v>308</v>
      </c>
      <c r="AO13" t="s">
        <v>359</v>
      </c>
      <c r="AP13" t="s">
        <v>74</v>
      </c>
      <c r="AQ13" t="s">
        <v>74</v>
      </c>
      <c r="AR13" t="s">
        <v>360</v>
      </c>
      <c r="AS13" t="s">
        <v>361</v>
      </c>
      <c r="AT13" t="s">
        <v>97</v>
      </c>
      <c r="AU13">
        <v>2012</v>
      </c>
      <c r="AV13">
        <v>69</v>
      </c>
      <c r="AW13">
        <v>1</v>
      </c>
      <c r="AX13" t="s">
        <v>74</v>
      </c>
      <c r="AY13" t="s">
        <v>74</v>
      </c>
      <c r="AZ13" t="s">
        <v>74</v>
      </c>
      <c r="BA13" t="s">
        <v>74</v>
      </c>
      <c r="BB13">
        <v>119</v>
      </c>
      <c r="BC13">
        <v>130</v>
      </c>
      <c r="BD13" t="s">
        <v>74</v>
      </c>
      <c r="BE13" t="s">
        <v>362</v>
      </c>
      <c r="BF13" t="str">
        <f>HYPERLINK("http://dx.doi.org/10.1093/icesjms/fsr170","http://dx.doi.org/10.1093/icesjms/fsr170")</f>
        <v>http://dx.doi.org/10.1093/icesjms/fsr170</v>
      </c>
      <c r="BG13" t="s">
        <v>74</v>
      </c>
      <c r="BH13" t="s">
        <v>74</v>
      </c>
      <c r="BI13">
        <v>12</v>
      </c>
      <c r="BJ13" t="s">
        <v>363</v>
      </c>
      <c r="BK13" t="s">
        <v>100</v>
      </c>
      <c r="BL13" t="s">
        <v>363</v>
      </c>
      <c r="BM13" t="s">
        <v>364</v>
      </c>
      <c r="BN13" t="s">
        <v>74</v>
      </c>
      <c r="BO13" t="s">
        <v>365</v>
      </c>
      <c r="BP13" t="s">
        <v>74</v>
      </c>
      <c r="BQ13" t="s">
        <v>74</v>
      </c>
      <c r="BR13" t="s">
        <v>102</v>
      </c>
      <c r="BS13" t="s">
        <v>366</v>
      </c>
      <c r="BT13" t="str">
        <f>HYPERLINK("https%3A%2F%2Fwww.webofscience.com%2Fwos%2Fwoscc%2Ffull-record%2FWOS:000297867300015","View Full Record in Web of Science")</f>
        <v>View Full Record in Web of Science</v>
      </c>
    </row>
    <row r="14" spans="1:72" x14ac:dyDescent="0.15">
      <c r="A14" t="s">
        <v>72</v>
      </c>
      <c r="B14" t="s">
        <v>367</v>
      </c>
      <c r="C14" t="s">
        <v>74</v>
      </c>
      <c r="D14" t="s">
        <v>74</v>
      </c>
      <c r="E14" t="s">
        <v>74</v>
      </c>
      <c r="F14" t="s">
        <v>368</v>
      </c>
      <c r="G14" t="s">
        <v>74</v>
      </c>
      <c r="H14" t="s">
        <v>74</v>
      </c>
      <c r="I14" t="s">
        <v>369</v>
      </c>
      <c r="J14" t="s">
        <v>370</v>
      </c>
      <c r="K14" t="s">
        <v>74</v>
      </c>
      <c r="L14" t="s">
        <v>74</v>
      </c>
      <c r="M14" t="s">
        <v>78</v>
      </c>
      <c r="N14" t="s">
        <v>79</v>
      </c>
      <c r="O14" t="s">
        <v>74</v>
      </c>
      <c r="P14" t="s">
        <v>74</v>
      </c>
      <c r="Q14" t="s">
        <v>74</v>
      </c>
      <c r="R14" t="s">
        <v>74</v>
      </c>
      <c r="S14" t="s">
        <v>74</v>
      </c>
      <c r="T14" t="s">
        <v>371</v>
      </c>
      <c r="U14" t="s">
        <v>372</v>
      </c>
      <c r="V14" t="s">
        <v>373</v>
      </c>
      <c r="W14" t="s">
        <v>374</v>
      </c>
      <c r="X14" t="s">
        <v>375</v>
      </c>
      <c r="Y14" t="s">
        <v>376</v>
      </c>
      <c r="Z14" t="s">
        <v>377</v>
      </c>
      <c r="AA14" t="s">
        <v>378</v>
      </c>
      <c r="AB14" t="s">
        <v>379</v>
      </c>
      <c r="AC14" t="s">
        <v>380</v>
      </c>
      <c r="AD14" t="s">
        <v>380</v>
      </c>
      <c r="AE14" t="s">
        <v>381</v>
      </c>
      <c r="AF14" t="s">
        <v>74</v>
      </c>
      <c r="AG14">
        <v>17</v>
      </c>
      <c r="AH14">
        <v>27</v>
      </c>
      <c r="AI14">
        <v>29</v>
      </c>
      <c r="AJ14">
        <v>0</v>
      </c>
      <c r="AK14">
        <v>43</v>
      </c>
      <c r="AL14" t="s">
        <v>382</v>
      </c>
      <c r="AM14" t="s">
        <v>383</v>
      </c>
      <c r="AN14" t="s">
        <v>384</v>
      </c>
      <c r="AO14" t="s">
        <v>385</v>
      </c>
      <c r="AP14" t="s">
        <v>74</v>
      </c>
      <c r="AQ14" t="s">
        <v>74</v>
      </c>
      <c r="AR14" t="s">
        <v>386</v>
      </c>
      <c r="AS14" t="s">
        <v>387</v>
      </c>
      <c r="AT14" t="s">
        <v>388</v>
      </c>
      <c r="AU14">
        <v>2012</v>
      </c>
      <c r="AV14">
        <v>103</v>
      </c>
      <c r="AW14">
        <v>1</v>
      </c>
      <c r="AX14" t="s">
        <v>74</v>
      </c>
      <c r="AY14" t="s">
        <v>74</v>
      </c>
      <c r="AZ14" t="s">
        <v>74</v>
      </c>
      <c r="BA14" t="s">
        <v>74</v>
      </c>
      <c r="BB14">
        <v>130</v>
      </c>
      <c r="BC14">
        <v>133</v>
      </c>
      <c r="BD14" t="s">
        <v>74</v>
      </c>
      <c r="BE14" t="s">
        <v>389</v>
      </c>
      <c r="BF14" t="str">
        <f>HYPERLINK("http://dx.doi.org/10.1093/jhered/esr108","http://dx.doi.org/10.1093/jhered/esr108")</f>
        <v>http://dx.doi.org/10.1093/jhered/esr108</v>
      </c>
      <c r="BG14" t="s">
        <v>74</v>
      </c>
      <c r="BH14" t="s">
        <v>74</v>
      </c>
      <c r="BI14">
        <v>4</v>
      </c>
      <c r="BJ14" t="s">
        <v>390</v>
      </c>
      <c r="BK14" t="s">
        <v>100</v>
      </c>
      <c r="BL14" t="s">
        <v>390</v>
      </c>
      <c r="BM14" t="s">
        <v>391</v>
      </c>
      <c r="BN14">
        <v>22140253</v>
      </c>
      <c r="BO14" t="s">
        <v>74</v>
      </c>
      <c r="BP14" t="s">
        <v>74</v>
      </c>
      <c r="BQ14" t="s">
        <v>74</v>
      </c>
      <c r="BR14" t="s">
        <v>102</v>
      </c>
      <c r="BS14" t="s">
        <v>392</v>
      </c>
      <c r="BT14" t="str">
        <f>HYPERLINK("https%3A%2F%2Fwww.webofscience.com%2Fwos%2Fwoscc%2Ffull-record%2FWOS:000297865400014","View Full Record in Web of Science")</f>
        <v>View Full Record in Web of Science</v>
      </c>
    </row>
    <row r="15" spans="1:72" x14ac:dyDescent="0.15">
      <c r="A15" t="s">
        <v>393</v>
      </c>
      <c r="B15" t="s">
        <v>394</v>
      </c>
      <c r="C15" t="s">
        <v>74</v>
      </c>
      <c r="D15" t="s">
        <v>74</v>
      </c>
      <c r="E15" t="s">
        <v>395</v>
      </c>
      <c r="F15" t="s">
        <v>396</v>
      </c>
      <c r="G15" t="s">
        <v>74</v>
      </c>
      <c r="H15" t="s">
        <v>74</v>
      </c>
      <c r="I15" t="s">
        <v>397</v>
      </c>
      <c r="J15" t="s">
        <v>398</v>
      </c>
      <c r="K15" t="s">
        <v>399</v>
      </c>
      <c r="L15" t="s">
        <v>74</v>
      </c>
      <c r="M15" t="s">
        <v>78</v>
      </c>
      <c r="N15" t="s">
        <v>400</v>
      </c>
      <c r="O15" t="s">
        <v>401</v>
      </c>
      <c r="P15" t="s">
        <v>402</v>
      </c>
      <c r="Q15" t="s">
        <v>403</v>
      </c>
      <c r="R15" t="s">
        <v>74</v>
      </c>
      <c r="S15" t="s">
        <v>404</v>
      </c>
      <c r="T15" t="s">
        <v>74</v>
      </c>
      <c r="U15" t="s">
        <v>74</v>
      </c>
      <c r="V15" t="s">
        <v>405</v>
      </c>
      <c r="W15" t="s">
        <v>406</v>
      </c>
      <c r="X15" t="s">
        <v>407</v>
      </c>
      <c r="Y15" t="s">
        <v>408</v>
      </c>
      <c r="Z15" t="s">
        <v>409</v>
      </c>
      <c r="AA15" t="s">
        <v>74</v>
      </c>
      <c r="AB15" t="s">
        <v>74</v>
      </c>
      <c r="AC15" t="s">
        <v>410</v>
      </c>
      <c r="AD15" t="s">
        <v>411</v>
      </c>
      <c r="AE15" t="s">
        <v>412</v>
      </c>
      <c r="AF15" t="s">
        <v>74</v>
      </c>
      <c r="AG15">
        <v>14</v>
      </c>
      <c r="AH15">
        <v>22</v>
      </c>
      <c r="AI15">
        <v>26</v>
      </c>
      <c r="AJ15">
        <v>0</v>
      </c>
      <c r="AK15">
        <v>1</v>
      </c>
      <c r="AL15" t="s">
        <v>395</v>
      </c>
      <c r="AM15" t="s">
        <v>413</v>
      </c>
      <c r="AN15" t="s">
        <v>414</v>
      </c>
      <c r="AO15" t="s">
        <v>415</v>
      </c>
      <c r="AP15" t="s">
        <v>74</v>
      </c>
      <c r="AQ15" t="s">
        <v>416</v>
      </c>
      <c r="AR15" t="s">
        <v>417</v>
      </c>
      <c r="AS15" t="s">
        <v>74</v>
      </c>
      <c r="AT15" t="s">
        <v>74</v>
      </c>
      <c r="AU15">
        <v>2012</v>
      </c>
      <c r="AV15" t="s">
        <v>74</v>
      </c>
      <c r="AW15" t="s">
        <v>74</v>
      </c>
      <c r="AX15" t="s">
        <v>74</v>
      </c>
      <c r="AY15" t="s">
        <v>74</v>
      </c>
      <c r="AZ15" t="s">
        <v>74</v>
      </c>
      <c r="BA15" t="s">
        <v>74</v>
      </c>
      <c r="BB15">
        <v>1530</v>
      </c>
      <c r="BC15">
        <v>1533</v>
      </c>
      <c r="BD15" t="s">
        <v>74</v>
      </c>
      <c r="BE15" t="s">
        <v>74</v>
      </c>
      <c r="BF15" t="s">
        <v>74</v>
      </c>
      <c r="BG15" t="s">
        <v>74</v>
      </c>
      <c r="BH15" t="s">
        <v>74</v>
      </c>
      <c r="BI15">
        <v>4</v>
      </c>
      <c r="BJ15" t="s">
        <v>418</v>
      </c>
      <c r="BK15" t="s">
        <v>419</v>
      </c>
      <c r="BL15" t="s">
        <v>420</v>
      </c>
      <c r="BM15" t="s">
        <v>421</v>
      </c>
      <c r="BN15" t="s">
        <v>74</v>
      </c>
      <c r="BO15" t="s">
        <v>74</v>
      </c>
      <c r="BP15" t="s">
        <v>74</v>
      </c>
      <c r="BQ15" t="s">
        <v>74</v>
      </c>
      <c r="BR15" t="s">
        <v>102</v>
      </c>
      <c r="BS15" t="s">
        <v>422</v>
      </c>
      <c r="BT15" t="str">
        <f>HYPERLINK("https%3A%2F%2Fwww.webofscience.com%2Fwos%2Fwoscc%2Ffull-record%2FWOS:000343660601153","View Full Record in Web of Science")</f>
        <v>View Full Record in Web of Science</v>
      </c>
    </row>
    <row r="16" spans="1:72" x14ac:dyDescent="0.15">
      <c r="A16" t="s">
        <v>393</v>
      </c>
      <c r="B16" t="s">
        <v>423</v>
      </c>
      <c r="C16" t="s">
        <v>74</v>
      </c>
      <c r="D16" t="s">
        <v>74</v>
      </c>
      <c r="E16" t="s">
        <v>395</v>
      </c>
      <c r="F16" t="s">
        <v>424</v>
      </c>
      <c r="G16" t="s">
        <v>74</v>
      </c>
      <c r="H16" t="s">
        <v>74</v>
      </c>
      <c r="I16" t="s">
        <v>425</v>
      </c>
      <c r="J16" t="s">
        <v>426</v>
      </c>
      <c r="K16" t="s">
        <v>427</v>
      </c>
      <c r="L16" t="s">
        <v>74</v>
      </c>
      <c r="M16" t="s">
        <v>78</v>
      </c>
      <c r="N16" t="s">
        <v>400</v>
      </c>
      <c r="O16" t="s">
        <v>428</v>
      </c>
      <c r="P16" t="s">
        <v>429</v>
      </c>
      <c r="Q16" t="s">
        <v>430</v>
      </c>
      <c r="R16" t="s">
        <v>74</v>
      </c>
      <c r="S16" t="s">
        <v>431</v>
      </c>
      <c r="T16" t="s">
        <v>74</v>
      </c>
      <c r="U16" t="s">
        <v>74</v>
      </c>
      <c r="V16" t="s">
        <v>432</v>
      </c>
      <c r="W16" t="s">
        <v>433</v>
      </c>
      <c r="X16" t="s">
        <v>434</v>
      </c>
      <c r="Y16" t="s">
        <v>435</v>
      </c>
      <c r="Z16" t="s">
        <v>436</v>
      </c>
      <c r="AA16" t="s">
        <v>437</v>
      </c>
      <c r="AB16" t="s">
        <v>438</v>
      </c>
      <c r="AC16" t="s">
        <v>74</v>
      </c>
      <c r="AD16" t="s">
        <v>74</v>
      </c>
      <c r="AE16" t="s">
        <v>74</v>
      </c>
      <c r="AF16" t="s">
        <v>74</v>
      </c>
      <c r="AG16">
        <v>1</v>
      </c>
      <c r="AH16">
        <v>0</v>
      </c>
      <c r="AI16">
        <v>0</v>
      </c>
      <c r="AJ16">
        <v>1</v>
      </c>
      <c r="AK16">
        <v>1</v>
      </c>
      <c r="AL16" t="s">
        <v>395</v>
      </c>
      <c r="AM16" t="s">
        <v>413</v>
      </c>
      <c r="AN16" t="s">
        <v>414</v>
      </c>
      <c r="AO16" t="s">
        <v>439</v>
      </c>
      <c r="AP16" t="s">
        <v>74</v>
      </c>
      <c r="AQ16" t="s">
        <v>440</v>
      </c>
      <c r="AR16" t="s">
        <v>441</v>
      </c>
      <c r="AS16" t="s">
        <v>74</v>
      </c>
      <c r="AT16" t="s">
        <v>74</v>
      </c>
      <c r="AU16">
        <v>2012</v>
      </c>
      <c r="AV16" t="s">
        <v>74</v>
      </c>
      <c r="AW16" t="s">
        <v>74</v>
      </c>
      <c r="AX16" t="s">
        <v>74</v>
      </c>
      <c r="AY16" t="s">
        <v>74</v>
      </c>
      <c r="AZ16" t="s">
        <v>74</v>
      </c>
      <c r="BA16" t="s">
        <v>74</v>
      </c>
      <c r="BB16" t="s">
        <v>74</v>
      </c>
      <c r="BC16" t="s">
        <v>74</v>
      </c>
      <c r="BD16" t="s">
        <v>74</v>
      </c>
      <c r="BE16" t="s">
        <v>74</v>
      </c>
      <c r="BF16" t="s">
        <v>74</v>
      </c>
      <c r="BG16" t="s">
        <v>74</v>
      </c>
      <c r="BH16" t="s">
        <v>74</v>
      </c>
      <c r="BI16">
        <v>2</v>
      </c>
      <c r="BJ16" t="s">
        <v>442</v>
      </c>
      <c r="BK16" t="s">
        <v>419</v>
      </c>
      <c r="BL16" t="s">
        <v>443</v>
      </c>
      <c r="BM16" t="s">
        <v>444</v>
      </c>
      <c r="BN16" t="s">
        <v>74</v>
      </c>
      <c r="BO16" t="s">
        <v>74</v>
      </c>
      <c r="BP16" t="s">
        <v>74</v>
      </c>
      <c r="BQ16" t="s">
        <v>74</v>
      </c>
      <c r="BR16" t="s">
        <v>102</v>
      </c>
      <c r="BS16" t="s">
        <v>445</v>
      </c>
      <c r="BT16" t="str">
        <f>HYPERLINK("https%3A%2F%2Fwww.webofscience.com%2Fwos%2Fwoscc%2Ffull-record%2FWOS:000330301800341","View Full Record in Web of Science")</f>
        <v>View Full Record in Web of Science</v>
      </c>
    </row>
    <row r="17" spans="1:72" x14ac:dyDescent="0.15">
      <c r="A17" t="s">
        <v>393</v>
      </c>
      <c r="B17" t="s">
        <v>446</v>
      </c>
      <c r="C17" t="s">
        <v>74</v>
      </c>
      <c r="D17" t="s">
        <v>74</v>
      </c>
      <c r="E17" t="s">
        <v>447</v>
      </c>
      <c r="F17" t="s">
        <v>448</v>
      </c>
      <c r="G17" t="s">
        <v>74</v>
      </c>
      <c r="H17" t="s">
        <v>74</v>
      </c>
      <c r="I17" t="s">
        <v>449</v>
      </c>
      <c r="J17" t="s">
        <v>450</v>
      </c>
      <c r="K17" t="s">
        <v>74</v>
      </c>
      <c r="L17" t="s">
        <v>74</v>
      </c>
      <c r="M17" t="s">
        <v>451</v>
      </c>
      <c r="N17" t="s">
        <v>400</v>
      </c>
      <c r="O17" t="s">
        <v>452</v>
      </c>
      <c r="P17" t="s">
        <v>453</v>
      </c>
      <c r="Q17" t="s">
        <v>454</v>
      </c>
      <c r="R17" t="s">
        <v>74</v>
      </c>
      <c r="S17" t="s">
        <v>74</v>
      </c>
      <c r="T17" t="s">
        <v>74</v>
      </c>
      <c r="U17" t="s">
        <v>74</v>
      </c>
      <c r="V17" t="s">
        <v>455</v>
      </c>
      <c r="W17" t="s">
        <v>456</v>
      </c>
      <c r="X17" t="s">
        <v>457</v>
      </c>
      <c r="Y17" t="s">
        <v>458</v>
      </c>
      <c r="Z17" t="s">
        <v>74</v>
      </c>
      <c r="AA17" t="s">
        <v>459</v>
      </c>
      <c r="AB17" t="s">
        <v>74</v>
      </c>
      <c r="AC17" t="s">
        <v>74</v>
      </c>
      <c r="AD17" t="s">
        <v>74</v>
      </c>
      <c r="AE17" t="s">
        <v>74</v>
      </c>
      <c r="AF17" t="s">
        <v>74</v>
      </c>
      <c r="AG17">
        <v>0</v>
      </c>
      <c r="AH17">
        <v>1</v>
      </c>
      <c r="AI17">
        <v>1</v>
      </c>
      <c r="AJ17">
        <v>0</v>
      </c>
      <c r="AK17">
        <v>3</v>
      </c>
      <c r="AL17" t="s">
        <v>460</v>
      </c>
      <c r="AM17" t="s">
        <v>461</v>
      </c>
      <c r="AN17" t="s">
        <v>462</v>
      </c>
      <c r="AO17" t="s">
        <v>74</v>
      </c>
      <c r="AP17" t="s">
        <v>74</v>
      </c>
      <c r="AQ17" t="s">
        <v>74</v>
      </c>
      <c r="AR17" t="s">
        <v>74</v>
      </c>
      <c r="AS17" t="s">
        <v>74</v>
      </c>
      <c r="AT17" t="s">
        <v>74</v>
      </c>
      <c r="AU17">
        <v>2012</v>
      </c>
      <c r="AV17" t="s">
        <v>74</v>
      </c>
      <c r="AW17" t="s">
        <v>74</v>
      </c>
      <c r="AX17" t="s">
        <v>74</v>
      </c>
      <c r="AY17" t="s">
        <v>74</v>
      </c>
      <c r="AZ17" t="s">
        <v>74</v>
      </c>
      <c r="BA17" t="s">
        <v>74</v>
      </c>
      <c r="BB17">
        <v>57</v>
      </c>
      <c r="BC17">
        <v>58</v>
      </c>
      <c r="BD17" t="s">
        <v>74</v>
      </c>
      <c r="BE17" t="s">
        <v>74</v>
      </c>
      <c r="BF17" t="s">
        <v>74</v>
      </c>
      <c r="BG17" t="s">
        <v>74</v>
      </c>
      <c r="BH17" t="s">
        <v>74</v>
      </c>
      <c r="BI17">
        <v>2</v>
      </c>
      <c r="BJ17" t="s">
        <v>463</v>
      </c>
      <c r="BK17" t="s">
        <v>419</v>
      </c>
      <c r="BL17" t="s">
        <v>463</v>
      </c>
      <c r="BM17" t="s">
        <v>464</v>
      </c>
      <c r="BN17" t="s">
        <v>74</v>
      </c>
      <c r="BO17" t="s">
        <v>74</v>
      </c>
      <c r="BP17" t="s">
        <v>74</v>
      </c>
      <c r="BQ17" t="s">
        <v>74</v>
      </c>
      <c r="BR17" t="s">
        <v>102</v>
      </c>
      <c r="BS17" t="s">
        <v>465</v>
      </c>
      <c r="BT17" t="str">
        <f>HYPERLINK("https%3A%2F%2Fwww.webofscience.com%2Fwos%2Fwoscc%2Ffull-record%2FWOS:000399351200029","View Full Record in Web of Science")</f>
        <v>View Full Record in Web of Science</v>
      </c>
    </row>
    <row r="18" spans="1:72" x14ac:dyDescent="0.15">
      <c r="A18" t="s">
        <v>393</v>
      </c>
      <c r="B18" t="s">
        <v>466</v>
      </c>
      <c r="C18" t="s">
        <v>74</v>
      </c>
      <c r="D18" t="s">
        <v>74</v>
      </c>
      <c r="E18" t="s">
        <v>447</v>
      </c>
      <c r="F18" t="s">
        <v>467</v>
      </c>
      <c r="G18" t="s">
        <v>74</v>
      </c>
      <c r="H18" t="s">
        <v>468</v>
      </c>
      <c r="I18" t="s">
        <v>469</v>
      </c>
      <c r="J18" t="s">
        <v>450</v>
      </c>
      <c r="K18" t="s">
        <v>74</v>
      </c>
      <c r="L18" t="s">
        <v>74</v>
      </c>
      <c r="M18" t="s">
        <v>451</v>
      </c>
      <c r="N18" t="s">
        <v>400</v>
      </c>
      <c r="O18" t="s">
        <v>452</v>
      </c>
      <c r="P18" t="s">
        <v>453</v>
      </c>
      <c r="Q18" t="s">
        <v>454</v>
      </c>
      <c r="R18" t="s">
        <v>74</v>
      </c>
      <c r="S18" t="s">
        <v>74</v>
      </c>
      <c r="T18" t="s">
        <v>74</v>
      </c>
      <c r="U18" t="s">
        <v>74</v>
      </c>
      <c r="V18" t="s">
        <v>470</v>
      </c>
      <c r="W18" t="s">
        <v>471</v>
      </c>
      <c r="X18" t="s">
        <v>472</v>
      </c>
      <c r="Y18" t="s">
        <v>473</v>
      </c>
      <c r="Z18" t="s">
        <v>74</v>
      </c>
      <c r="AA18" t="s">
        <v>74</v>
      </c>
      <c r="AB18" t="s">
        <v>74</v>
      </c>
      <c r="AC18" t="s">
        <v>74</v>
      </c>
      <c r="AD18" t="s">
        <v>74</v>
      </c>
      <c r="AE18" t="s">
        <v>74</v>
      </c>
      <c r="AF18" t="s">
        <v>74</v>
      </c>
      <c r="AG18">
        <v>0</v>
      </c>
      <c r="AH18">
        <v>0</v>
      </c>
      <c r="AI18">
        <v>0</v>
      </c>
      <c r="AJ18">
        <v>0</v>
      </c>
      <c r="AK18">
        <v>1</v>
      </c>
      <c r="AL18" t="s">
        <v>460</v>
      </c>
      <c r="AM18" t="s">
        <v>461</v>
      </c>
      <c r="AN18" t="s">
        <v>462</v>
      </c>
      <c r="AO18" t="s">
        <v>74</v>
      </c>
      <c r="AP18" t="s">
        <v>74</v>
      </c>
      <c r="AQ18" t="s">
        <v>74</v>
      </c>
      <c r="AR18" t="s">
        <v>74</v>
      </c>
      <c r="AS18" t="s">
        <v>74</v>
      </c>
      <c r="AT18" t="s">
        <v>74</v>
      </c>
      <c r="AU18">
        <v>2012</v>
      </c>
      <c r="AV18" t="s">
        <v>74</v>
      </c>
      <c r="AW18" t="s">
        <v>74</v>
      </c>
      <c r="AX18" t="s">
        <v>74</v>
      </c>
      <c r="AY18" t="s">
        <v>74</v>
      </c>
      <c r="AZ18" t="s">
        <v>74</v>
      </c>
      <c r="BA18" t="s">
        <v>74</v>
      </c>
      <c r="BB18">
        <v>267</v>
      </c>
      <c r="BC18">
        <v>268</v>
      </c>
      <c r="BD18" t="s">
        <v>74</v>
      </c>
      <c r="BE18" t="s">
        <v>74</v>
      </c>
      <c r="BF18" t="s">
        <v>74</v>
      </c>
      <c r="BG18" t="s">
        <v>74</v>
      </c>
      <c r="BH18" t="s">
        <v>74</v>
      </c>
      <c r="BI18">
        <v>2</v>
      </c>
      <c r="BJ18" t="s">
        <v>463</v>
      </c>
      <c r="BK18" t="s">
        <v>419</v>
      </c>
      <c r="BL18" t="s">
        <v>463</v>
      </c>
      <c r="BM18" t="s">
        <v>464</v>
      </c>
      <c r="BN18" t="s">
        <v>74</v>
      </c>
      <c r="BO18" t="s">
        <v>74</v>
      </c>
      <c r="BP18" t="s">
        <v>74</v>
      </c>
      <c r="BQ18" t="s">
        <v>74</v>
      </c>
      <c r="BR18" t="s">
        <v>102</v>
      </c>
      <c r="BS18" t="s">
        <v>474</v>
      </c>
      <c r="BT18" t="str">
        <f>HYPERLINK("https%3A%2F%2Fwww.webofscience.com%2Fwos%2Fwoscc%2Ffull-record%2FWOS:000399351200134","View Full Record in Web of Science")</f>
        <v>View Full Record in Web of Science</v>
      </c>
    </row>
    <row r="19" spans="1:72" x14ac:dyDescent="0.15">
      <c r="A19" t="s">
        <v>72</v>
      </c>
      <c r="B19" t="s">
        <v>475</v>
      </c>
      <c r="C19" t="s">
        <v>74</v>
      </c>
      <c r="D19" t="s">
        <v>74</v>
      </c>
      <c r="E19" t="s">
        <v>74</v>
      </c>
      <c r="F19" t="s">
        <v>476</v>
      </c>
      <c r="G19" t="s">
        <v>74</v>
      </c>
      <c r="H19" t="s">
        <v>74</v>
      </c>
      <c r="I19" t="s">
        <v>477</v>
      </c>
      <c r="J19" t="s">
        <v>478</v>
      </c>
      <c r="K19" t="s">
        <v>74</v>
      </c>
      <c r="L19" t="s">
        <v>74</v>
      </c>
      <c r="M19" t="s">
        <v>78</v>
      </c>
      <c r="N19" t="s">
        <v>79</v>
      </c>
      <c r="O19" t="s">
        <v>74</v>
      </c>
      <c r="P19" t="s">
        <v>74</v>
      </c>
      <c r="Q19" t="s">
        <v>74</v>
      </c>
      <c r="R19" t="s">
        <v>74</v>
      </c>
      <c r="S19" t="s">
        <v>74</v>
      </c>
      <c r="T19" t="s">
        <v>479</v>
      </c>
      <c r="U19" t="s">
        <v>480</v>
      </c>
      <c r="V19" t="s">
        <v>481</v>
      </c>
      <c r="W19" t="s">
        <v>482</v>
      </c>
      <c r="X19" t="s">
        <v>483</v>
      </c>
      <c r="Y19" t="s">
        <v>484</v>
      </c>
      <c r="Z19" t="s">
        <v>485</v>
      </c>
      <c r="AA19" t="s">
        <v>486</v>
      </c>
      <c r="AB19" t="s">
        <v>74</v>
      </c>
      <c r="AC19" t="s">
        <v>487</v>
      </c>
      <c r="AD19" t="s">
        <v>488</v>
      </c>
      <c r="AE19" t="s">
        <v>489</v>
      </c>
      <c r="AF19" t="s">
        <v>74</v>
      </c>
      <c r="AG19">
        <v>46</v>
      </c>
      <c r="AH19">
        <v>38</v>
      </c>
      <c r="AI19">
        <v>40</v>
      </c>
      <c r="AJ19">
        <v>0</v>
      </c>
      <c r="AK19">
        <v>34</v>
      </c>
      <c r="AL19" t="s">
        <v>250</v>
      </c>
      <c r="AM19" t="s">
        <v>413</v>
      </c>
      <c r="AN19" t="s">
        <v>490</v>
      </c>
      <c r="AO19" t="s">
        <v>491</v>
      </c>
      <c r="AP19" t="s">
        <v>492</v>
      </c>
      <c r="AQ19" t="s">
        <v>74</v>
      </c>
      <c r="AR19" t="s">
        <v>493</v>
      </c>
      <c r="AS19" t="s">
        <v>494</v>
      </c>
      <c r="AT19" t="s">
        <v>97</v>
      </c>
      <c r="AU19">
        <v>2012</v>
      </c>
      <c r="AV19">
        <v>31</v>
      </c>
      <c r="AW19">
        <v>1</v>
      </c>
      <c r="AX19" t="s">
        <v>74</v>
      </c>
      <c r="AY19" t="s">
        <v>74</v>
      </c>
      <c r="AZ19" t="s">
        <v>74</v>
      </c>
      <c r="BA19" t="s">
        <v>74</v>
      </c>
      <c r="BB19">
        <v>116</v>
      </c>
      <c r="BC19">
        <v>124</v>
      </c>
      <c r="BD19" t="s">
        <v>74</v>
      </c>
      <c r="BE19" t="s">
        <v>495</v>
      </c>
      <c r="BF19" t="str">
        <f>HYPERLINK("http://dx.doi.org/10.1007/s13131-012-0183-2","http://dx.doi.org/10.1007/s13131-012-0183-2")</f>
        <v>http://dx.doi.org/10.1007/s13131-012-0183-2</v>
      </c>
      <c r="BG19" t="s">
        <v>74</v>
      </c>
      <c r="BH19" t="s">
        <v>74</v>
      </c>
      <c r="BI19">
        <v>9</v>
      </c>
      <c r="BJ19" t="s">
        <v>496</v>
      </c>
      <c r="BK19" t="s">
        <v>100</v>
      </c>
      <c r="BL19" t="s">
        <v>496</v>
      </c>
      <c r="BM19" t="s">
        <v>497</v>
      </c>
      <c r="BN19" t="s">
        <v>74</v>
      </c>
      <c r="BO19" t="s">
        <v>74</v>
      </c>
      <c r="BP19" t="s">
        <v>74</v>
      </c>
      <c r="BQ19" t="s">
        <v>74</v>
      </c>
      <c r="BR19" t="s">
        <v>102</v>
      </c>
      <c r="BS19" t="s">
        <v>498</v>
      </c>
      <c r="BT19" t="str">
        <f>HYPERLINK("https%3A%2F%2Fwww.webofscience.com%2Fwos%2Fwoscc%2Ffull-record%2FWOS:000299492700014","View Full Record in Web of Science")</f>
        <v>View Full Record in Web of Science</v>
      </c>
    </row>
    <row r="20" spans="1:72" x14ac:dyDescent="0.15">
      <c r="A20" t="s">
        <v>72</v>
      </c>
      <c r="B20" t="s">
        <v>499</v>
      </c>
      <c r="C20" t="s">
        <v>74</v>
      </c>
      <c r="D20" t="s">
        <v>74</v>
      </c>
      <c r="E20" t="s">
        <v>74</v>
      </c>
      <c r="F20" t="s">
        <v>500</v>
      </c>
      <c r="G20" t="s">
        <v>74</v>
      </c>
      <c r="H20" t="s">
        <v>74</v>
      </c>
      <c r="I20" t="s">
        <v>501</v>
      </c>
      <c r="J20" t="s">
        <v>478</v>
      </c>
      <c r="K20" t="s">
        <v>74</v>
      </c>
      <c r="L20" t="s">
        <v>74</v>
      </c>
      <c r="M20" t="s">
        <v>78</v>
      </c>
      <c r="N20" t="s">
        <v>79</v>
      </c>
      <c r="O20" t="s">
        <v>74</v>
      </c>
      <c r="P20" t="s">
        <v>74</v>
      </c>
      <c r="Q20" t="s">
        <v>74</v>
      </c>
      <c r="R20" t="s">
        <v>74</v>
      </c>
      <c r="S20" t="s">
        <v>74</v>
      </c>
      <c r="T20" t="s">
        <v>502</v>
      </c>
      <c r="U20" t="s">
        <v>503</v>
      </c>
      <c r="V20" t="s">
        <v>504</v>
      </c>
      <c r="W20" t="s">
        <v>505</v>
      </c>
      <c r="X20" t="s">
        <v>506</v>
      </c>
      <c r="Y20" t="s">
        <v>507</v>
      </c>
      <c r="Z20" t="s">
        <v>508</v>
      </c>
      <c r="AA20" t="s">
        <v>509</v>
      </c>
      <c r="AB20" t="s">
        <v>510</v>
      </c>
      <c r="AC20" t="s">
        <v>511</v>
      </c>
      <c r="AD20" t="s">
        <v>512</v>
      </c>
      <c r="AE20" t="s">
        <v>513</v>
      </c>
      <c r="AF20" t="s">
        <v>74</v>
      </c>
      <c r="AG20">
        <v>36</v>
      </c>
      <c r="AH20">
        <v>11</v>
      </c>
      <c r="AI20">
        <v>12</v>
      </c>
      <c r="AJ20">
        <v>0</v>
      </c>
      <c r="AK20">
        <v>31</v>
      </c>
      <c r="AL20" t="s">
        <v>250</v>
      </c>
      <c r="AM20" t="s">
        <v>413</v>
      </c>
      <c r="AN20" t="s">
        <v>514</v>
      </c>
      <c r="AO20" t="s">
        <v>491</v>
      </c>
      <c r="AP20" t="s">
        <v>492</v>
      </c>
      <c r="AQ20" t="s">
        <v>74</v>
      </c>
      <c r="AR20" t="s">
        <v>493</v>
      </c>
      <c r="AS20" t="s">
        <v>494</v>
      </c>
      <c r="AT20" t="s">
        <v>97</v>
      </c>
      <c r="AU20">
        <v>2012</v>
      </c>
      <c r="AV20">
        <v>31</v>
      </c>
      <c r="AW20">
        <v>1</v>
      </c>
      <c r="AX20" t="s">
        <v>74</v>
      </c>
      <c r="AY20" t="s">
        <v>74</v>
      </c>
      <c r="AZ20" t="s">
        <v>74</v>
      </c>
      <c r="BA20" t="s">
        <v>74</v>
      </c>
      <c r="BB20">
        <v>134</v>
      </c>
      <c r="BC20">
        <v>142</v>
      </c>
      <c r="BD20" t="s">
        <v>74</v>
      </c>
      <c r="BE20" t="s">
        <v>515</v>
      </c>
      <c r="BF20" t="str">
        <f>HYPERLINK("http://dx.doi.org/10.1007/s13131-012-0185-0","http://dx.doi.org/10.1007/s13131-012-0185-0")</f>
        <v>http://dx.doi.org/10.1007/s13131-012-0185-0</v>
      </c>
      <c r="BG20" t="s">
        <v>74</v>
      </c>
      <c r="BH20" t="s">
        <v>74</v>
      </c>
      <c r="BI20">
        <v>9</v>
      </c>
      <c r="BJ20" t="s">
        <v>496</v>
      </c>
      <c r="BK20" t="s">
        <v>100</v>
      </c>
      <c r="BL20" t="s">
        <v>496</v>
      </c>
      <c r="BM20" t="s">
        <v>497</v>
      </c>
      <c r="BN20" t="s">
        <v>74</v>
      </c>
      <c r="BO20" t="s">
        <v>74</v>
      </c>
      <c r="BP20" t="s">
        <v>74</v>
      </c>
      <c r="BQ20" t="s">
        <v>74</v>
      </c>
      <c r="BR20" t="s">
        <v>102</v>
      </c>
      <c r="BS20" t="s">
        <v>516</v>
      </c>
      <c r="BT20" t="str">
        <f>HYPERLINK("https%3A%2F%2Fwww.webofscience.com%2Fwos%2Fwoscc%2Ffull-record%2FWOS:000299492700016","View Full Record in Web of Science")</f>
        <v>View Full Record in Web of Science</v>
      </c>
    </row>
    <row r="21" spans="1:72" x14ac:dyDescent="0.15">
      <c r="A21" t="s">
        <v>517</v>
      </c>
      <c r="B21" t="s">
        <v>518</v>
      </c>
      <c r="C21" t="s">
        <v>74</v>
      </c>
      <c r="D21" t="s">
        <v>519</v>
      </c>
      <c r="E21" t="s">
        <v>74</v>
      </c>
      <c r="F21" t="s">
        <v>520</v>
      </c>
      <c r="G21" t="s">
        <v>74</v>
      </c>
      <c r="H21" t="s">
        <v>74</v>
      </c>
      <c r="I21" t="s">
        <v>521</v>
      </c>
      <c r="J21" t="s">
        <v>522</v>
      </c>
      <c r="K21" t="s">
        <v>74</v>
      </c>
      <c r="L21" t="s">
        <v>74</v>
      </c>
      <c r="M21" t="s">
        <v>78</v>
      </c>
      <c r="N21" t="s">
        <v>523</v>
      </c>
      <c r="O21" t="s">
        <v>74</v>
      </c>
      <c r="P21" t="s">
        <v>74</v>
      </c>
      <c r="Q21" t="s">
        <v>74</v>
      </c>
      <c r="R21" t="s">
        <v>74</v>
      </c>
      <c r="S21" t="s">
        <v>74</v>
      </c>
      <c r="T21" t="s">
        <v>74</v>
      </c>
      <c r="U21" t="s">
        <v>524</v>
      </c>
      <c r="V21" t="s">
        <v>525</v>
      </c>
      <c r="W21" t="s">
        <v>526</v>
      </c>
      <c r="X21" t="s">
        <v>527</v>
      </c>
      <c r="Y21" t="s">
        <v>528</v>
      </c>
      <c r="Z21" t="s">
        <v>529</v>
      </c>
      <c r="AA21" t="s">
        <v>74</v>
      </c>
      <c r="AB21" t="s">
        <v>530</v>
      </c>
      <c r="AC21" t="s">
        <v>74</v>
      </c>
      <c r="AD21" t="s">
        <v>74</v>
      </c>
      <c r="AE21" t="s">
        <v>74</v>
      </c>
      <c r="AF21" t="s">
        <v>74</v>
      </c>
      <c r="AG21">
        <v>127</v>
      </c>
      <c r="AH21">
        <v>22</v>
      </c>
      <c r="AI21">
        <v>22</v>
      </c>
      <c r="AJ21">
        <v>0</v>
      </c>
      <c r="AK21">
        <v>45</v>
      </c>
      <c r="AL21" t="s">
        <v>250</v>
      </c>
      <c r="AM21" t="s">
        <v>413</v>
      </c>
      <c r="AN21" t="s">
        <v>531</v>
      </c>
      <c r="AO21" t="s">
        <v>74</v>
      </c>
      <c r="AP21" t="s">
        <v>74</v>
      </c>
      <c r="AQ21" t="s">
        <v>532</v>
      </c>
      <c r="AR21" t="s">
        <v>74</v>
      </c>
      <c r="AS21" t="s">
        <v>74</v>
      </c>
      <c r="AT21" t="s">
        <v>74</v>
      </c>
      <c r="AU21">
        <v>2012</v>
      </c>
      <c r="AV21" t="s">
        <v>74</v>
      </c>
      <c r="AW21" t="s">
        <v>74</v>
      </c>
      <c r="AX21" t="s">
        <v>74</v>
      </c>
      <c r="AY21" t="s">
        <v>74</v>
      </c>
      <c r="AZ21" t="s">
        <v>74</v>
      </c>
      <c r="BA21" t="s">
        <v>74</v>
      </c>
      <c r="BB21">
        <v>87</v>
      </c>
      <c r="BC21">
        <v>118</v>
      </c>
      <c r="BD21" t="s">
        <v>74</v>
      </c>
      <c r="BE21" t="s">
        <v>74</v>
      </c>
      <c r="BF21" t="s">
        <v>74</v>
      </c>
      <c r="BG21" t="s">
        <v>74</v>
      </c>
      <c r="BH21" t="s">
        <v>74</v>
      </c>
      <c r="BI21">
        <v>32</v>
      </c>
      <c r="BJ21" t="s">
        <v>533</v>
      </c>
      <c r="BK21" t="s">
        <v>534</v>
      </c>
      <c r="BL21" t="s">
        <v>535</v>
      </c>
      <c r="BM21" t="s">
        <v>536</v>
      </c>
      <c r="BN21" t="s">
        <v>74</v>
      </c>
      <c r="BO21" t="s">
        <v>74</v>
      </c>
      <c r="BP21" t="s">
        <v>74</v>
      </c>
      <c r="BQ21" t="s">
        <v>74</v>
      </c>
      <c r="BR21" t="s">
        <v>102</v>
      </c>
      <c r="BS21" t="s">
        <v>537</v>
      </c>
      <c r="BT21" t="str">
        <f>HYPERLINK("https%3A%2F%2Fwww.webofscience.com%2Fwos%2Fwoscc%2Ffull-record%2FWOS:000301515200005","View Full Record in Web of Science")</f>
        <v>View Full Record in Web of Science</v>
      </c>
    </row>
    <row r="22" spans="1:72" x14ac:dyDescent="0.15">
      <c r="A22" t="s">
        <v>393</v>
      </c>
      <c r="B22" t="s">
        <v>538</v>
      </c>
      <c r="C22" t="s">
        <v>74</v>
      </c>
      <c r="D22" t="s">
        <v>539</v>
      </c>
      <c r="E22" t="s">
        <v>74</v>
      </c>
      <c r="F22" t="s">
        <v>540</v>
      </c>
      <c r="G22" t="s">
        <v>74</v>
      </c>
      <c r="H22" t="s">
        <v>74</v>
      </c>
      <c r="I22" t="s">
        <v>541</v>
      </c>
      <c r="J22" t="s">
        <v>542</v>
      </c>
      <c r="K22" t="s">
        <v>543</v>
      </c>
      <c r="L22" t="s">
        <v>74</v>
      </c>
      <c r="M22" t="s">
        <v>78</v>
      </c>
      <c r="N22" t="s">
        <v>400</v>
      </c>
      <c r="O22" t="s">
        <v>544</v>
      </c>
      <c r="P22" t="s">
        <v>545</v>
      </c>
      <c r="Q22" t="s">
        <v>546</v>
      </c>
      <c r="R22" t="s">
        <v>74</v>
      </c>
      <c r="S22" t="s">
        <v>74</v>
      </c>
      <c r="T22" t="s">
        <v>547</v>
      </c>
      <c r="U22" t="s">
        <v>548</v>
      </c>
      <c r="V22" t="s">
        <v>549</v>
      </c>
      <c r="W22" t="s">
        <v>550</v>
      </c>
      <c r="X22" t="s">
        <v>551</v>
      </c>
      <c r="Y22" t="s">
        <v>552</v>
      </c>
      <c r="Z22" t="s">
        <v>553</v>
      </c>
      <c r="AA22" t="s">
        <v>554</v>
      </c>
      <c r="AB22" t="s">
        <v>555</v>
      </c>
      <c r="AC22" t="s">
        <v>556</v>
      </c>
      <c r="AD22" t="s">
        <v>557</v>
      </c>
      <c r="AE22" t="s">
        <v>558</v>
      </c>
      <c r="AF22" t="s">
        <v>74</v>
      </c>
      <c r="AG22">
        <v>12</v>
      </c>
      <c r="AH22">
        <v>1</v>
      </c>
      <c r="AI22">
        <v>1</v>
      </c>
      <c r="AJ22">
        <v>0</v>
      </c>
      <c r="AK22">
        <v>1</v>
      </c>
      <c r="AL22" t="s">
        <v>559</v>
      </c>
      <c r="AM22" t="s">
        <v>560</v>
      </c>
      <c r="AN22" t="s">
        <v>561</v>
      </c>
      <c r="AO22" t="s">
        <v>562</v>
      </c>
      <c r="AP22" t="s">
        <v>74</v>
      </c>
      <c r="AQ22" t="s">
        <v>563</v>
      </c>
      <c r="AR22" t="s">
        <v>564</v>
      </c>
      <c r="AS22" t="s">
        <v>74</v>
      </c>
      <c r="AT22" t="s">
        <v>74</v>
      </c>
      <c r="AU22">
        <v>2012</v>
      </c>
      <c r="AV22">
        <v>8447</v>
      </c>
      <c r="AW22" t="s">
        <v>74</v>
      </c>
      <c r="AX22" t="s">
        <v>74</v>
      </c>
      <c r="AY22" t="s">
        <v>74</v>
      </c>
      <c r="AZ22" t="s">
        <v>74</v>
      </c>
      <c r="BA22" t="s">
        <v>74</v>
      </c>
      <c r="BB22" t="s">
        <v>74</v>
      </c>
      <c r="BC22" t="s">
        <v>74</v>
      </c>
      <c r="BD22" t="s">
        <v>565</v>
      </c>
      <c r="BE22" t="s">
        <v>566</v>
      </c>
      <c r="BF22" t="str">
        <f>HYPERLINK("http://dx.doi.org/10.1117/12.924262","http://dx.doi.org/10.1117/12.924262")</f>
        <v>http://dx.doi.org/10.1117/12.924262</v>
      </c>
      <c r="BG22" t="s">
        <v>74</v>
      </c>
      <c r="BH22" t="s">
        <v>74</v>
      </c>
      <c r="BI22">
        <v>8</v>
      </c>
      <c r="BJ22" t="s">
        <v>567</v>
      </c>
      <c r="BK22" t="s">
        <v>419</v>
      </c>
      <c r="BL22" t="s">
        <v>567</v>
      </c>
      <c r="BM22" t="s">
        <v>568</v>
      </c>
      <c r="BN22" t="s">
        <v>74</v>
      </c>
      <c r="BO22" t="s">
        <v>74</v>
      </c>
      <c r="BP22" t="s">
        <v>74</v>
      </c>
      <c r="BQ22" t="s">
        <v>74</v>
      </c>
      <c r="BR22" t="s">
        <v>102</v>
      </c>
      <c r="BS22" t="s">
        <v>569</v>
      </c>
      <c r="BT22" t="str">
        <f>HYPERLINK("https%3A%2F%2Fwww.webofscience.com%2Fwos%2Fwoscc%2Ffull-record%2FWOS:000312387300174","View Full Record in Web of Science")</f>
        <v>View Full Record in Web of Science</v>
      </c>
    </row>
    <row r="23" spans="1:72" x14ac:dyDescent="0.15">
      <c r="A23" t="s">
        <v>570</v>
      </c>
      <c r="B23" t="s">
        <v>571</v>
      </c>
      <c r="C23" t="s">
        <v>74</v>
      </c>
      <c r="D23" t="s">
        <v>572</v>
      </c>
      <c r="E23" t="s">
        <v>74</v>
      </c>
      <c r="F23" t="s">
        <v>573</v>
      </c>
      <c r="G23" t="s">
        <v>74</v>
      </c>
      <c r="H23" t="s">
        <v>74</v>
      </c>
      <c r="I23" t="s">
        <v>574</v>
      </c>
      <c r="J23" t="s">
        <v>575</v>
      </c>
      <c r="K23" t="s">
        <v>576</v>
      </c>
      <c r="L23" t="s">
        <v>74</v>
      </c>
      <c r="M23" t="s">
        <v>78</v>
      </c>
      <c r="N23" t="s">
        <v>577</v>
      </c>
      <c r="O23" t="s">
        <v>74</v>
      </c>
      <c r="P23" t="s">
        <v>74</v>
      </c>
      <c r="Q23" t="s">
        <v>74</v>
      </c>
      <c r="R23" t="s">
        <v>74</v>
      </c>
      <c r="S23" t="s">
        <v>74</v>
      </c>
      <c r="T23" t="s">
        <v>74</v>
      </c>
      <c r="U23" t="s">
        <v>578</v>
      </c>
      <c r="V23" t="s">
        <v>579</v>
      </c>
      <c r="W23" t="s">
        <v>580</v>
      </c>
      <c r="X23" t="s">
        <v>581</v>
      </c>
      <c r="Y23" t="s">
        <v>582</v>
      </c>
      <c r="Z23" t="s">
        <v>74</v>
      </c>
      <c r="AA23" t="s">
        <v>583</v>
      </c>
      <c r="AB23" t="s">
        <v>584</v>
      </c>
      <c r="AC23" t="s">
        <v>585</v>
      </c>
      <c r="AD23" t="s">
        <v>586</v>
      </c>
      <c r="AE23" t="s">
        <v>74</v>
      </c>
      <c r="AF23" t="s">
        <v>74</v>
      </c>
      <c r="AG23">
        <v>152</v>
      </c>
      <c r="AH23">
        <v>2</v>
      </c>
      <c r="AI23">
        <v>2</v>
      </c>
      <c r="AJ23">
        <v>1</v>
      </c>
      <c r="AK23">
        <v>39</v>
      </c>
      <c r="AL23" t="s">
        <v>587</v>
      </c>
      <c r="AM23" t="s">
        <v>588</v>
      </c>
      <c r="AN23" t="s">
        <v>589</v>
      </c>
      <c r="AO23" t="s">
        <v>590</v>
      </c>
      <c r="AP23" t="s">
        <v>74</v>
      </c>
      <c r="AQ23" t="s">
        <v>591</v>
      </c>
      <c r="AR23" t="s">
        <v>592</v>
      </c>
      <c r="AS23" t="s">
        <v>593</v>
      </c>
      <c r="AT23" t="s">
        <v>74</v>
      </c>
      <c r="AU23">
        <v>2012</v>
      </c>
      <c r="AV23">
        <v>81</v>
      </c>
      <c r="AW23" t="s">
        <v>74</v>
      </c>
      <c r="AX23" t="s">
        <v>74</v>
      </c>
      <c r="AY23" t="s">
        <v>74</v>
      </c>
      <c r="AZ23" t="s">
        <v>74</v>
      </c>
      <c r="BA23" t="s">
        <v>74</v>
      </c>
      <c r="BB23">
        <v>133</v>
      </c>
      <c r="BC23">
        <v>167</v>
      </c>
      <c r="BD23" t="s">
        <v>74</v>
      </c>
      <c r="BE23" t="s">
        <v>594</v>
      </c>
      <c r="BF23" t="str">
        <f>HYPERLINK("http://dx.doi.org/10.1016/B978-0-12-394382-8.00004-6","http://dx.doi.org/10.1016/B978-0-12-394382-8.00004-6")</f>
        <v>http://dx.doi.org/10.1016/B978-0-12-394382-8.00004-6</v>
      </c>
      <c r="BG23" t="s">
        <v>74</v>
      </c>
      <c r="BH23" t="s">
        <v>74</v>
      </c>
      <c r="BI23">
        <v>35</v>
      </c>
      <c r="BJ23" t="s">
        <v>595</v>
      </c>
      <c r="BK23" t="s">
        <v>596</v>
      </c>
      <c r="BL23" t="s">
        <v>595</v>
      </c>
      <c r="BM23" t="s">
        <v>597</v>
      </c>
      <c r="BN23">
        <v>22958529</v>
      </c>
      <c r="BO23" t="s">
        <v>74</v>
      </c>
      <c r="BP23" t="s">
        <v>74</v>
      </c>
      <c r="BQ23" t="s">
        <v>74</v>
      </c>
      <c r="BR23" t="s">
        <v>102</v>
      </c>
      <c r="BS23" t="s">
        <v>598</v>
      </c>
      <c r="BT23" t="str">
        <f>HYPERLINK("https%3A%2F%2Fwww.webofscience.com%2Fwos%2Fwoscc%2Ffull-record%2FWOS:000310857600004","View Full Record in Web of Science")</f>
        <v>View Full Record in Web of Science</v>
      </c>
    </row>
    <row r="24" spans="1:72" x14ac:dyDescent="0.15">
      <c r="A24" t="s">
        <v>393</v>
      </c>
      <c r="B24" t="s">
        <v>599</v>
      </c>
      <c r="C24" t="s">
        <v>74</v>
      </c>
      <c r="D24" t="s">
        <v>600</v>
      </c>
      <c r="E24" t="s">
        <v>74</v>
      </c>
      <c r="F24" t="s">
        <v>601</v>
      </c>
      <c r="G24" t="s">
        <v>74</v>
      </c>
      <c r="H24" t="s">
        <v>74</v>
      </c>
      <c r="I24" t="s">
        <v>602</v>
      </c>
      <c r="J24" t="s">
        <v>603</v>
      </c>
      <c r="K24" t="s">
        <v>74</v>
      </c>
      <c r="L24" t="s">
        <v>74</v>
      </c>
      <c r="M24" t="s">
        <v>78</v>
      </c>
      <c r="N24" t="s">
        <v>400</v>
      </c>
      <c r="O24" t="s">
        <v>604</v>
      </c>
      <c r="P24" t="s">
        <v>605</v>
      </c>
      <c r="Q24" t="s">
        <v>606</v>
      </c>
      <c r="R24" t="s">
        <v>74</v>
      </c>
      <c r="S24" t="s">
        <v>74</v>
      </c>
      <c r="T24" t="s">
        <v>74</v>
      </c>
      <c r="U24" t="s">
        <v>607</v>
      </c>
      <c r="V24" t="s">
        <v>608</v>
      </c>
      <c r="W24" t="s">
        <v>609</v>
      </c>
      <c r="X24" t="s">
        <v>610</v>
      </c>
      <c r="Y24" t="s">
        <v>611</v>
      </c>
      <c r="Z24" t="s">
        <v>74</v>
      </c>
      <c r="AA24" t="s">
        <v>612</v>
      </c>
      <c r="AB24" t="s">
        <v>613</v>
      </c>
      <c r="AC24" t="s">
        <v>614</v>
      </c>
      <c r="AD24" t="s">
        <v>614</v>
      </c>
      <c r="AE24" t="s">
        <v>615</v>
      </c>
      <c r="AF24" t="s">
        <v>74</v>
      </c>
      <c r="AG24">
        <v>48</v>
      </c>
      <c r="AH24">
        <v>2</v>
      </c>
      <c r="AI24">
        <v>2</v>
      </c>
      <c r="AJ24">
        <v>0</v>
      </c>
      <c r="AK24">
        <v>3</v>
      </c>
      <c r="AL24" t="s">
        <v>616</v>
      </c>
      <c r="AM24" t="s">
        <v>617</v>
      </c>
      <c r="AN24" t="s">
        <v>618</v>
      </c>
      <c r="AO24" t="s">
        <v>74</v>
      </c>
      <c r="AP24" t="s">
        <v>74</v>
      </c>
      <c r="AQ24" t="s">
        <v>619</v>
      </c>
      <c r="AR24" t="s">
        <v>74</v>
      </c>
      <c r="AS24" t="s">
        <v>74</v>
      </c>
      <c r="AT24" t="s">
        <v>74</v>
      </c>
      <c r="AU24">
        <v>2012</v>
      </c>
      <c r="AV24" t="s">
        <v>74</v>
      </c>
      <c r="AW24" t="s">
        <v>74</v>
      </c>
      <c r="AX24" t="s">
        <v>74</v>
      </c>
      <c r="AY24" t="s">
        <v>74</v>
      </c>
      <c r="AZ24" t="s">
        <v>74</v>
      </c>
      <c r="BA24" t="s">
        <v>74</v>
      </c>
      <c r="BB24">
        <v>79</v>
      </c>
      <c r="BC24">
        <v>92</v>
      </c>
      <c r="BD24" t="s">
        <v>74</v>
      </c>
      <c r="BE24" t="s">
        <v>74</v>
      </c>
      <c r="BF24" t="s">
        <v>74</v>
      </c>
      <c r="BG24" t="s">
        <v>74</v>
      </c>
      <c r="BH24" t="s">
        <v>74</v>
      </c>
      <c r="BI24">
        <v>14</v>
      </c>
      <c r="BJ24" t="s">
        <v>620</v>
      </c>
      <c r="BK24" t="s">
        <v>419</v>
      </c>
      <c r="BL24" t="s">
        <v>621</v>
      </c>
      <c r="BM24" t="s">
        <v>622</v>
      </c>
      <c r="BN24" t="s">
        <v>74</v>
      </c>
      <c r="BO24" t="s">
        <v>623</v>
      </c>
      <c r="BP24" t="s">
        <v>74</v>
      </c>
      <c r="BQ24" t="s">
        <v>74</v>
      </c>
      <c r="BR24" t="s">
        <v>102</v>
      </c>
      <c r="BS24" t="s">
        <v>624</v>
      </c>
      <c r="BT24" t="str">
        <f>HYPERLINK("https%3A%2F%2Fwww.webofscience.com%2Fwos%2Fwoscc%2Ffull-record%2FWOS:000345698200007","View Full Record in Web of Science")</f>
        <v>View Full Record in Web of Science</v>
      </c>
    </row>
    <row r="25" spans="1:72" x14ac:dyDescent="0.15">
      <c r="A25" t="s">
        <v>72</v>
      </c>
      <c r="B25" t="s">
        <v>625</v>
      </c>
      <c r="C25" t="s">
        <v>74</v>
      </c>
      <c r="D25" t="s">
        <v>74</v>
      </c>
      <c r="E25" t="s">
        <v>74</v>
      </c>
      <c r="F25" t="s">
        <v>626</v>
      </c>
      <c r="G25" t="s">
        <v>74</v>
      </c>
      <c r="H25" t="s">
        <v>74</v>
      </c>
      <c r="I25" t="s">
        <v>627</v>
      </c>
      <c r="J25" t="s">
        <v>628</v>
      </c>
      <c r="K25" t="s">
        <v>74</v>
      </c>
      <c r="L25" t="s">
        <v>74</v>
      </c>
      <c r="M25" t="s">
        <v>78</v>
      </c>
      <c r="N25" t="s">
        <v>79</v>
      </c>
      <c r="O25" t="s">
        <v>74</v>
      </c>
      <c r="P25" t="s">
        <v>74</v>
      </c>
      <c r="Q25" t="s">
        <v>74</v>
      </c>
      <c r="R25" t="s">
        <v>74</v>
      </c>
      <c r="S25" t="s">
        <v>74</v>
      </c>
      <c r="T25" t="s">
        <v>74</v>
      </c>
      <c r="U25" t="s">
        <v>629</v>
      </c>
      <c r="V25" t="s">
        <v>630</v>
      </c>
      <c r="W25" t="s">
        <v>631</v>
      </c>
      <c r="X25" t="s">
        <v>632</v>
      </c>
      <c r="Y25" t="s">
        <v>633</v>
      </c>
      <c r="Z25" t="s">
        <v>634</v>
      </c>
      <c r="AA25" t="s">
        <v>635</v>
      </c>
      <c r="AB25" t="s">
        <v>636</v>
      </c>
      <c r="AC25" t="s">
        <v>637</v>
      </c>
      <c r="AD25" t="s">
        <v>638</v>
      </c>
      <c r="AE25" t="s">
        <v>639</v>
      </c>
      <c r="AF25" t="s">
        <v>74</v>
      </c>
      <c r="AG25">
        <v>44</v>
      </c>
      <c r="AH25">
        <v>50</v>
      </c>
      <c r="AI25">
        <v>55</v>
      </c>
      <c r="AJ25">
        <v>0</v>
      </c>
      <c r="AK25">
        <v>26</v>
      </c>
      <c r="AL25" t="s">
        <v>640</v>
      </c>
      <c r="AM25" t="s">
        <v>221</v>
      </c>
      <c r="AN25" t="s">
        <v>641</v>
      </c>
      <c r="AO25" t="s">
        <v>642</v>
      </c>
      <c r="AP25" t="s">
        <v>643</v>
      </c>
      <c r="AQ25" t="s">
        <v>74</v>
      </c>
      <c r="AR25" t="s">
        <v>644</v>
      </c>
      <c r="AS25" t="s">
        <v>645</v>
      </c>
      <c r="AT25" t="s">
        <v>74</v>
      </c>
      <c r="AU25">
        <v>2012</v>
      </c>
      <c r="AV25">
        <v>2012</v>
      </c>
      <c r="AW25" t="s">
        <v>74</v>
      </c>
      <c r="AX25" t="s">
        <v>74</v>
      </c>
      <c r="AY25" t="s">
        <v>74</v>
      </c>
      <c r="AZ25" t="s">
        <v>74</v>
      </c>
      <c r="BA25" t="s">
        <v>74</v>
      </c>
      <c r="BB25" t="s">
        <v>74</v>
      </c>
      <c r="BC25" t="s">
        <v>74</v>
      </c>
      <c r="BD25">
        <v>201818</v>
      </c>
      <c r="BE25" t="s">
        <v>646</v>
      </c>
      <c r="BF25" t="str">
        <f>HYPERLINK("http://dx.doi.org/10.1155/2012/201818","http://dx.doi.org/10.1155/2012/201818")</f>
        <v>http://dx.doi.org/10.1155/2012/201818</v>
      </c>
      <c r="BG25" t="s">
        <v>74</v>
      </c>
      <c r="BH25" t="s">
        <v>74</v>
      </c>
      <c r="BI25">
        <v>11</v>
      </c>
      <c r="BJ25" t="s">
        <v>463</v>
      </c>
      <c r="BK25" t="s">
        <v>100</v>
      </c>
      <c r="BL25" t="s">
        <v>463</v>
      </c>
      <c r="BM25" t="s">
        <v>647</v>
      </c>
      <c r="BN25" t="s">
        <v>74</v>
      </c>
      <c r="BO25" t="s">
        <v>623</v>
      </c>
      <c r="BP25" t="s">
        <v>74</v>
      </c>
      <c r="BQ25" t="s">
        <v>74</v>
      </c>
      <c r="BR25" t="s">
        <v>102</v>
      </c>
      <c r="BS25" t="s">
        <v>648</v>
      </c>
      <c r="BT25" t="str">
        <f>HYPERLINK("https%3A%2F%2Fwww.webofscience.com%2Fwos%2Fwoscc%2Ffull-record%2FWOS:000308157400001","View Full Record in Web of Science")</f>
        <v>View Full Record in Web of Science</v>
      </c>
    </row>
    <row r="26" spans="1:72" x14ac:dyDescent="0.15">
      <c r="A26" t="s">
        <v>393</v>
      </c>
      <c r="B26" t="s">
        <v>649</v>
      </c>
      <c r="C26" t="s">
        <v>74</v>
      </c>
      <c r="D26" t="s">
        <v>650</v>
      </c>
      <c r="E26" t="s">
        <v>74</v>
      </c>
      <c r="F26" t="s">
        <v>651</v>
      </c>
      <c r="G26" t="s">
        <v>74</v>
      </c>
      <c r="H26" t="s">
        <v>74</v>
      </c>
      <c r="I26" t="s">
        <v>652</v>
      </c>
      <c r="J26" t="s">
        <v>653</v>
      </c>
      <c r="K26" t="s">
        <v>74</v>
      </c>
      <c r="L26" t="s">
        <v>74</v>
      </c>
      <c r="M26" t="s">
        <v>78</v>
      </c>
      <c r="N26" t="s">
        <v>400</v>
      </c>
      <c r="O26" t="s">
        <v>654</v>
      </c>
      <c r="P26" t="s">
        <v>655</v>
      </c>
      <c r="Q26" t="s">
        <v>656</v>
      </c>
      <c r="R26" t="s">
        <v>74</v>
      </c>
      <c r="S26" t="s">
        <v>74</v>
      </c>
      <c r="T26" t="s">
        <v>74</v>
      </c>
      <c r="U26" t="s">
        <v>657</v>
      </c>
      <c r="V26" t="s">
        <v>658</v>
      </c>
      <c r="W26" t="s">
        <v>659</v>
      </c>
      <c r="X26" t="s">
        <v>660</v>
      </c>
      <c r="Y26" t="s">
        <v>74</v>
      </c>
      <c r="Z26" t="s">
        <v>74</v>
      </c>
      <c r="AA26" t="s">
        <v>74</v>
      </c>
      <c r="AB26" t="s">
        <v>661</v>
      </c>
      <c r="AC26" t="s">
        <v>662</v>
      </c>
      <c r="AD26" t="s">
        <v>663</v>
      </c>
      <c r="AE26" t="s">
        <v>664</v>
      </c>
      <c r="AF26" t="s">
        <v>74</v>
      </c>
      <c r="AG26">
        <v>33</v>
      </c>
      <c r="AH26">
        <v>0</v>
      </c>
      <c r="AI26">
        <v>0</v>
      </c>
      <c r="AJ26">
        <v>0</v>
      </c>
      <c r="AK26">
        <v>0</v>
      </c>
      <c r="AL26" t="s">
        <v>665</v>
      </c>
      <c r="AM26" t="s">
        <v>666</v>
      </c>
      <c r="AN26" t="s">
        <v>667</v>
      </c>
      <c r="AO26" t="s">
        <v>74</v>
      </c>
      <c r="AP26" t="s">
        <v>74</v>
      </c>
      <c r="AQ26" t="s">
        <v>668</v>
      </c>
      <c r="AR26" t="s">
        <v>74</v>
      </c>
      <c r="AS26" t="s">
        <v>74</v>
      </c>
      <c r="AT26" t="s">
        <v>74</v>
      </c>
      <c r="AU26">
        <v>2012</v>
      </c>
      <c r="AV26" t="s">
        <v>74</v>
      </c>
      <c r="AW26" t="s">
        <v>74</v>
      </c>
      <c r="AX26" t="s">
        <v>74</v>
      </c>
      <c r="AY26" t="s">
        <v>74</v>
      </c>
      <c r="AZ26" t="s">
        <v>74</v>
      </c>
      <c r="BA26" t="s">
        <v>74</v>
      </c>
      <c r="BB26">
        <v>2921</v>
      </c>
      <c r="BC26">
        <v>2928</v>
      </c>
      <c r="BD26" t="s">
        <v>74</v>
      </c>
      <c r="BE26" t="s">
        <v>74</v>
      </c>
      <c r="BF26" t="s">
        <v>74</v>
      </c>
      <c r="BG26" t="s">
        <v>74</v>
      </c>
      <c r="BH26" t="s">
        <v>74</v>
      </c>
      <c r="BI26">
        <v>8</v>
      </c>
      <c r="BJ26" t="s">
        <v>669</v>
      </c>
      <c r="BK26" t="s">
        <v>419</v>
      </c>
      <c r="BL26" t="s">
        <v>670</v>
      </c>
      <c r="BM26" t="s">
        <v>671</v>
      </c>
      <c r="BN26" t="s">
        <v>74</v>
      </c>
      <c r="BO26" t="s">
        <v>74</v>
      </c>
      <c r="BP26" t="s">
        <v>74</v>
      </c>
      <c r="BQ26" t="s">
        <v>74</v>
      </c>
      <c r="BR26" t="s">
        <v>102</v>
      </c>
      <c r="BS26" t="s">
        <v>672</v>
      </c>
      <c r="BT26" t="str">
        <f>HYPERLINK("https%3A%2F%2Fwww.webofscience.com%2Fwos%2Fwoscc%2Ffull-record%2FWOS:000392426504055","View Full Record in Web of Science")</f>
        <v>View Full Record in Web of Science</v>
      </c>
    </row>
    <row r="27" spans="1:72" x14ac:dyDescent="0.15">
      <c r="A27" t="s">
        <v>393</v>
      </c>
      <c r="B27" t="s">
        <v>673</v>
      </c>
      <c r="C27" t="s">
        <v>74</v>
      </c>
      <c r="D27" t="s">
        <v>674</v>
      </c>
      <c r="E27" t="s">
        <v>74</v>
      </c>
      <c r="F27" t="s">
        <v>675</v>
      </c>
      <c r="G27" t="s">
        <v>74</v>
      </c>
      <c r="H27" t="s">
        <v>74</v>
      </c>
      <c r="I27" t="s">
        <v>676</v>
      </c>
      <c r="J27" t="s">
        <v>677</v>
      </c>
      <c r="K27" t="s">
        <v>678</v>
      </c>
      <c r="L27" t="s">
        <v>74</v>
      </c>
      <c r="M27" t="s">
        <v>78</v>
      </c>
      <c r="N27" t="s">
        <v>400</v>
      </c>
      <c r="O27" t="s">
        <v>679</v>
      </c>
      <c r="P27" t="s">
        <v>680</v>
      </c>
      <c r="Q27" t="s">
        <v>681</v>
      </c>
      <c r="R27" t="s">
        <v>74</v>
      </c>
      <c r="S27" t="s">
        <v>74</v>
      </c>
      <c r="T27" t="s">
        <v>74</v>
      </c>
      <c r="U27" t="s">
        <v>74</v>
      </c>
      <c r="V27" t="s">
        <v>682</v>
      </c>
      <c r="W27" t="s">
        <v>683</v>
      </c>
      <c r="X27" t="s">
        <v>684</v>
      </c>
      <c r="Y27" t="s">
        <v>685</v>
      </c>
      <c r="Z27" t="s">
        <v>74</v>
      </c>
      <c r="AA27" t="s">
        <v>74</v>
      </c>
      <c r="AB27" t="s">
        <v>74</v>
      </c>
      <c r="AC27" t="s">
        <v>74</v>
      </c>
      <c r="AD27" t="s">
        <v>74</v>
      </c>
      <c r="AE27" t="s">
        <v>74</v>
      </c>
      <c r="AF27" t="s">
        <v>74</v>
      </c>
      <c r="AG27">
        <v>16</v>
      </c>
      <c r="AH27">
        <v>0</v>
      </c>
      <c r="AI27">
        <v>0</v>
      </c>
      <c r="AJ27">
        <v>0</v>
      </c>
      <c r="AK27">
        <v>1</v>
      </c>
      <c r="AL27" t="s">
        <v>686</v>
      </c>
      <c r="AM27" t="s">
        <v>687</v>
      </c>
      <c r="AN27" t="s">
        <v>688</v>
      </c>
      <c r="AO27" t="s">
        <v>689</v>
      </c>
      <c r="AP27" t="s">
        <v>690</v>
      </c>
      <c r="AQ27" t="s">
        <v>691</v>
      </c>
      <c r="AR27" t="s">
        <v>692</v>
      </c>
      <c r="AS27" t="s">
        <v>74</v>
      </c>
      <c r="AT27" t="s">
        <v>74</v>
      </c>
      <c r="AU27">
        <v>2012</v>
      </c>
      <c r="AV27">
        <v>7431</v>
      </c>
      <c r="AW27" t="s">
        <v>74</v>
      </c>
      <c r="AX27" t="s">
        <v>74</v>
      </c>
      <c r="AY27" t="s">
        <v>74</v>
      </c>
      <c r="AZ27" t="s">
        <v>74</v>
      </c>
      <c r="BA27" t="s">
        <v>74</v>
      </c>
      <c r="BB27">
        <v>394</v>
      </c>
      <c r="BC27">
        <v>403</v>
      </c>
      <c r="BD27" t="s">
        <v>74</v>
      </c>
      <c r="BE27" t="s">
        <v>74</v>
      </c>
      <c r="BF27" t="s">
        <v>74</v>
      </c>
      <c r="BG27" t="s">
        <v>74</v>
      </c>
      <c r="BH27" t="s">
        <v>74</v>
      </c>
      <c r="BI27">
        <v>10</v>
      </c>
      <c r="BJ27" t="s">
        <v>693</v>
      </c>
      <c r="BK27" t="s">
        <v>419</v>
      </c>
      <c r="BL27" t="s">
        <v>694</v>
      </c>
      <c r="BM27" t="s">
        <v>695</v>
      </c>
      <c r="BN27" t="s">
        <v>74</v>
      </c>
      <c r="BO27" t="s">
        <v>74</v>
      </c>
      <c r="BP27" t="s">
        <v>74</v>
      </c>
      <c r="BQ27" t="s">
        <v>74</v>
      </c>
      <c r="BR27" t="s">
        <v>102</v>
      </c>
      <c r="BS27" t="s">
        <v>696</v>
      </c>
      <c r="BT27" t="str">
        <f>HYPERLINK("https%3A%2F%2Fwww.webofscience.com%2Fwos%2Fwoscc%2Ffull-record%2FWOS:000363266600038","View Full Record in Web of Science")</f>
        <v>View Full Record in Web of Science</v>
      </c>
    </row>
    <row r="28" spans="1:72" x14ac:dyDescent="0.15">
      <c r="A28" t="s">
        <v>72</v>
      </c>
      <c r="B28" t="s">
        <v>697</v>
      </c>
      <c r="C28" t="s">
        <v>74</v>
      </c>
      <c r="D28" t="s">
        <v>74</v>
      </c>
      <c r="E28" t="s">
        <v>74</v>
      </c>
      <c r="F28" t="s">
        <v>698</v>
      </c>
      <c r="G28" t="s">
        <v>74</v>
      </c>
      <c r="H28" t="s">
        <v>74</v>
      </c>
      <c r="I28" t="s">
        <v>699</v>
      </c>
      <c r="J28" t="s">
        <v>700</v>
      </c>
      <c r="K28" t="s">
        <v>74</v>
      </c>
      <c r="L28" t="s">
        <v>74</v>
      </c>
      <c r="M28" t="s">
        <v>78</v>
      </c>
      <c r="N28" t="s">
        <v>79</v>
      </c>
      <c r="O28" t="s">
        <v>74</v>
      </c>
      <c r="P28" t="s">
        <v>74</v>
      </c>
      <c r="Q28" t="s">
        <v>74</v>
      </c>
      <c r="R28" t="s">
        <v>74</v>
      </c>
      <c r="S28" t="s">
        <v>74</v>
      </c>
      <c r="T28" t="s">
        <v>701</v>
      </c>
      <c r="U28" t="s">
        <v>702</v>
      </c>
      <c r="V28" t="s">
        <v>703</v>
      </c>
      <c r="W28" t="s">
        <v>704</v>
      </c>
      <c r="X28" t="s">
        <v>705</v>
      </c>
      <c r="Y28" t="s">
        <v>706</v>
      </c>
      <c r="Z28" t="s">
        <v>707</v>
      </c>
      <c r="AA28" t="s">
        <v>708</v>
      </c>
      <c r="AB28" t="s">
        <v>709</v>
      </c>
      <c r="AC28" t="s">
        <v>710</v>
      </c>
      <c r="AD28" t="s">
        <v>711</v>
      </c>
      <c r="AE28" t="s">
        <v>712</v>
      </c>
      <c r="AF28" t="s">
        <v>74</v>
      </c>
      <c r="AG28">
        <v>35</v>
      </c>
      <c r="AH28">
        <v>0</v>
      </c>
      <c r="AI28">
        <v>0</v>
      </c>
      <c r="AJ28">
        <v>0</v>
      </c>
      <c r="AK28">
        <v>7</v>
      </c>
      <c r="AL28" t="s">
        <v>713</v>
      </c>
      <c r="AM28" t="s">
        <v>714</v>
      </c>
      <c r="AN28" t="s">
        <v>715</v>
      </c>
      <c r="AO28" t="s">
        <v>716</v>
      </c>
      <c r="AP28" t="s">
        <v>717</v>
      </c>
      <c r="AQ28" t="s">
        <v>74</v>
      </c>
      <c r="AR28" t="s">
        <v>718</v>
      </c>
      <c r="AS28" t="s">
        <v>719</v>
      </c>
      <c r="AT28" t="s">
        <v>74</v>
      </c>
      <c r="AU28">
        <v>2012</v>
      </c>
      <c r="AV28">
        <v>45</v>
      </c>
      <c r="AW28">
        <v>18</v>
      </c>
      <c r="AX28" t="s">
        <v>74</v>
      </c>
      <c r="AY28" t="s">
        <v>74</v>
      </c>
      <c r="AZ28" t="s">
        <v>74</v>
      </c>
      <c r="BA28" t="s">
        <v>74</v>
      </c>
      <c r="BB28">
        <v>2675</v>
      </c>
      <c r="BC28">
        <v>2686</v>
      </c>
      <c r="BD28" t="s">
        <v>74</v>
      </c>
      <c r="BE28" t="s">
        <v>720</v>
      </c>
      <c r="BF28" t="str">
        <f>HYPERLINK("http://dx.doi.org/10.1080/00032719.2012.702179","http://dx.doi.org/10.1080/00032719.2012.702179")</f>
        <v>http://dx.doi.org/10.1080/00032719.2012.702179</v>
      </c>
      <c r="BG28" t="s">
        <v>74</v>
      </c>
      <c r="BH28" t="s">
        <v>74</v>
      </c>
      <c r="BI28">
        <v>12</v>
      </c>
      <c r="BJ28" t="s">
        <v>721</v>
      </c>
      <c r="BK28" t="s">
        <v>100</v>
      </c>
      <c r="BL28" t="s">
        <v>722</v>
      </c>
      <c r="BM28" t="s">
        <v>723</v>
      </c>
      <c r="BN28" t="s">
        <v>74</v>
      </c>
      <c r="BO28" t="s">
        <v>74</v>
      </c>
      <c r="BP28" t="s">
        <v>74</v>
      </c>
      <c r="BQ28" t="s">
        <v>74</v>
      </c>
      <c r="BR28" t="s">
        <v>102</v>
      </c>
      <c r="BS28" t="s">
        <v>724</v>
      </c>
      <c r="BT28" t="str">
        <f>HYPERLINK("https%3A%2F%2Fwww.webofscience.com%2Fwos%2Fwoscc%2Ffull-record%2FWOS:000311702900003","View Full Record in Web of Science")</f>
        <v>View Full Record in Web of Science</v>
      </c>
    </row>
    <row r="29" spans="1:72" x14ac:dyDescent="0.15">
      <c r="A29" t="s">
        <v>72</v>
      </c>
      <c r="B29" t="s">
        <v>725</v>
      </c>
      <c r="C29" t="s">
        <v>74</v>
      </c>
      <c r="D29" t="s">
        <v>74</v>
      </c>
      <c r="E29" t="s">
        <v>74</v>
      </c>
      <c r="F29" t="s">
        <v>726</v>
      </c>
      <c r="G29" t="s">
        <v>74</v>
      </c>
      <c r="H29" t="s">
        <v>74</v>
      </c>
      <c r="I29" t="s">
        <v>727</v>
      </c>
      <c r="J29" t="s">
        <v>728</v>
      </c>
      <c r="K29" t="s">
        <v>74</v>
      </c>
      <c r="L29" t="s">
        <v>74</v>
      </c>
      <c r="M29" t="s">
        <v>78</v>
      </c>
      <c r="N29" t="s">
        <v>79</v>
      </c>
      <c r="O29" t="s">
        <v>74</v>
      </c>
      <c r="P29" t="s">
        <v>74</v>
      </c>
      <c r="Q29" t="s">
        <v>74</v>
      </c>
      <c r="R29" t="s">
        <v>74</v>
      </c>
      <c r="S29" t="s">
        <v>74</v>
      </c>
      <c r="T29" t="s">
        <v>729</v>
      </c>
      <c r="U29" t="s">
        <v>730</v>
      </c>
      <c r="V29" t="s">
        <v>74</v>
      </c>
      <c r="W29" t="s">
        <v>731</v>
      </c>
      <c r="X29" t="s">
        <v>732</v>
      </c>
      <c r="Y29" t="s">
        <v>733</v>
      </c>
      <c r="Z29" t="s">
        <v>734</v>
      </c>
      <c r="AA29" t="s">
        <v>735</v>
      </c>
      <c r="AB29" t="s">
        <v>736</v>
      </c>
      <c r="AC29" t="s">
        <v>737</v>
      </c>
      <c r="AD29" t="s">
        <v>738</v>
      </c>
      <c r="AE29" t="s">
        <v>739</v>
      </c>
      <c r="AF29" t="s">
        <v>74</v>
      </c>
      <c r="AG29">
        <v>42</v>
      </c>
      <c r="AH29">
        <v>97</v>
      </c>
      <c r="AI29">
        <v>103</v>
      </c>
      <c r="AJ29">
        <v>5</v>
      </c>
      <c r="AK29">
        <v>108</v>
      </c>
      <c r="AL29" t="s">
        <v>740</v>
      </c>
      <c r="AM29" t="s">
        <v>741</v>
      </c>
      <c r="AN29" t="s">
        <v>742</v>
      </c>
      <c r="AO29" t="s">
        <v>743</v>
      </c>
      <c r="AP29" t="s">
        <v>74</v>
      </c>
      <c r="AQ29" t="s">
        <v>74</v>
      </c>
      <c r="AR29" t="s">
        <v>744</v>
      </c>
      <c r="AS29" t="s">
        <v>745</v>
      </c>
      <c r="AT29" t="s">
        <v>74</v>
      </c>
      <c r="AU29">
        <v>2012</v>
      </c>
      <c r="AV29">
        <v>51</v>
      </c>
      <c r="AW29">
        <v>15</v>
      </c>
      <c r="AX29" t="s">
        <v>74</v>
      </c>
      <c r="AY29" t="s">
        <v>74</v>
      </c>
      <c r="AZ29" t="s">
        <v>74</v>
      </c>
      <c r="BA29" t="s">
        <v>74</v>
      </c>
      <c r="BB29">
        <v>3606</v>
      </c>
      <c r="BC29">
        <v>3610</v>
      </c>
      <c r="BD29" t="s">
        <v>74</v>
      </c>
      <c r="BE29" t="s">
        <v>746</v>
      </c>
      <c r="BF29" t="str">
        <f>HYPERLINK("http://dx.doi.org/10.1002/anie.201108682","http://dx.doi.org/10.1002/anie.201108682")</f>
        <v>http://dx.doi.org/10.1002/anie.201108682</v>
      </c>
      <c r="BG29" t="s">
        <v>74</v>
      </c>
      <c r="BH29" t="s">
        <v>74</v>
      </c>
      <c r="BI29">
        <v>5</v>
      </c>
      <c r="BJ29" t="s">
        <v>747</v>
      </c>
      <c r="BK29" t="s">
        <v>748</v>
      </c>
      <c r="BL29" t="s">
        <v>722</v>
      </c>
      <c r="BM29" t="s">
        <v>749</v>
      </c>
      <c r="BN29">
        <v>22389168</v>
      </c>
      <c r="BO29" t="s">
        <v>74</v>
      </c>
      <c r="BP29" t="s">
        <v>74</v>
      </c>
      <c r="BQ29" t="s">
        <v>74</v>
      </c>
      <c r="BR29" t="s">
        <v>102</v>
      </c>
      <c r="BS29" t="s">
        <v>750</v>
      </c>
      <c r="BT29" t="str">
        <f>HYPERLINK("https%3A%2F%2Fwww.webofscience.com%2Fwos%2Fwoscc%2Ffull-record%2FWOS:000302348200015","View Full Record in Web of Science")</f>
        <v>View Full Record in Web of Science</v>
      </c>
    </row>
    <row r="30" spans="1:72" x14ac:dyDescent="0.15">
      <c r="A30" t="s">
        <v>72</v>
      </c>
      <c r="B30" t="s">
        <v>751</v>
      </c>
      <c r="C30" t="s">
        <v>74</v>
      </c>
      <c r="D30" t="s">
        <v>74</v>
      </c>
      <c r="E30" t="s">
        <v>74</v>
      </c>
      <c r="F30" t="s">
        <v>752</v>
      </c>
      <c r="G30" t="s">
        <v>74</v>
      </c>
      <c r="H30" t="s">
        <v>74</v>
      </c>
      <c r="I30" t="s">
        <v>753</v>
      </c>
      <c r="J30" t="s">
        <v>754</v>
      </c>
      <c r="K30" t="s">
        <v>74</v>
      </c>
      <c r="L30" t="s">
        <v>74</v>
      </c>
      <c r="M30" t="s">
        <v>78</v>
      </c>
      <c r="N30" t="s">
        <v>79</v>
      </c>
      <c r="O30" t="s">
        <v>74</v>
      </c>
      <c r="P30" t="s">
        <v>74</v>
      </c>
      <c r="Q30" t="s">
        <v>74</v>
      </c>
      <c r="R30" t="s">
        <v>74</v>
      </c>
      <c r="S30" t="s">
        <v>74</v>
      </c>
      <c r="T30" t="s">
        <v>755</v>
      </c>
      <c r="U30" t="s">
        <v>756</v>
      </c>
      <c r="V30" t="s">
        <v>757</v>
      </c>
      <c r="W30" t="s">
        <v>758</v>
      </c>
      <c r="X30" t="s">
        <v>759</v>
      </c>
      <c r="Y30" t="s">
        <v>760</v>
      </c>
      <c r="Z30" t="s">
        <v>761</v>
      </c>
      <c r="AA30" t="s">
        <v>762</v>
      </c>
      <c r="AB30" t="s">
        <v>763</v>
      </c>
      <c r="AC30" t="s">
        <v>764</v>
      </c>
      <c r="AD30" t="s">
        <v>764</v>
      </c>
      <c r="AE30" t="s">
        <v>765</v>
      </c>
      <c r="AF30" t="s">
        <v>74</v>
      </c>
      <c r="AG30">
        <v>43</v>
      </c>
      <c r="AH30">
        <v>8</v>
      </c>
      <c r="AI30">
        <v>8</v>
      </c>
      <c r="AJ30">
        <v>0</v>
      </c>
      <c r="AK30">
        <v>20</v>
      </c>
      <c r="AL30" t="s">
        <v>766</v>
      </c>
      <c r="AM30" t="s">
        <v>767</v>
      </c>
      <c r="AN30" t="s">
        <v>768</v>
      </c>
      <c r="AO30" t="s">
        <v>769</v>
      </c>
      <c r="AP30" t="s">
        <v>770</v>
      </c>
      <c r="AQ30" t="s">
        <v>74</v>
      </c>
      <c r="AR30" t="s">
        <v>771</v>
      </c>
      <c r="AS30" t="s">
        <v>772</v>
      </c>
      <c r="AT30" t="s">
        <v>74</v>
      </c>
      <c r="AU30">
        <v>2012</v>
      </c>
      <c r="AV30">
        <v>30</v>
      </c>
      <c r="AW30">
        <v>10</v>
      </c>
      <c r="AX30" t="s">
        <v>74</v>
      </c>
      <c r="AY30" t="s">
        <v>74</v>
      </c>
      <c r="AZ30" t="s">
        <v>74</v>
      </c>
      <c r="BA30" t="s">
        <v>74</v>
      </c>
      <c r="BB30">
        <v>1435</v>
      </c>
      <c r="BC30">
        <v>1449</v>
      </c>
      <c r="BD30" t="s">
        <v>74</v>
      </c>
      <c r="BE30" t="s">
        <v>773</v>
      </c>
      <c r="BF30" t="str">
        <f>HYPERLINK("http://dx.doi.org/10.5194/angeo-30-1435-2012","http://dx.doi.org/10.5194/angeo-30-1435-2012")</f>
        <v>http://dx.doi.org/10.5194/angeo-30-1435-2012</v>
      </c>
      <c r="BG30" t="s">
        <v>74</v>
      </c>
      <c r="BH30" t="s">
        <v>74</v>
      </c>
      <c r="BI30">
        <v>15</v>
      </c>
      <c r="BJ30" t="s">
        <v>774</v>
      </c>
      <c r="BK30" t="s">
        <v>100</v>
      </c>
      <c r="BL30" t="s">
        <v>775</v>
      </c>
      <c r="BM30" t="s">
        <v>776</v>
      </c>
      <c r="BN30" t="s">
        <v>74</v>
      </c>
      <c r="BO30" t="s">
        <v>777</v>
      </c>
      <c r="BP30" t="s">
        <v>74</v>
      </c>
      <c r="BQ30" t="s">
        <v>74</v>
      </c>
      <c r="BR30" t="s">
        <v>102</v>
      </c>
      <c r="BS30" t="s">
        <v>778</v>
      </c>
      <c r="BT30" t="str">
        <f>HYPERLINK("https%3A%2F%2Fwww.webofscience.com%2Fwos%2Fwoscc%2Ffull-record%2FWOS:000311977200002","View Full Record in Web of Science")</f>
        <v>View Full Record in Web of Science</v>
      </c>
    </row>
    <row r="31" spans="1:72" x14ac:dyDescent="0.15">
      <c r="A31" t="s">
        <v>72</v>
      </c>
      <c r="B31" t="s">
        <v>779</v>
      </c>
      <c r="C31" t="s">
        <v>74</v>
      </c>
      <c r="D31" t="s">
        <v>74</v>
      </c>
      <c r="E31" t="s">
        <v>74</v>
      </c>
      <c r="F31" t="s">
        <v>780</v>
      </c>
      <c r="G31" t="s">
        <v>74</v>
      </c>
      <c r="H31" t="s">
        <v>74</v>
      </c>
      <c r="I31" t="s">
        <v>781</v>
      </c>
      <c r="J31" t="s">
        <v>782</v>
      </c>
      <c r="K31" t="s">
        <v>74</v>
      </c>
      <c r="L31" t="s">
        <v>74</v>
      </c>
      <c r="M31" t="s">
        <v>78</v>
      </c>
      <c r="N31" t="s">
        <v>79</v>
      </c>
      <c r="O31" t="s">
        <v>74</v>
      </c>
      <c r="P31" t="s">
        <v>74</v>
      </c>
      <c r="Q31" t="s">
        <v>74</v>
      </c>
      <c r="R31" t="s">
        <v>74</v>
      </c>
      <c r="S31" t="s">
        <v>74</v>
      </c>
      <c r="T31" t="s">
        <v>783</v>
      </c>
      <c r="U31" t="s">
        <v>784</v>
      </c>
      <c r="V31" t="s">
        <v>785</v>
      </c>
      <c r="W31" t="s">
        <v>786</v>
      </c>
      <c r="X31" t="s">
        <v>787</v>
      </c>
      <c r="Y31" t="s">
        <v>788</v>
      </c>
      <c r="Z31" t="s">
        <v>789</v>
      </c>
      <c r="AA31" t="s">
        <v>790</v>
      </c>
      <c r="AB31" t="s">
        <v>791</v>
      </c>
      <c r="AC31" t="s">
        <v>792</v>
      </c>
      <c r="AD31" t="s">
        <v>793</v>
      </c>
      <c r="AE31" t="s">
        <v>794</v>
      </c>
      <c r="AF31" t="s">
        <v>74</v>
      </c>
      <c r="AG31">
        <v>32</v>
      </c>
      <c r="AH31">
        <v>1</v>
      </c>
      <c r="AI31">
        <v>1</v>
      </c>
      <c r="AJ31">
        <v>0</v>
      </c>
      <c r="AK31">
        <v>13</v>
      </c>
      <c r="AL31" t="s">
        <v>795</v>
      </c>
      <c r="AM31" t="s">
        <v>796</v>
      </c>
      <c r="AN31" t="s">
        <v>797</v>
      </c>
      <c r="AO31" t="s">
        <v>798</v>
      </c>
      <c r="AP31" t="s">
        <v>74</v>
      </c>
      <c r="AQ31" t="s">
        <v>74</v>
      </c>
      <c r="AR31" t="s">
        <v>799</v>
      </c>
      <c r="AS31" t="s">
        <v>800</v>
      </c>
      <c r="AT31" t="s">
        <v>74</v>
      </c>
      <c r="AU31">
        <v>2012</v>
      </c>
      <c r="AV31">
        <v>161</v>
      </c>
      <c r="AW31">
        <v>2</v>
      </c>
      <c r="AX31" t="s">
        <v>74</v>
      </c>
      <c r="AY31" t="s">
        <v>74</v>
      </c>
      <c r="AZ31" t="s">
        <v>74</v>
      </c>
      <c r="BA31" t="s">
        <v>74</v>
      </c>
      <c r="BB31">
        <v>132</v>
      </c>
      <c r="BC31">
        <v>139</v>
      </c>
      <c r="BD31" t="s">
        <v>74</v>
      </c>
      <c r="BE31" t="s">
        <v>801</v>
      </c>
      <c r="BF31" t="str">
        <f>HYPERLINK("http://dx.doi.org/10.1111/j.1744-7348.2012.00557.x","http://dx.doi.org/10.1111/j.1744-7348.2012.00557.x")</f>
        <v>http://dx.doi.org/10.1111/j.1744-7348.2012.00557.x</v>
      </c>
      <c r="BG31" t="s">
        <v>74</v>
      </c>
      <c r="BH31" t="s">
        <v>74</v>
      </c>
      <c r="BI31">
        <v>8</v>
      </c>
      <c r="BJ31" t="s">
        <v>802</v>
      </c>
      <c r="BK31" t="s">
        <v>100</v>
      </c>
      <c r="BL31" t="s">
        <v>803</v>
      </c>
      <c r="BM31" t="s">
        <v>804</v>
      </c>
      <c r="BN31" t="s">
        <v>74</v>
      </c>
      <c r="BO31" t="s">
        <v>74</v>
      </c>
      <c r="BP31" t="s">
        <v>74</v>
      </c>
      <c r="BQ31" t="s">
        <v>74</v>
      </c>
      <c r="BR31" t="s">
        <v>102</v>
      </c>
      <c r="BS31" t="s">
        <v>805</v>
      </c>
      <c r="BT31" t="str">
        <f>HYPERLINK("https%3A%2F%2Fwww.webofscience.com%2Fwos%2Fwoscc%2Ffull-record%2FWOS:000307046000004","View Full Record in Web of Science")</f>
        <v>View Full Record in Web of Science</v>
      </c>
    </row>
    <row r="32" spans="1:72" x14ac:dyDescent="0.15">
      <c r="A32" t="s">
        <v>72</v>
      </c>
      <c r="B32" t="s">
        <v>806</v>
      </c>
      <c r="C32" t="s">
        <v>74</v>
      </c>
      <c r="D32" t="s">
        <v>74</v>
      </c>
      <c r="E32" t="s">
        <v>74</v>
      </c>
      <c r="F32" t="s">
        <v>807</v>
      </c>
      <c r="G32" t="s">
        <v>74</v>
      </c>
      <c r="H32" t="s">
        <v>74</v>
      </c>
      <c r="I32" t="s">
        <v>808</v>
      </c>
      <c r="J32" t="s">
        <v>809</v>
      </c>
      <c r="K32" t="s">
        <v>74</v>
      </c>
      <c r="L32" t="s">
        <v>74</v>
      </c>
      <c r="M32" t="s">
        <v>78</v>
      </c>
      <c r="N32" t="s">
        <v>810</v>
      </c>
      <c r="O32" t="s">
        <v>74</v>
      </c>
      <c r="P32" t="s">
        <v>74</v>
      </c>
      <c r="Q32" t="s">
        <v>74</v>
      </c>
      <c r="R32" t="s">
        <v>74</v>
      </c>
      <c r="S32" t="s">
        <v>74</v>
      </c>
      <c r="T32" t="s">
        <v>74</v>
      </c>
      <c r="U32" t="s">
        <v>811</v>
      </c>
      <c r="V32" t="s">
        <v>74</v>
      </c>
      <c r="W32" t="s">
        <v>74</v>
      </c>
      <c r="X32" t="s">
        <v>74</v>
      </c>
      <c r="Y32" t="s">
        <v>74</v>
      </c>
      <c r="Z32" t="s">
        <v>74</v>
      </c>
      <c r="AA32" t="s">
        <v>812</v>
      </c>
      <c r="AB32" t="s">
        <v>74</v>
      </c>
      <c r="AC32" t="s">
        <v>74</v>
      </c>
      <c r="AD32" t="s">
        <v>74</v>
      </c>
      <c r="AE32" t="s">
        <v>74</v>
      </c>
      <c r="AF32" t="s">
        <v>74</v>
      </c>
      <c r="AG32">
        <v>7</v>
      </c>
      <c r="AH32">
        <v>0</v>
      </c>
      <c r="AI32">
        <v>0</v>
      </c>
      <c r="AJ32">
        <v>0</v>
      </c>
      <c r="AK32">
        <v>0</v>
      </c>
      <c r="AL32" t="s">
        <v>813</v>
      </c>
      <c r="AM32" t="s">
        <v>814</v>
      </c>
      <c r="AN32" t="s">
        <v>815</v>
      </c>
      <c r="AO32" t="s">
        <v>816</v>
      </c>
      <c r="AP32" t="s">
        <v>817</v>
      </c>
      <c r="AQ32" t="s">
        <v>74</v>
      </c>
      <c r="AR32" t="s">
        <v>818</v>
      </c>
      <c r="AS32" t="s">
        <v>819</v>
      </c>
      <c r="AT32" t="s">
        <v>74</v>
      </c>
      <c r="AU32">
        <v>2012</v>
      </c>
      <c r="AV32">
        <v>53</v>
      </c>
      <c r="AW32">
        <v>60</v>
      </c>
      <c r="AX32">
        <v>1</v>
      </c>
      <c r="AY32" t="s">
        <v>74</v>
      </c>
      <c r="AZ32" t="s">
        <v>74</v>
      </c>
      <c r="BA32" t="s">
        <v>74</v>
      </c>
      <c r="BB32" t="s">
        <v>820</v>
      </c>
      <c r="BC32" t="s">
        <v>821</v>
      </c>
      <c r="BD32" t="s">
        <v>74</v>
      </c>
      <c r="BE32" t="s">
        <v>74</v>
      </c>
      <c r="BF32" t="s">
        <v>74</v>
      </c>
      <c r="BG32" t="s">
        <v>74</v>
      </c>
      <c r="BH32" t="s">
        <v>74</v>
      </c>
      <c r="BI32">
        <v>2</v>
      </c>
      <c r="BJ32" t="s">
        <v>226</v>
      </c>
      <c r="BK32" t="s">
        <v>100</v>
      </c>
      <c r="BL32" t="s">
        <v>227</v>
      </c>
      <c r="BM32" t="s">
        <v>822</v>
      </c>
      <c r="BN32" t="s">
        <v>74</v>
      </c>
      <c r="BO32" t="s">
        <v>74</v>
      </c>
      <c r="BP32" t="s">
        <v>74</v>
      </c>
      <c r="BQ32" t="s">
        <v>74</v>
      </c>
      <c r="BR32" t="s">
        <v>102</v>
      </c>
      <c r="BS32" t="s">
        <v>823</v>
      </c>
      <c r="BT32" t="str">
        <f>HYPERLINK("https%3A%2F%2Fwww.webofscience.com%2Fwos%2Fwoscc%2Ffull-record%2FWOS:000315310300001","View Full Record in Web of Science")</f>
        <v>View Full Record in Web of Science</v>
      </c>
    </row>
    <row r="33" spans="1:72" x14ac:dyDescent="0.15">
      <c r="A33" t="s">
        <v>72</v>
      </c>
      <c r="B33" t="s">
        <v>806</v>
      </c>
      <c r="C33" t="s">
        <v>74</v>
      </c>
      <c r="D33" t="s">
        <v>74</v>
      </c>
      <c r="E33" t="s">
        <v>74</v>
      </c>
      <c r="F33" t="s">
        <v>807</v>
      </c>
      <c r="G33" t="s">
        <v>74</v>
      </c>
      <c r="H33" t="s">
        <v>74</v>
      </c>
      <c r="I33" t="s">
        <v>808</v>
      </c>
      <c r="J33" t="s">
        <v>809</v>
      </c>
      <c r="K33" t="s">
        <v>74</v>
      </c>
      <c r="L33" t="s">
        <v>74</v>
      </c>
      <c r="M33" t="s">
        <v>78</v>
      </c>
      <c r="N33" t="s">
        <v>810</v>
      </c>
      <c r="O33" t="s">
        <v>74</v>
      </c>
      <c r="P33" t="s">
        <v>74</v>
      </c>
      <c r="Q33" t="s">
        <v>74</v>
      </c>
      <c r="R33" t="s">
        <v>74</v>
      </c>
      <c r="S33" t="s">
        <v>74</v>
      </c>
      <c r="T33" t="s">
        <v>74</v>
      </c>
      <c r="U33" t="s">
        <v>811</v>
      </c>
      <c r="V33" t="s">
        <v>74</v>
      </c>
      <c r="W33" t="s">
        <v>74</v>
      </c>
      <c r="X33" t="s">
        <v>74</v>
      </c>
      <c r="Y33" t="s">
        <v>74</v>
      </c>
      <c r="Z33" t="s">
        <v>74</v>
      </c>
      <c r="AA33" t="s">
        <v>812</v>
      </c>
      <c r="AB33" t="s">
        <v>74</v>
      </c>
      <c r="AC33" t="s">
        <v>74</v>
      </c>
      <c r="AD33" t="s">
        <v>74</v>
      </c>
      <c r="AE33" t="s">
        <v>74</v>
      </c>
      <c r="AF33" t="s">
        <v>74</v>
      </c>
      <c r="AG33">
        <v>7</v>
      </c>
      <c r="AH33">
        <v>0</v>
      </c>
      <c r="AI33">
        <v>0</v>
      </c>
      <c r="AJ33">
        <v>0</v>
      </c>
      <c r="AK33">
        <v>0</v>
      </c>
      <c r="AL33" t="s">
        <v>813</v>
      </c>
      <c r="AM33" t="s">
        <v>814</v>
      </c>
      <c r="AN33" t="s">
        <v>815</v>
      </c>
      <c r="AO33" t="s">
        <v>816</v>
      </c>
      <c r="AP33" t="s">
        <v>817</v>
      </c>
      <c r="AQ33" t="s">
        <v>74</v>
      </c>
      <c r="AR33" t="s">
        <v>818</v>
      </c>
      <c r="AS33" t="s">
        <v>819</v>
      </c>
      <c r="AT33" t="s">
        <v>74</v>
      </c>
      <c r="AU33">
        <v>2012</v>
      </c>
      <c r="AV33">
        <v>53</v>
      </c>
      <c r="AW33">
        <v>60</v>
      </c>
      <c r="AX33">
        <v>2</v>
      </c>
      <c r="AY33" t="s">
        <v>74</v>
      </c>
      <c r="AZ33" t="s">
        <v>74</v>
      </c>
      <c r="BA33" t="s">
        <v>74</v>
      </c>
      <c r="BB33" t="s">
        <v>820</v>
      </c>
      <c r="BC33" t="s">
        <v>821</v>
      </c>
      <c r="BD33" t="s">
        <v>74</v>
      </c>
      <c r="BE33" t="s">
        <v>74</v>
      </c>
      <c r="BF33" t="s">
        <v>74</v>
      </c>
      <c r="BG33" t="s">
        <v>74</v>
      </c>
      <c r="BH33" t="s">
        <v>74</v>
      </c>
      <c r="BI33">
        <v>2</v>
      </c>
      <c r="BJ33" t="s">
        <v>226</v>
      </c>
      <c r="BK33" t="s">
        <v>100</v>
      </c>
      <c r="BL33" t="s">
        <v>227</v>
      </c>
      <c r="BM33" t="s">
        <v>824</v>
      </c>
      <c r="BN33" t="s">
        <v>74</v>
      </c>
      <c r="BO33" t="s">
        <v>74</v>
      </c>
      <c r="BP33" t="s">
        <v>74</v>
      </c>
      <c r="BQ33" t="s">
        <v>74</v>
      </c>
      <c r="BR33" t="s">
        <v>102</v>
      </c>
      <c r="BS33" t="s">
        <v>825</v>
      </c>
      <c r="BT33" t="str">
        <f>HYPERLINK("https%3A%2F%2Fwww.webofscience.com%2Fwos%2Fwoscc%2Ffull-record%2FWOS:000315310400001","View Full Record in Web of Science")</f>
        <v>View Full Record in Web of Science</v>
      </c>
    </row>
    <row r="34" spans="1:72" x14ac:dyDescent="0.15">
      <c r="A34" t="s">
        <v>72</v>
      </c>
      <c r="B34" t="s">
        <v>826</v>
      </c>
      <c r="C34" t="s">
        <v>74</v>
      </c>
      <c r="D34" t="s">
        <v>74</v>
      </c>
      <c r="E34" t="s">
        <v>74</v>
      </c>
      <c r="F34" t="s">
        <v>827</v>
      </c>
      <c r="G34" t="s">
        <v>74</v>
      </c>
      <c r="H34" t="s">
        <v>74</v>
      </c>
      <c r="I34" t="s">
        <v>828</v>
      </c>
      <c r="J34" t="s">
        <v>809</v>
      </c>
      <c r="K34" t="s">
        <v>74</v>
      </c>
      <c r="L34" t="s">
        <v>74</v>
      </c>
      <c r="M34" t="s">
        <v>78</v>
      </c>
      <c r="N34" t="s">
        <v>79</v>
      </c>
      <c r="O34" t="s">
        <v>74</v>
      </c>
      <c r="P34" t="s">
        <v>74</v>
      </c>
      <c r="Q34" t="s">
        <v>74</v>
      </c>
      <c r="R34" t="s">
        <v>74</v>
      </c>
      <c r="S34" t="s">
        <v>74</v>
      </c>
      <c r="T34" t="s">
        <v>74</v>
      </c>
      <c r="U34" t="s">
        <v>829</v>
      </c>
      <c r="V34" t="s">
        <v>830</v>
      </c>
      <c r="W34" t="s">
        <v>831</v>
      </c>
      <c r="X34" t="s">
        <v>832</v>
      </c>
      <c r="Y34" t="s">
        <v>833</v>
      </c>
      <c r="Z34" t="s">
        <v>834</v>
      </c>
      <c r="AA34" t="s">
        <v>835</v>
      </c>
      <c r="AB34" t="s">
        <v>836</v>
      </c>
      <c r="AC34" t="s">
        <v>837</v>
      </c>
      <c r="AD34" t="s">
        <v>838</v>
      </c>
      <c r="AE34" t="s">
        <v>839</v>
      </c>
      <c r="AF34" t="s">
        <v>74</v>
      </c>
      <c r="AG34">
        <v>67</v>
      </c>
      <c r="AH34">
        <v>145</v>
      </c>
      <c r="AI34">
        <v>164</v>
      </c>
      <c r="AJ34">
        <v>2</v>
      </c>
      <c r="AK34">
        <v>55</v>
      </c>
      <c r="AL34" t="s">
        <v>813</v>
      </c>
      <c r="AM34" t="s">
        <v>814</v>
      </c>
      <c r="AN34" t="s">
        <v>815</v>
      </c>
      <c r="AO34" t="s">
        <v>816</v>
      </c>
      <c r="AP34" t="s">
        <v>817</v>
      </c>
      <c r="AQ34" t="s">
        <v>74</v>
      </c>
      <c r="AR34" t="s">
        <v>818</v>
      </c>
      <c r="AS34" t="s">
        <v>819</v>
      </c>
      <c r="AT34" t="s">
        <v>74</v>
      </c>
      <c r="AU34">
        <v>2012</v>
      </c>
      <c r="AV34">
        <v>53</v>
      </c>
      <c r="AW34">
        <v>60</v>
      </c>
      <c r="AX34">
        <v>1</v>
      </c>
      <c r="AY34" t="s">
        <v>74</v>
      </c>
      <c r="AZ34" t="s">
        <v>74</v>
      </c>
      <c r="BA34" t="s">
        <v>74</v>
      </c>
      <c r="BB34">
        <v>19</v>
      </c>
      <c r="BC34">
        <v>28</v>
      </c>
      <c r="BD34" t="s">
        <v>74</v>
      </c>
      <c r="BE34" t="s">
        <v>840</v>
      </c>
      <c r="BF34" t="str">
        <f>HYPERLINK("http://dx.doi.org/10.3189/2012AoG60A110","http://dx.doi.org/10.3189/2012AoG60A110")</f>
        <v>http://dx.doi.org/10.3189/2012AoG60A110</v>
      </c>
      <c r="BG34" t="s">
        <v>74</v>
      </c>
      <c r="BH34" t="s">
        <v>74</v>
      </c>
      <c r="BI34">
        <v>10</v>
      </c>
      <c r="BJ34" t="s">
        <v>226</v>
      </c>
      <c r="BK34" t="s">
        <v>100</v>
      </c>
      <c r="BL34" t="s">
        <v>227</v>
      </c>
      <c r="BM34" t="s">
        <v>822</v>
      </c>
      <c r="BN34" t="s">
        <v>74</v>
      </c>
      <c r="BO34" t="s">
        <v>841</v>
      </c>
      <c r="BP34" t="s">
        <v>74</v>
      </c>
      <c r="BQ34" t="s">
        <v>74</v>
      </c>
      <c r="BR34" t="s">
        <v>102</v>
      </c>
      <c r="BS34" t="s">
        <v>842</v>
      </c>
      <c r="BT34" t="str">
        <f>HYPERLINK("https%3A%2F%2Fwww.webofscience.com%2Fwos%2Fwoscc%2Ffull-record%2FWOS:000315310300004","View Full Record in Web of Science")</f>
        <v>View Full Record in Web of Science</v>
      </c>
    </row>
    <row r="35" spans="1:72" x14ac:dyDescent="0.15">
      <c r="A35" t="s">
        <v>72</v>
      </c>
      <c r="B35" t="s">
        <v>843</v>
      </c>
      <c r="C35" t="s">
        <v>74</v>
      </c>
      <c r="D35" t="s">
        <v>74</v>
      </c>
      <c r="E35" t="s">
        <v>74</v>
      </c>
      <c r="F35" t="s">
        <v>844</v>
      </c>
      <c r="G35" t="s">
        <v>74</v>
      </c>
      <c r="H35" t="s">
        <v>74</v>
      </c>
      <c r="I35" t="s">
        <v>845</v>
      </c>
      <c r="J35" t="s">
        <v>809</v>
      </c>
      <c r="K35" t="s">
        <v>74</v>
      </c>
      <c r="L35" t="s">
        <v>74</v>
      </c>
      <c r="M35" t="s">
        <v>78</v>
      </c>
      <c r="N35" t="s">
        <v>79</v>
      </c>
      <c r="O35" t="s">
        <v>74</v>
      </c>
      <c r="P35" t="s">
        <v>74</v>
      </c>
      <c r="Q35" t="s">
        <v>74</v>
      </c>
      <c r="R35" t="s">
        <v>74</v>
      </c>
      <c r="S35" t="s">
        <v>74</v>
      </c>
      <c r="T35" t="s">
        <v>74</v>
      </c>
      <c r="U35" t="s">
        <v>846</v>
      </c>
      <c r="V35" t="s">
        <v>847</v>
      </c>
      <c r="W35" t="s">
        <v>848</v>
      </c>
      <c r="X35" t="s">
        <v>849</v>
      </c>
      <c r="Y35" t="s">
        <v>850</v>
      </c>
      <c r="Z35" t="s">
        <v>851</v>
      </c>
      <c r="AA35" t="s">
        <v>852</v>
      </c>
      <c r="AB35" t="s">
        <v>853</v>
      </c>
      <c r="AC35" t="s">
        <v>854</v>
      </c>
      <c r="AD35" t="s">
        <v>855</v>
      </c>
      <c r="AE35" t="s">
        <v>856</v>
      </c>
      <c r="AF35" t="s">
        <v>74</v>
      </c>
      <c r="AG35">
        <v>21</v>
      </c>
      <c r="AH35">
        <v>31</v>
      </c>
      <c r="AI35">
        <v>35</v>
      </c>
      <c r="AJ35">
        <v>1</v>
      </c>
      <c r="AK35">
        <v>14</v>
      </c>
      <c r="AL35" t="s">
        <v>813</v>
      </c>
      <c r="AM35" t="s">
        <v>814</v>
      </c>
      <c r="AN35" t="s">
        <v>815</v>
      </c>
      <c r="AO35" t="s">
        <v>816</v>
      </c>
      <c r="AP35" t="s">
        <v>817</v>
      </c>
      <c r="AQ35" t="s">
        <v>74</v>
      </c>
      <c r="AR35" t="s">
        <v>818</v>
      </c>
      <c r="AS35" t="s">
        <v>819</v>
      </c>
      <c r="AT35" t="s">
        <v>74</v>
      </c>
      <c r="AU35">
        <v>2012</v>
      </c>
      <c r="AV35">
        <v>53</v>
      </c>
      <c r="AW35">
        <v>60</v>
      </c>
      <c r="AX35">
        <v>1</v>
      </c>
      <c r="AY35" t="s">
        <v>74</v>
      </c>
      <c r="AZ35" t="s">
        <v>74</v>
      </c>
      <c r="BA35" t="s">
        <v>74</v>
      </c>
      <c r="BB35">
        <v>29</v>
      </c>
      <c r="BC35">
        <v>34</v>
      </c>
      <c r="BD35" t="s">
        <v>74</v>
      </c>
      <c r="BE35" t="s">
        <v>857</v>
      </c>
      <c r="BF35" t="str">
        <f>HYPERLINK("http://dx.doi.org/10.3189/2012AoG60A106","http://dx.doi.org/10.3189/2012AoG60A106")</f>
        <v>http://dx.doi.org/10.3189/2012AoG60A106</v>
      </c>
      <c r="BG35" t="s">
        <v>74</v>
      </c>
      <c r="BH35" t="s">
        <v>74</v>
      </c>
      <c r="BI35">
        <v>6</v>
      </c>
      <c r="BJ35" t="s">
        <v>226</v>
      </c>
      <c r="BK35" t="s">
        <v>100</v>
      </c>
      <c r="BL35" t="s">
        <v>227</v>
      </c>
      <c r="BM35" t="s">
        <v>822</v>
      </c>
      <c r="BN35" t="s">
        <v>74</v>
      </c>
      <c r="BO35" t="s">
        <v>365</v>
      </c>
      <c r="BP35" t="s">
        <v>74</v>
      </c>
      <c r="BQ35" t="s">
        <v>74</v>
      </c>
      <c r="BR35" t="s">
        <v>102</v>
      </c>
      <c r="BS35" t="s">
        <v>858</v>
      </c>
      <c r="BT35" t="str">
        <f>HYPERLINK("https%3A%2F%2Fwww.webofscience.com%2Fwos%2Fwoscc%2Ffull-record%2FWOS:000315310300005","View Full Record in Web of Science")</f>
        <v>View Full Record in Web of Science</v>
      </c>
    </row>
    <row r="36" spans="1:72" x14ac:dyDescent="0.15">
      <c r="A36" t="s">
        <v>72</v>
      </c>
      <c r="B36" t="s">
        <v>859</v>
      </c>
      <c r="C36" t="s">
        <v>74</v>
      </c>
      <c r="D36" t="s">
        <v>74</v>
      </c>
      <c r="E36" t="s">
        <v>74</v>
      </c>
      <c r="F36" t="s">
        <v>860</v>
      </c>
      <c r="G36" t="s">
        <v>74</v>
      </c>
      <c r="H36" t="s">
        <v>74</v>
      </c>
      <c r="I36" t="s">
        <v>861</v>
      </c>
      <c r="J36" t="s">
        <v>809</v>
      </c>
      <c r="K36" t="s">
        <v>74</v>
      </c>
      <c r="L36" t="s">
        <v>74</v>
      </c>
      <c r="M36" t="s">
        <v>78</v>
      </c>
      <c r="N36" t="s">
        <v>79</v>
      </c>
      <c r="O36" t="s">
        <v>74</v>
      </c>
      <c r="P36" t="s">
        <v>74</v>
      </c>
      <c r="Q36" t="s">
        <v>74</v>
      </c>
      <c r="R36" t="s">
        <v>74</v>
      </c>
      <c r="S36" t="s">
        <v>74</v>
      </c>
      <c r="T36" t="s">
        <v>74</v>
      </c>
      <c r="U36" t="s">
        <v>862</v>
      </c>
      <c r="V36" t="s">
        <v>863</v>
      </c>
      <c r="W36" t="s">
        <v>864</v>
      </c>
      <c r="X36" t="s">
        <v>865</v>
      </c>
      <c r="Y36" t="s">
        <v>866</v>
      </c>
      <c r="Z36" t="s">
        <v>867</v>
      </c>
      <c r="AA36" t="s">
        <v>868</v>
      </c>
      <c r="AB36" t="s">
        <v>869</v>
      </c>
      <c r="AC36" t="s">
        <v>870</v>
      </c>
      <c r="AD36" t="s">
        <v>871</v>
      </c>
      <c r="AE36" t="s">
        <v>872</v>
      </c>
      <c r="AF36" t="s">
        <v>74</v>
      </c>
      <c r="AG36">
        <v>12</v>
      </c>
      <c r="AH36">
        <v>33</v>
      </c>
      <c r="AI36">
        <v>37</v>
      </c>
      <c r="AJ36">
        <v>0</v>
      </c>
      <c r="AK36">
        <v>12</v>
      </c>
      <c r="AL36" t="s">
        <v>813</v>
      </c>
      <c r="AM36" t="s">
        <v>814</v>
      </c>
      <c r="AN36" t="s">
        <v>815</v>
      </c>
      <c r="AO36" t="s">
        <v>816</v>
      </c>
      <c r="AP36" t="s">
        <v>817</v>
      </c>
      <c r="AQ36" t="s">
        <v>74</v>
      </c>
      <c r="AR36" t="s">
        <v>818</v>
      </c>
      <c r="AS36" t="s">
        <v>819</v>
      </c>
      <c r="AT36" t="s">
        <v>74</v>
      </c>
      <c r="AU36">
        <v>2012</v>
      </c>
      <c r="AV36">
        <v>53</v>
      </c>
      <c r="AW36">
        <v>60</v>
      </c>
      <c r="AX36">
        <v>1</v>
      </c>
      <c r="AY36" t="s">
        <v>74</v>
      </c>
      <c r="AZ36" t="s">
        <v>74</v>
      </c>
      <c r="BA36" t="s">
        <v>74</v>
      </c>
      <c r="BB36">
        <v>97</v>
      </c>
      <c r="BC36">
        <v>105</v>
      </c>
      <c r="BD36" t="s">
        <v>74</v>
      </c>
      <c r="BE36" t="s">
        <v>873</v>
      </c>
      <c r="BF36" t="str">
        <f>HYPERLINK("http://dx.doi.org/10.3189/2012AoG60A148","http://dx.doi.org/10.3189/2012AoG60A148")</f>
        <v>http://dx.doi.org/10.3189/2012AoG60A148</v>
      </c>
      <c r="BG36" t="s">
        <v>74</v>
      </c>
      <c r="BH36" t="s">
        <v>74</v>
      </c>
      <c r="BI36">
        <v>9</v>
      </c>
      <c r="BJ36" t="s">
        <v>226</v>
      </c>
      <c r="BK36" t="s">
        <v>100</v>
      </c>
      <c r="BL36" t="s">
        <v>227</v>
      </c>
      <c r="BM36" t="s">
        <v>822</v>
      </c>
      <c r="BN36" t="s">
        <v>74</v>
      </c>
      <c r="BO36" t="s">
        <v>365</v>
      </c>
      <c r="BP36" t="s">
        <v>74</v>
      </c>
      <c r="BQ36" t="s">
        <v>74</v>
      </c>
      <c r="BR36" t="s">
        <v>102</v>
      </c>
      <c r="BS36" t="s">
        <v>874</v>
      </c>
      <c r="BT36" t="str">
        <f>HYPERLINK("https%3A%2F%2Fwww.webofscience.com%2Fwos%2Fwoscc%2Ffull-record%2FWOS:000315310300014","View Full Record in Web of Science")</f>
        <v>View Full Record in Web of Science</v>
      </c>
    </row>
    <row r="37" spans="1:72" x14ac:dyDescent="0.15">
      <c r="A37" t="s">
        <v>72</v>
      </c>
      <c r="B37" t="s">
        <v>875</v>
      </c>
      <c r="C37" t="s">
        <v>74</v>
      </c>
      <c r="D37" t="s">
        <v>74</v>
      </c>
      <c r="E37" t="s">
        <v>74</v>
      </c>
      <c r="F37" t="s">
        <v>876</v>
      </c>
      <c r="G37" t="s">
        <v>74</v>
      </c>
      <c r="H37" t="s">
        <v>74</v>
      </c>
      <c r="I37" t="s">
        <v>877</v>
      </c>
      <c r="J37" t="s">
        <v>809</v>
      </c>
      <c r="K37" t="s">
        <v>74</v>
      </c>
      <c r="L37" t="s">
        <v>74</v>
      </c>
      <c r="M37" t="s">
        <v>78</v>
      </c>
      <c r="N37" t="s">
        <v>79</v>
      </c>
      <c r="O37" t="s">
        <v>74</v>
      </c>
      <c r="P37" t="s">
        <v>74</v>
      </c>
      <c r="Q37" t="s">
        <v>74</v>
      </c>
      <c r="R37" t="s">
        <v>74</v>
      </c>
      <c r="S37" t="s">
        <v>74</v>
      </c>
      <c r="T37" t="s">
        <v>74</v>
      </c>
      <c r="U37" t="s">
        <v>878</v>
      </c>
      <c r="V37" t="s">
        <v>879</v>
      </c>
      <c r="W37" t="s">
        <v>880</v>
      </c>
      <c r="X37" t="s">
        <v>881</v>
      </c>
      <c r="Y37" t="s">
        <v>882</v>
      </c>
      <c r="Z37" t="s">
        <v>883</v>
      </c>
      <c r="AA37" t="s">
        <v>884</v>
      </c>
      <c r="AB37" t="s">
        <v>885</v>
      </c>
      <c r="AC37" t="s">
        <v>886</v>
      </c>
      <c r="AD37" t="s">
        <v>887</v>
      </c>
      <c r="AE37" t="s">
        <v>888</v>
      </c>
      <c r="AF37" t="s">
        <v>74</v>
      </c>
      <c r="AG37">
        <v>21</v>
      </c>
      <c r="AH37">
        <v>12</v>
      </c>
      <c r="AI37">
        <v>15</v>
      </c>
      <c r="AJ37">
        <v>0</v>
      </c>
      <c r="AK37">
        <v>10</v>
      </c>
      <c r="AL37" t="s">
        <v>889</v>
      </c>
      <c r="AM37" t="s">
        <v>814</v>
      </c>
      <c r="AN37" t="s">
        <v>890</v>
      </c>
      <c r="AO37" t="s">
        <v>816</v>
      </c>
      <c r="AP37" t="s">
        <v>817</v>
      </c>
      <c r="AQ37" t="s">
        <v>74</v>
      </c>
      <c r="AR37" t="s">
        <v>818</v>
      </c>
      <c r="AS37" t="s">
        <v>819</v>
      </c>
      <c r="AT37" t="s">
        <v>74</v>
      </c>
      <c r="AU37">
        <v>2012</v>
      </c>
      <c r="AV37">
        <v>53</v>
      </c>
      <c r="AW37">
        <v>60</v>
      </c>
      <c r="AX37">
        <v>1</v>
      </c>
      <c r="AY37" t="s">
        <v>74</v>
      </c>
      <c r="AZ37" t="s">
        <v>74</v>
      </c>
      <c r="BA37" t="s">
        <v>74</v>
      </c>
      <c r="BB37">
        <v>106</v>
      </c>
      <c r="BC37">
        <v>112</v>
      </c>
      <c r="BD37" t="s">
        <v>74</v>
      </c>
      <c r="BE37" t="s">
        <v>891</v>
      </c>
      <c r="BF37" t="str">
        <f>HYPERLINK("http://dx.doi.org/10.3189/2012/AoG60A012","http://dx.doi.org/10.3189/2012/AoG60A012")</f>
        <v>http://dx.doi.org/10.3189/2012/AoG60A012</v>
      </c>
      <c r="BG37" t="s">
        <v>74</v>
      </c>
      <c r="BH37" t="s">
        <v>74</v>
      </c>
      <c r="BI37">
        <v>7</v>
      </c>
      <c r="BJ37" t="s">
        <v>226</v>
      </c>
      <c r="BK37" t="s">
        <v>100</v>
      </c>
      <c r="BL37" t="s">
        <v>227</v>
      </c>
      <c r="BM37" t="s">
        <v>822</v>
      </c>
      <c r="BN37" t="s">
        <v>74</v>
      </c>
      <c r="BO37" t="s">
        <v>892</v>
      </c>
      <c r="BP37" t="s">
        <v>74</v>
      </c>
      <c r="BQ37" t="s">
        <v>74</v>
      </c>
      <c r="BR37" t="s">
        <v>102</v>
      </c>
      <c r="BS37" t="s">
        <v>893</v>
      </c>
      <c r="BT37" t="str">
        <f>HYPERLINK("https%3A%2F%2Fwww.webofscience.com%2Fwos%2Fwoscc%2Ffull-record%2FWOS:000315310300015","View Full Record in Web of Science")</f>
        <v>View Full Record in Web of Science</v>
      </c>
    </row>
    <row r="38" spans="1:72" x14ac:dyDescent="0.15">
      <c r="A38" t="s">
        <v>72</v>
      </c>
      <c r="B38" t="s">
        <v>894</v>
      </c>
      <c r="C38" t="s">
        <v>74</v>
      </c>
      <c r="D38" t="s">
        <v>74</v>
      </c>
      <c r="E38" t="s">
        <v>74</v>
      </c>
      <c r="F38" t="s">
        <v>895</v>
      </c>
      <c r="G38" t="s">
        <v>74</v>
      </c>
      <c r="H38" t="s">
        <v>74</v>
      </c>
      <c r="I38" t="s">
        <v>896</v>
      </c>
      <c r="J38" t="s">
        <v>809</v>
      </c>
      <c r="K38" t="s">
        <v>74</v>
      </c>
      <c r="L38" t="s">
        <v>74</v>
      </c>
      <c r="M38" t="s">
        <v>78</v>
      </c>
      <c r="N38" t="s">
        <v>79</v>
      </c>
      <c r="O38" t="s">
        <v>74</v>
      </c>
      <c r="P38" t="s">
        <v>74</v>
      </c>
      <c r="Q38" t="s">
        <v>74</v>
      </c>
      <c r="R38" t="s">
        <v>74</v>
      </c>
      <c r="S38" t="s">
        <v>74</v>
      </c>
      <c r="T38" t="s">
        <v>74</v>
      </c>
      <c r="U38" t="s">
        <v>897</v>
      </c>
      <c r="V38" t="s">
        <v>898</v>
      </c>
      <c r="W38" t="s">
        <v>899</v>
      </c>
      <c r="X38" t="s">
        <v>900</v>
      </c>
      <c r="Y38" t="s">
        <v>901</v>
      </c>
      <c r="Z38" t="s">
        <v>902</v>
      </c>
      <c r="AA38" t="s">
        <v>903</v>
      </c>
      <c r="AB38" t="s">
        <v>904</v>
      </c>
      <c r="AC38" t="s">
        <v>905</v>
      </c>
      <c r="AD38" t="s">
        <v>906</v>
      </c>
      <c r="AE38" t="s">
        <v>907</v>
      </c>
      <c r="AF38" t="s">
        <v>74</v>
      </c>
      <c r="AG38">
        <v>31</v>
      </c>
      <c r="AH38">
        <v>18</v>
      </c>
      <c r="AI38">
        <v>18</v>
      </c>
      <c r="AJ38">
        <v>1</v>
      </c>
      <c r="AK38">
        <v>9</v>
      </c>
      <c r="AL38" t="s">
        <v>813</v>
      </c>
      <c r="AM38" t="s">
        <v>814</v>
      </c>
      <c r="AN38" t="s">
        <v>815</v>
      </c>
      <c r="AO38" t="s">
        <v>816</v>
      </c>
      <c r="AP38" t="s">
        <v>817</v>
      </c>
      <c r="AQ38" t="s">
        <v>74</v>
      </c>
      <c r="AR38" t="s">
        <v>818</v>
      </c>
      <c r="AS38" t="s">
        <v>819</v>
      </c>
      <c r="AT38" t="s">
        <v>74</v>
      </c>
      <c r="AU38">
        <v>2012</v>
      </c>
      <c r="AV38">
        <v>53</v>
      </c>
      <c r="AW38">
        <v>60</v>
      </c>
      <c r="AX38">
        <v>2</v>
      </c>
      <c r="AY38" t="s">
        <v>74</v>
      </c>
      <c r="AZ38" t="s">
        <v>74</v>
      </c>
      <c r="BA38" t="s">
        <v>74</v>
      </c>
      <c r="BB38">
        <v>137</v>
      </c>
      <c r="BC38">
        <v>146</v>
      </c>
      <c r="BD38" t="s">
        <v>74</v>
      </c>
      <c r="BE38" t="s">
        <v>908</v>
      </c>
      <c r="BF38" t="str">
        <f>HYPERLINK("http://dx.doi.org/10.3189/2012AoG60A045","http://dx.doi.org/10.3189/2012AoG60A045")</f>
        <v>http://dx.doi.org/10.3189/2012AoG60A045</v>
      </c>
      <c r="BG38" t="s">
        <v>74</v>
      </c>
      <c r="BH38" t="s">
        <v>74</v>
      </c>
      <c r="BI38">
        <v>10</v>
      </c>
      <c r="BJ38" t="s">
        <v>226</v>
      </c>
      <c r="BK38" t="s">
        <v>100</v>
      </c>
      <c r="BL38" t="s">
        <v>227</v>
      </c>
      <c r="BM38" t="s">
        <v>824</v>
      </c>
      <c r="BN38" t="s">
        <v>74</v>
      </c>
      <c r="BO38" t="s">
        <v>892</v>
      </c>
      <c r="BP38" t="s">
        <v>74</v>
      </c>
      <c r="BQ38" t="s">
        <v>74</v>
      </c>
      <c r="BR38" t="s">
        <v>102</v>
      </c>
      <c r="BS38" t="s">
        <v>909</v>
      </c>
      <c r="BT38" t="str">
        <f>HYPERLINK("https%3A%2F%2Fwww.webofscience.com%2Fwos%2Fwoscc%2Ffull-record%2FWOS:000315310400002","View Full Record in Web of Science")</f>
        <v>View Full Record in Web of Science</v>
      </c>
    </row>
    <row r="39" spans="1:72" x14ac:dyDescent="0.15">
      <c r="A39" t="s">
        <v>72</v>
      </c>
      <c r="B39" t="s">
        <v>910</v>
      </c>
      <c r="C39" t="s">
        <v>74</v>
      </c>
      <c r="D39" t="s">
        <v>74</v>
      </c>
      <c r="E39" t="s">
        <v>74</v>
      </c>
      <c r="F39" t="s">
        <v>911</v>
      </c>
      <c r="G39" t="s">
        <v>74</v>
      </c>
      <c r="H39" t="s">
        <v>74</v>
      </c>
      <c r="I39" t="s">
        <v>912</v>
      </c>
      <c r="J39" t="s">
        <v>809</v>
      </c>
      <c r="K39" t="s">
        <v>74</v>
      </c>
      <c r="L39" t="s">
        <v>74</v>
      </c>
      <c r="M39" t="s">
        <v>78</v>
      </c>
      <c r="N39" t="s">
        <v>79</v>
      </c>
      <c r="O39" t="s">
        <v>74</v>
      </c>
      <c r="P39" t="s">
        <v>74</v>
      </c>
      <c r="Q39" t="s">
        <v>74</v>
      </c>
      <c r="R39" t="s">
        <v>74</v>
      </c>
      <c r="S39" t="s">
        <v>74</v>
      </c>
      <c r="T39" t="s">
        <v>74</v>
      </c>
      <c r="U39" t="s">
        <v>913</v>
      </c>
      <c r="V39" t="s">
        <v>914</v>
      </c>
      <c r="W39" t="s">
        <v>915</v>
      </c>
      <c r="X39" t="s">
        <v>916</v>
      </c>
      <c r="Y39" t="s">
        <v>917</v>
      </c>
      <c r="Z39" t="s">
        <v>918</v>
      </c>
      <c r="AA39" t="s">
        <v>919</v>
      </c>
      <c r="AB39" t="s">
        <v>920</v>
      </c>
      <c r="AC39" t="s">
        <v>921</v>
      </c>
      <c r="AD39" t="s">
        <v>922</v>
      </c>
      <c r="AE39" t="s">
        <v>923</v>
      </c>
      <c r="AF39" t="s">
        <v>74</v>
      </c>
      <c r="AG39">
        <v>34</v>
      </c>
      <c r="AH39">
        <v>96</v>
      </c>
      <c r="AI39">
        <v>104</v>
      </c>
      <c r="AJ39">
        <v>0</v>
      </c>
      <c r="AK39">
        <v>25</v>
      </c>
      <c r="AL39" t="s">
        <v>889</v>
      </c>
      <c r="AM39" t="s">
        <v>814</v>
      </c>
      <c r="AN39" t="s">
        <v>890</v>
      </c>
      <c r="AO39" t="s">
        <v>816</v>
      </c>
      <c r="AP39" t="s">
        <v>74</v>
      </c>
      <c r="AQ39" t="s">
        <v>74</v>
      </c>
      <c r="AR39" t="s">
        <v>818</v>
      </c>
      <c r="AS39" t="s">
        <v>819</v>
      </c>
      <c r="AT39" t="s">
        <v>74</v>
      </c>
      <c r="AU39">
        <v>2012</v>
      </c>
      <c r="AV39">
        <v>53</v>
      </c>
      <c r="AW39">
        <v>60</v>
      </c>
      <c r="AX39">
        <v>2</v>
      </c>
      <c r="AY39" t="s">
        <v>74</v>
      </c>
      <c r="AZ39" t="s">
        <v>74</v>
      </c>
      <c r="BA39" t="s">
        <v>74</v>
      </c>
      <c r="BB39">
        <v>156</v>
      </c>
      <c r="BC39">
        <v>162</v>
      </c>
      <c r="BD39" t="s">
        <v>74</v>
      </c>
      <c r="BE39" t="s">
        <v>924</v>
      </c>
      <c r="BF39" t="str">
        <f>HYPERLINK("http://dx.doi.org/10.3189/2012AoG60A073","http://dx.doi.org/10.3189/2012AoG60A073")</f>
        <v>http://dx.doi.org/10.3189/2012AoG60A073</v>
      </c>
      <c r="BG39" t="s">
        <v>74</v>
      </c>
      <c r="BH39" t="s">
        <v>74</v>
      </c>
      <c r="BI39">
        <v>7</v>
      </c>
      <c r="BJ39" t="s">
        <v>226</v>
      </c>
      <c r="BK39" t="s">
        <v>100</v>
      </c>
      <c r="BL39" t="s">
        <v>227</v>
      </c>
      <c r="BM39" t="s">
        <v>824</v>
      </c>
      <c r="BN39" t="s">
        <v>74</v>
      </c>
      <c r="BO39" t="s">
        <v>365</v>
      </c>
      <c r="BP39" t="s">
        <v>74</v>
      </c>
      <c r="BQ39" t="s">
        <v>74</v>
      </c>
      <c r="BR39" t="s">
        <v>102</v>
      </c>
      <c r="BS39" t="s">
        <v>925</v>
      </c>
      <c r="BT39" t="str">
        <f>HYPERLINK("https%3A%2F%2Fwww.webofscience.com%2Fwos%2Fwoscc%2Ffull-record%2FWOS:000315310400004","View Full Record in Web of Science")</f>
        <v>View Full Record in Web of Science</v>
      </c>
    </row>
    <row r="40" spans="1:72" x14ac:dyDescent="0.15">
      <c r="A40" t="s">
        <v>72</v>
      </c>
      <c r="B40" t="s">
        <v>926</v>
      </c>
      <c r="C40" t="s">
        <v>74</v>
      </c>
      <c r="D40" t="s">
        <v>74</v>
      </c>
      <c r="E40" t="s">
        <v>74</v>
      </c>
      <c r="F40" t="s">
        <v>927</v>
      </c>
      <c r="G40" t="s">
        <v>74</v>
      </c>
      <c r="H40" t="s">
        <v>74</v>
      </c>
      <c r="I40" t="s">
        <v>928</v>
      </c>
      <c r="J40" t="s">
        <v>809</v>
      </c>
      <c r="K40" t="s">
        <v>74</v>
      </c>
      <c r="L40" t="s">
        <v>74</v>
      </c>
      <c r="M40" t="s">
        <v>78</v>
      </c>
      <c r="N40" t="s">
        <v>79</v>
      </c>
      <c r="O40" t="s">
        <v>74</v>
      </c>
      <c r="P40" t="s">
        <v>74</v>
      </c>
      <c r="Q40" t="s">
        <v>74</v>
      </c>
      <c r="R40" t="s">
        <v>74</v>
      </c>
      <c r="S40" t="s">
        <v>74</v>
      </c>
      <c r="T40" t="s">
        <v>74</v>
      </c>
      <c r="U40" t="s">
        <v>929</v>
      </c>
      <c r="V40" t="s">
        <v>930</v>
      </c>
      <c r="W40" t="s">
        <v>931</v>
      </c>
      <c r="X40" t="s">
        <v>932</v>
      </c>
      <c r="Y40" t="s">
        <v>933</v>
      </c>
      <c r="Z40" t="s">
        <v>934</v>
      </c>
      <c r="AA40" t="s">
        <v>935</v>
      </c>
      <c r="AB40" t="s">
        <v>936</v>
      </c>
      <c r="AC40" t="s">
        <v>937</v>
      </c>
      <c r="AD40" t="s">
        <v>586</v>
      </c>
      <c r="AE40" t="s">
        <v>74</v>
      </c>
      <c r="AF40" t="s">
        <v>74</v>
      </c>
      <c r="AG40">
        <v>27</v>
      </c>
      <c r="AH40">
        <v>12</v>
      </c>
      <c r="AI40">
        <v>12</v>
      </c>
      <c r="AJ40">
        <v>0</v>
      </c>
      <c r="AK40">
        <v>10</v>
      </c>
      <c r="AL40" t="s">
        <v>813</v>
      </c>
      <c r="AM40" t="s">
        <v>814</v>
      </c>
      <c r="AN40" t="s">
        <v>815</v>
      </c>
      <c r="AO40" t="s">
        <v>816</v>
      </c>
      <c r="AP40" t="s">
        <v>817</v>
      </c>
      <c r="AQ40" t="s">
        <v>74</v>
      </c>
      <c r="AR40" t="s">
        <v>818</v>
      </c>
      <c r="AS40" t="s">
        <v>819</v>
      </c>
      <c r="AT40" t="s">
        <v>74</v>
      </c>
      <c r="AU40">
        <v>2012</v>
      </c>
      <c r="AV40">
        <v>53</v>
      </c>
      <c r="AW40">
        <v>60</v>
      </c>
      <c r="AX40">
        <v>2</v>
      </c>
      <c r="AY40" t="s">
        <v>74</v>
      </c>
      <c r="AZ40" t="s">
        <v>74</v>
      </c>
      <c r="BA40" t="s">
        <v>74</v>
      </c>
      <c r="BB40">
        <v>235</v>
      </c>
      <c r="BC40">
        <v>240</v>
      </c>
      <c r="BD40" t="s">
        <v>74</v>
      </c>
      <c r="BE40" t="s">
        <v>938</v>
      </c>
      <c r="BF40" t="str">
        <f>HYPERLINK("http://dx.doi.org/10.3189/2012AoG60A014","http://dx.doi.org/10.3189/2012AoG60A014")</f>
        <v>http://dx.doi.org/10.3189/2012AoG60A014</v>
      </c>
      <c r="BG40" t="s">
        <v>74</v>
      </c>
      <c r="BH40" t="s">
        <v>74</v>
      </c>
      <c r="BI40">
        <v>6</v>
      </c>
      <c r="BJ40" t="s">
        <v>226</v>
      </c>
      <c r="BK40" t="s">
        <v>100</v>
      </c>
      <c r="BL40" t="s">
        <v>227</v>
      </c>
      <c r="BM40" t="s">
        <v>824</v>
      </c>
      <c r="BN40" t="s">
        <v>74</v>
      </c>
      <c r="BO40" t="s">
        <v>365</v>
      </c>
      <c r="BP40" t="s">
        <v>74</v>
      </c>
      <c r="BQ40" t="s">
        <v>74</v>
      </c>
      <c r="BR40" t="s">
        <v>102</v>
      </c>
      <c r="BS40" t="s">
        <v>939</v>
      </c>
      <c r="BT40" t="str">
        <f>HYPERLINK("https%3A%2F%2Fwww.webofscience.com%2Fwos%2Fwoscc%2Ffull-record%2FWOS:000315310400013","View Full Record in Web of Science")</f>
        <v>View Full Record in Web of Science</v>
      </c>
    </row>
    <row r="41" spans="1:72" x14ac:dyDescent="0.15">
      <c r="A41" t="s">
        <v>570</v>
      </c>
      <c r="B41" t="s">
        <v>940</v>
      </c>
      <c r="C41" t="s">
        <v>74</v>
      </c>
      <c r="D41" t="s">
        <v>941</v>
      </c>
      <c r="E41" t="s">
        <v>74</v>
      </c>
      <c r="F41" t="s">
        <v>942</v>
      </c>
      <c r="G41" t="s">
        <v>74</v>
      </c>
      <c r="H41" t="s">
        <v>74</v>
      </c>
      <c r="I41" t="s">
        <v>943</v>
      </c>
      <c r="J41" t="s">
        <v>944</v>
      </c>
      <c r="K41" t="s">
        <v>945</v>
      </c>
      <c r="L41" t="s">
        <v>74</v>
      </c>
      <c r="M41" t="s">
        <v>78</v>
      </c>
      <c r="N41" t="s">
        <v>577</v>
      </c>
      <c r="O41" t="s">
        <v>74</v>
      </c>
      <c r="P41" t="s">
        <v>74</v>
      </c>
      <c r="Q41" t="s">
        <v>74</v>
      </c>
      <c r="R41" t="s">
        <v>74</v>
      </c>
      <c r="S41" t="s">
        <v>74</v>
      </c>
      <c r="T41" t="s">
        <v>946</v>
      </c>
      <c r="U41" t="s">
        <v>947</v>
      </c>
      <c r="V41" t="s">
        <v>948</v>
      </c>
      <c r="W41" t="s">
        <v>949</v>
      </c>
      <c r="X41" t="s">
        <v>950</v>
      </c>
      <c r="Y41" t="s">
        <v>951</v>
      </c>
      <c r="Z41" t="s">
        <v>952</v>
      </c>
      <c r="AA41" t="s">
        <v>953</v>
      </c>
      <c r="AB41" t="s">
        <v>954</v>
      </c>
      <c r="AC41" t="s">
        <v>955</v>
      </c>
      <c r="AD41" t="s">
        <v>956</v>
      </c>
      <c r="AE41" t="s">
        <v>74</v>
      </c>
      <c r="AF41" t="s">
        <v>74</v>
      </c>
      <c r="AG41">
        <v>149</v>
      </c>
      <c r="AH41">
        <v>701</v>
      </c>
      <c r="AI41">
        <v>802</v>
      </c>
      <c r="AJ41">
        <v>45</v>
      </c>
      <c r="AK41">
        <v>922</v>
      </c>
      <c r="AL41" t="s">
        <v>957</v>
      </c>
      <c r="AM41" t="s">
        <v>958</v>
      </c>
      <c r="AN41" t="s">
        <v>959</v>
      </c>
      <c r="AO41" t="s">
        <v>960</v>
      </c>
      <c r="AP41" t="s">
        <v>74</v>
      </c>
      <c r="AQ41" t="s">
        <v>961</v>
      </c>
      <c r="AR41" t="s">
        <v>962</v>
      </c>
      <c r="AS41" t="s">
        <v>963</v>
      </c>
      <c r="AT41" t="s">
        <v>74</v>
      </c>
      <c r="AU41">
        <v>2012</v>
      </c>
      <c r="AV41">
        <v>4</v>
      </c>
      <c r="AW41" t="s">
        <v>74</v>
      </c>
      <c r="AX41" t="s">
        <v>74</v>
      </c>
      <c r="AY41" t="s">
        <v>74</v>
      </c>
      <c r="AZ41" t="s">
        <v>74</v>
      </c>
      <c r="BA41" t="s">
        <v>74</v>
      </c>
      <c r="BB41">
        <v>143</v>
      </c>
      <c r="BC41">
        <v>176</v>
      </c>
      <c r="BD41" t="s">
        <v>74</v>
      </c>
      <c r="BE41" t="s">
        <v>964</v>
      </c>
      <c r="BF41" t="str">
        <f>HYPERLINK("http://dx.doi.org/10.1146/annurev-marine-120308-081121","http://dx.doi.org/10.1146/annurev-marine-120308-081121")</f>
        <v>http://dx.doi.org/10.1146/annurev-marine-120308-081121</v>
      </c>
      <c r="BG41" t="s">
        <v>74</v>
      </c>
      <c r="BH41" t="s">
        <v>74</v>
      </c>
      <c r="BI41">
        <v>34</v>
      </c>
      <c r="BJ41" t="s">
        <v>965</v>
      </c>
      <c r="BK41" t="s">
        <v>596</v>
      </c>
      <c r="BL41" t="s">
        <v>965</v>
      </c>
      <c r="BM41" t="s">
        <v>966</v>
      </c>
      <c r="BN41">
        <v>22457972</v>
      </c>
      <c r="BO41" t="s">
        <v>967</v>
      </c>
      <c r="BP41" t="s">
        <v>74</v>
      </c>
      <c r="BQ41" t="s">
        <v>74</v>
      </c>
      <c r="BR41" t="s">
        <v>102</v>
      </c>
      <c r="BS41" t="s">
        <v>968</v>
      </c>
      <c r="BT41" t="str">
        <f>HYPERLINK("https%3A%2F%2Fwww.webofscience.com%2Fwos%2Fwoscc%2Ffull-record%2FWOS:000300634900008","View Full Record in Web of Science")</f>
        <v>View Full Record in Web of Science</v>
      </c>
    </row>
    <row r="42" spans="1:72" x14ac:dyDescent="0.15">
      <c r="A42" t="s">
        <v>72</v>
      </c>
      <c r="B42" t="s">
        <v>969</v>
      </c>
      <c r="C42" t="s">
        <v>74</v>
      </c>
      <c r="D42" t="s">
        <v>74</v>
      </c>
      <c r="E42" t="s">
        <v>74</v>
      </c>
      <c r="F42" t="s">
        <v>970</v>
      </c>
      <c r="G42" t="s">
        <v>74</v>
      </c>
      <c r="H42" t="s">
        <v>74</v>
      </c>
      <c r="I42" t="s">
        <v>971</v>
      </c>
      <c r="J42" t="s">
        <v>972</v>
      </c>
      <c r="K42" t="s">
        <v>74</v>
      </c>
      <c r="L42" t="s">
        <v>74</v>
      </c>
      <c r="M42" t="s">
        <v>78</v>
      </c>
      <c r="N42" t="s">
        <v>79</v>
      </c>
      <c r="O42" t="s">
        <v>74</v>
      </c>
      <c r="P42" t="s">
        <v>74</v>
      </c>
      <c r="Q42" t="s">
        <v>74</v>
      </c>
      <c r="R42" t="s">
        <v>74</v>
      </c>
      <c r="S42" t="s">
        <v>74</v>
      </c>
      <c r="T42" t="s">
        <v>74</v>
      </c>
      <c r="U42" t="s">
        <v>973</v>
      </c>
      <c r="V42" t="s">
        <v>974</v>
      </c>
      <c r="W42" t="s">
        <v>975</v>
      </c>
      <c r="X42" t="s">
        <v>976</v>
      </c>
      <c r="Y42" t="s">
        <v>977</v>
      </c>
      <c r="Z42" t="s">
        <v>978</v>
      </c>
      <c r="AA42" t="s">
        <v>979</v>
      </c>
      <c r="AB42" t="s">
        <v>980</v>
      </c>
      <c r="AC42" t="s">
        <v>981</v>
      </c>
      <c r="AD42" t="s">
        <v>982</v>
      </c>
      <c r="AE42" t="s">
        <v>983</v>
      </c>
      <c r="AF42" t="s">
        <v>74</v>
      </c>
      <c r="AG42">
        <v>61</v>
      </c>
      <c r="AH42">
        <v>126</v>
      </c>
      <c r="AI42">
        <v>143</v>
      </c>
      <c r="AJ42">
        <v>3</v>
      </c>
      <c r="AK42">
        <v>81</v>
      </c>
      <c r="AL42" t="s">
        <v>984</v>
      </c>
      <c r="AM42" t="s">
        <v>985</v>
      </c>
      <c r="AN42" t="s">
        <v>986</v>
      </c>
      <c r="AO42" t="s">
        <v>987</v>
      </c>
      <c r="AP42" t="s">
        <v>988</v>
      </c>
      <c r="AQ42" t="s">
        <v>74</v>
      </c>
      <c r="AR42" t="s">
        <v>989</v>
      </c>
      <c r="AS42" t="s">
        <v>990</v>
      </c>
      <c r="AT42" t="s">
        <v>97</v>
      </c>
      <c r="AU42">
        <v>2012</v>
      </c>
      <c r="AV42">
        <v>78</v>
      </c>
      <c r="AW42">
        <v>2</v>
      </c>
      <c r="AX42" t="s">
        <v>74</v>
      </c>
      <c r="AY42" t="s">
        <v>74</v>
      </c>
      <c r="AZ42" t="s">
        <v>74</v>
      </c>
      <c r="BA42" t="s">
        <v>74</v>
      </c>
      <c r="BB42">
        <v>549</v>
      </c>
      <c r="BC42">
        <v>559</v>
      </c>
      <c r="BD42" t="s">
        <v>74</v>
      </c>
      <c r="BE42" t="s">
        <v>991</v>
      </c>
      <c r="BF42" t="str">
        <f>HYPERLINK("http://dx.doi.org/10.1128/AEM.06354-11","http://dx.doi.org/10.1128/AEM.06354-11")</f>
        <v>http://dx.doi.org/10.1128/AEM.06354-11</v>
      </c>
      <c r="BG42" t="s">
        <v>74</v>
      </c>
      <c r="BH42" t="s">
        <v>74</v>
      </c>
      <c r="BI42">
        <v>11</v>
      </c>
      <c r="BJ42" t="s">
        <v>595</v>
      </c>
      <c r="BK42" t="s">
        <v>100</v>
      </c>
      <c r="BL42" t="s">
        <v>595</v>
      </c>
      <c r="BM42" t="s">
        <v>992</v>
      </c>
      <c r="BN42">
        <v>22081564</v>
      </c>
      <c r="BO42" t="s">
        <v>342</v>
      </c>
      <c r="BP42" t="s">
        <v>74</v>
      </c>
      <c r="BQ42" t="s">
        <v>74</v>
      </c>
      <c r="BR42" t="s">
        <v>102</v>
      </c>
      <c r="BS42" t="s">
        <v>993</v>
      </c>
      <c r="BT42" t="str">
        <f>HYPERLINK("https%3A%2F%2Fwww.webofscience.com%2Fwos%2Fwoscc%2Ffull-record%2FWOS:000299018800030","View Full Record in Web of Science")</f>
        <v>View Full Record in Web of Science</v>
      </c>
    </row>
    <row r="43" spans="1:72" x14ac:dyDescent="0.15">
      <c r="A43" t="s">
        <v>72</v>
      </c>
      <c r="B43" t="s">
        <v>994</v>
      </c>
      <c r="C43" t="s">
        <v>74</v>
      </c>
      <c r="D43" t="s">
        <v>74</v>
      </c>
      <c r="E43" t="s">
        <v>74</v>
      </c>
      <c r="F43" t="s">
        <v>995</v>
      </c>
      <c r="G43" t="s">
        <v>74</v>
      </c>
      <c r="H43" t="s">
        <v>74</v>
      </c>
      <c r="I43" t="s">
        <v>996</v>
      </c>
      <c r="J43" t="s">
        <v>997</v>
      </c>
      <c r="K43" t="s">
        <v>74</v>
      </c>
      <c r="L43" t="s">
        <v>74</v>
      </c>
      <c r="M43" t="s">
        <v>78</v>
      </c>
      <c r="N43" t="s">
        <v>79</v>
      </c>
      <c r="O43" t="s">
        <v>74</v>
      </c>
      <c r="P43" t="s">
        <v>74</v>
      </c>
      <c r="Q43" t="s">
        <v>74</v>
      </c>
      <c r="R43" t="s">
        <v>74</v>
      </c>
      <c r="S43" t="s">
        <v>74</v>
      </c>
      <c r="T43" t="s">
        <v>998</v>
      </c>
      <c r="U43" t="s">
        <v>999</v>
      </c>
      <c r="V43" t="s">
        <v>1000</v>
      </c>
      <c r="W43" t="s">
        <v>1001</v>
      </c>
      <c r="X43" t="s">
        <v>527</v>
      </c>
      <c r="Y43" t="s">
        <v>1002</v>
      </c>
      <c r="Z43" t="s">
        <v>1003</v>
      </c>
      <c r="AA43" t="s">
        <v>1004</v>
      </c>
      <c r="AB43" t="s">
        <v>1005</v>
      </c>
      <c r="AC43" t="s">
        <v>1006</v>
      </c>
      <c r="AD43" t="s">
        <v>1007</v>
      </c>
      <c r="AE43" t="s">
        <v>74</v>
      </c>
      <c r="AF43" t="s">
        <v>74</v>
      </c>
      <c r="AG43">
        <v>41</v>
      </c>
      <c r="AH43">
        <v>6</v>
      </c>
      <c r="AI43">
        <v>7</v>
      </c>
      <c r="AJ43">
        <v>1</v>
      </c>
      <c r="AK43">
        <v>33</v>
      </c>
      <c r="AL43" t="s">
        <v>1008</v>
      </c>
      <c r="AM43" t="s">
        <v>1009</v>
      </c>
      <c r="AN43" t="s">
        <v>1010</v>
      </c>
      <c r="AO43" t="s">
        <v>1011</v>
      </c>
      <c r="AP43" t="s">
        <v>74</v>
      </c>
      <c r="AQ43" t="s">
        <v>74</v>
      </c>
      <c r="AR43" t="s">
        <v>1012</v>
      </c>
      <c r="AS43" t="s">
        <v>1013</v>
      </c>
      <c r="AT43" t="s">
        <v>74</v>
      </c>
      <c r="AU43">
        <v>2012</v>
      </c>
      <c r="AV43">
        <v>16</v>
      </c>
      <c r="AW43">
        <v>2</v>
      </c>
      <c r="AX43" t="s">
        <v>74</v>
      </c>
      <c r="AY43" t="s">
        <v>74</v>
      </c>
      <c r="AZ43" t="s">
        <v>74</v>
      </c>
      <c r="BA43" t="s">
        <v>74</v>
      </c>
      <c r="BB43">
        <v>105</v>
      </c>
      <c r="BC43">
        <v>113</v>
      </c>
      <c r="BD43" t="s">
        <v>74</v>
      </c>
      <c r="BE43" t="s">
        <v>1014</v>
      </c>
      <c r="BF43" t="str">
        <f>HYPERLINK("http://dx.doi.org/10.3354/ab00435","http://dx.doi.org/10.3354/ab00435")</f>
        <v>http://dx.doi.org/10.3354/ab00435</v>
      </c>
      <c r="BG43" t="s">
        <v>74</v>
      </c>
      <c r="BH43" t="s">
        <v>74</v>
      </c>
      <c r="BI43">
        <v>9</v>
      </c>
      <c r="BJ43" t="s">
        <v>1015</v>
      </c>
      <c r="BK43" t="s">
        <v>100</v>
      </c>
      <c r="BL43" t="s">
        <v>1015</v>
      </c>
      <c r="BM43" t="s">
        <v>1016</v>
      </c>
      <c r="BN43" t="s">
        <v>74</v>
      </c>
      <c r="BO43" t="s">
        <v>365</v>
      </c>
      <c r="BP43" t="s">
        <v>74</v>
      </c>
      <c r="BQ43" t="s">
        <v>74</v>
      </c>
      <c r="BR43" t="s">
        <v>102</v>
      </c>
      <c r="BS43" t="s">
        <v>1017</v>
      </c>
      <c r="BT43" t="str">
        <f>HYPERLINK("https%3A%2F%2Fwww.webofscience.com%2Fwos%2Fwoscc%2Ffull-record%2FWOS:000307545900001","View Full Record in Web of Science")</f>
        <v>View Full Record in Web of Science</v>
      </c>
    </row>
    <row r="44" spans="1:72" x14ac:dyDescent="0.15">
      <c r="A44" t="s">
        <v>72</v>
      </c>
      <c r="B44" t="s">
        <v>1018</v>
      </c>
      <c r="C44" t="s">
        <v>74</v>
      </c>
      <c r="D44" t="s">
        <v>74</v>
      </c>
      <c r="E44" t="s">
        <v>74</v>
      </c>
      <c r="F44" t="s">
        <v>1019</v>
      </c>
      <c r="G44" t="s">
        <v>74</v>
      </c>
      <c r="H44" t="s">
        <v>74</v>
      </c>
      <c r="I44" t="s">
        <v>1020</v>
      </c>
      <c r="J44" t="s">
        <v>1021</v>
      </c>
      <c r="K44" t="s">
        <v>74</v>
      </c>
      <c r="L44" t="s">
        <v>74</v>
      </c>
      <c r="M44" t="s">
        <v>78</v>
      </c>
      <c r="N44" t="s">
        <v>79</v>
      </c>
      <c r="O44" t="s">
        <v>74</v>
      </c>
      <c r="P44" t="s">
        <v>74</v>
      </c>
      <c r="Q44" t="s">
        <v>74</v>
      </c>
      <c r="R44" t="s">
        <v>74</v>
      </c>
      <c r="S44" t="s">
        <v>74</v>
      </c>
      <c r="T44" t="s">
        <v>1022</v>
      </c>
      <c r="U44" t="s">
        <v>1023</v>
      </c>
      <c r="V44" t="s">
        <v>1024</v>
      </c>
      <c r="W44" t="s">
        <v>1025</v>
      </c>
      <c r="X44" t="s">
        <v>74</v>
      </c>
      <c r="Y44" t="s">
        <v>1026</v>
      </c>
      <c r="Z44" t="s">
        <v>1027</v>
      </c>
      <c r="AA44" t="s">
        <v>74</v>
      </c>
      <c r="AB44" t="s">
        <v>74</v>
      </c>
      <c r="AC44" t="s">
        <v>1028</v>
      </c>
      <c r="AD44" t="s">
        <v>1029</v>
      </c>
      <c r="AE44" t="s">
        <v>1030</v>
      </c>
      <c r="AF44" t="s">
        <v>74</v>
      </c>
      <c r="AG44">
        <v>33</v>
      </c>
      <c r="AH44">
        <v>26</v>
      </c>
      <c r="AI44">
        <v>29</v>
      </c>
      <c r="AJ44">
        <v>2</v>
      </c>
      <c r="AK44">
        <v>96</v>
      </c>
      <c r="AL44" t="s">
        <v>1031</v>
      </c>
      <c r="AM44" t="s">
        <v>1032</v>
      </c>
      <c r="AN44" t="s">
        <v>1033</v>
      </c>
      <c r="AO44" t="s">
        <v>1034</v>
      </c>
      <c r="AP44" t="s">
        <v>74</v>
      </c>
      <c r="AQ44" t="s">
        <v>74</v>
      </c>
      <c r="AR44" t="s">
        <v>1035</v>
      </c>
      <c r="AS44" t="s">
        <v>1036</v>
      </c>
      <c r="AT44" t="s">
        <v>74</v>
      </c>
      <c r="AU44">
        <v>2012</v>
      </c>
      <c r="AV44">
        <v>38</v>
      </c>
      <c r="AW44">
        <v>2</v>
      </c>
      <c r="AX44" t="s">
        <v>74</v>
      </c>
      <c r="AY44" t="s">
        <v>74</v>
      </c>
      <c r="AZ44" t="s">
        <v>74</v>
      </c>
      <c r="BA44" t="s">
        <v>74</v>
      </c>
      <c r="BB44">
        <v>153</v>
      </c>
      <c r="BC44">
        <v>160</v>
      </c>
      <c r="BD44" t="s">
        <v>74</v>
      </c>
      <c r="BE44" t="s">
        <v>1037</v>
      </c>
      <c r="BF44" t="str">
        <f>HYPERLINK("http://dx.doi.org/10.1578/AM.38.2.2012.153","http://dx.doi.org/10.1578/AM.38.2.2012.153")</f>
        <v>http://dx.doi.org/10.1578/AM.38.2.2012.153</v>
      </c>
      <c r="BG44" t="s">
        <v>74</v>
      </c>
      <c r="BH44" t="s">
        <v>74</v>
      </c>
      <c r="BI44">
        <v>8</v>
      </c>
      <c r="BJ44" t="s">
        <v>1038</v>
      </c>
      <c r="BK44" t="s">
        <v>100</v>
      </c>
      <c r="BL44" t="s">
        <v>1038</v>
      </c>
      <c r="BM44" t="s">
        <v>1039</v>
      </c>
      <c r="BN44" t="s">
        <v>74</v>
      </c>
      <c r="BO44" t="s">
        <v>74</v>
      </c>
      <c r="BP44" t="s">
        <v>74</v>
      </c>
      <c r="BQ44" t="s">
        <v>74</v>
      </c>
      <c r="BR44" t="s">
        <v>102</v>
      </c>
      <c r="BS44" t="s">
        <v>1040</v>
      </c>
      <c r="BT44" t="str">
        <f>HYPERLINK("https%3A%2F%2Fwww.webofscience.com%2Fwos%2Fwoscc%2Ffull-record%2FWOS:000304817000004","View Full Record in Web of Science")</f>
        <v>View Full Record in Web of Science</v>
      </c>
    </row>
    <row r="45" spans="1:72" x14ac:dyDescent="0.15">
      <c r="A45" t="s">
        <v>72</v>
      </c>
      <c r="B45" t="s">
        <v>1041</v>
      </c>
      <c r="C45" t="s">
        <v>74</v>
      </c>
      <c r="D45" t="s">
        <v>74</v>
      </c>
      <c r="E45" t="s">
        <v>74</v>
      </c>
      <c r="F45" t="s">
        <v>1042</v>
      </c>
      <c r="G45" t="s">
        <v>74</v>
      </c>
      <c r="H45" t="s">
        <v>74</v>
      </c>
      <c r="I45" t="s">
        <v>1043</v>
      </c>
      <c r="J45" t="s">
        <v>1044</v>
      </c>
      <c r="K45" t="s">
        <v>74</v>
      </c>
      <c r="L45" t="s">
        <v>74</v>
      </c>
      <c r="M45" t="s">
        <v>78</v>
      </c>
      <c r="N45" t="s">
        <v>79</v>
      </c>
      <c r="O45" t="s">
        <v>74</v>
      </c>
      <c r="P45" t="s">
        <v>74</v>
      </c>
      <c r="Q45" t="s">
        <v>74</v>
      </c>
      <c r="R45" t="s">
        <v>74</v>
      </c>
      <c r="S45" t="s">
        <v>74</v>
      </c>
      <c r="T45" t="s">
        <v>1045</v>
      </c>
      <c r="U45" t="s">
        <v>1046</v>
      </c>
      <c r="V45" t="s">
        <v>1047</v>
      </c>
      <c r="W45" t="s">
        <v>1048</v>
      </c>
      <c r="X45" t="s">
        <v>1049</v>
      </c>
      <c r="Y45" t="s">
        <v>1050</v>
      </c>
      <c r="Z45" t="s">
        <v>1051</v>
      </c>
      <c r="AA45" t="s">
        <v>74</v>
      </c>
      <c r="AB45" t="s">
        <v>74</v>
      </c>
      <c r="AC45" t="s">
        <v>1052</v>
      </c>
      <c r="AD45" t="s">
        <v>1053</v>
      </c>
      <c r="AE45" t="s">
        <v>1054</v>
      </c>
      <c r="AF45" t="s">
        <v>74</v>
      </c>
      <c r="AG45">
        <v>45</v>
      </c>
      <c r="AH45">
        <v>17</v>
      </c>
      <c r="AI45">
        <v>19</v>
      </c>
      <c r="AJ45">
        <v>0</v>
      </c>
      <c r="AK45">
        <v>32</v>
      </c>
      <c r="AL45" t="s">
        <v>1008</v>
      </c>
      <c r="AM45" t="s">
        <v>1009</v>
      </c>
      <c r="AN45" t="s">
        <v>1010</v>
      </c>
      <c r="AO45" t="s">
        <v>1055</v>
      </c>
      <c r="AP45" t="s">
        <v>1056</v>
      </c>
      <c r="AQ45" t="s">
        <v>74</v>
      </c>
      <c r="AR45" t="s">
        <v>1057</v>
      </c>
      <c r="AS45" t="s">
        <v>1058</v>
      </c>
      <c r="AT45" t="s">
        <v>74</v>
      </c>
      <c r="AU45">
        <v>2012</v>
      </c>
      <c r="AV45">
        <v>68</v>
      </c>
      <c r="AW45">
        <v>1</v>
      </c>
      <c r="AX45" t="s">
        <v>74</v>
      </c>
      <c r="AY45" t="s">
        <v>74</v>
      </c>
      <c r="AZ45" t="s">
        <v>74</v>
      </c>
      <c r="BA45" t="s">
        <v>74</v>
      </c>
      <c r="BB45">
        <v>13</v>
      </c>
      <c r="BC45">
        <v>28</v>
      </c>
      <c r="BD45" t="s">
        <v>74</v>
      </c>
      <c r="BE45" t="s">
        <v>1059</v>
      </c>
      <c r="BF45" t="str">
        <f>HYPERLINK("http://dx.doi.org/10.3354/ame01597","http://dx.doi.org/10.3354/ame01597")</f>
        <v>http://dx.doi.org/10.3354/ame01597</v>
      </c>
      <c r="BG45" t="s">
        <v>74</v>
      </c>
      <c r="BH45" t="s">
        <v>74</v>
      </c>
      <c r="BI45">
        <v>16</v>
      </c>
      <c r="BJ45" t="s">
        <v>1060</v>
      </c>
      <c r="BK45" t="s">
        <v>100</v>
      </c>
      <c r="BL45" t="s">
        <v>1061</v>
      </c>
      <c r="BM45" t="s">
        <v>1062</v>
      </c>
      <c r="BN45" t="s">
        <v>74</v>
      </c>
      <c r="BO45" t="s">
        <v>365</v>
      </c>
      <c r="BP45" t="s">
        <v>74</v>
      </c>
      <c r="BQ45" t="s">
        <v>74</v>
      </c>
      <c r="BR45" t="s">
        <v>102</v>
      </c>
      <c r="BS45" t="s">
        <v>1063</v>
      </c>
      <c r="BT45" t="str">
        <f>HYPERLINK("https%3A%2F%2Fwww.webofscience.com%2Fwos%2Fwoscc%2Ffull-record%2FWOS:000312782200002","View Full Record in Web of Science")</f>
        <v>View Full Record in Web of Science</v>
      </c>
    </row>
    <row r="46" spans="1:72" x14ac:dyDescent="0.15">
      <c r="A46" t="s">
        <v>72</v>
      </c>
      <c r="B46" t="s">
        <v>1064</v>
      </c>
      <c r="C46" t="s">
        <v>74</v>
      </c>
      <c r="D46" t="s">
        <v>74</v>
      </c>
      <c r="E46" t="s">
        <v>74</v>
      </c>
      <c r="F46" t="s">
        <v>1065</v>
      </c>
      <c r="G46" t="s">
        <v>74</v>
      </c>
      <c r="H46" t="s">
        <v>74</v>
      </c>
      <c r="I46" t="s">
        <v>1066</v>
      </c>
      <c r="J46" t="s">
        <v>1044</v>
      </c>
      <c r="K46" t="s">
        <v>74</v>
      </c>
      <c r="L46" t="s">
        <v>74</v>
      </c>
      <c r="M46" t="s">
        <v>78</v>
      </c>
      <c r="N46" t="s">
        <v>79</v>
      </c>
      <c r="O46" t="s">
        <v>74</v>
      </c>
      <c r="P46" t="s">
        <v>74</v>
      </c>
      <c r="Q46" t="s">
        <v>74</v>
      </c>
      <c r="R46" t="s">
        <v>74</v>
      </c>
      <c r="S46" t="s">
        <v>74</v>
      </c>
      <c r="T46" t="s">
        <v>1067</v>
      </c>
      <c r="U46" t="s">
        <v>1068</v>
      </c>
      <c r="V46" t="s">
        <v>1069</v>
      </c>
      <c r="W46" t="s">
        <v>1070</v>
      </c>
      <c r="X46" t="s">
        <v>1071</v>
      </c>
      <c r="Y46" t="s">
        <v>1072</v>
      </c>
      <c r="Z46" t="s">
        <v>1073</v>
      </c>
      <c r="AA46" t="s">
        <v>1074</v>
      </c>
      <c r="AB46" t="s">
        <v>1075</v>
      </c>
      <c r="AC46" t="s">
        <v>1076</v>
      </c>
      <c r="AD46" t="s">
        <v>1077</v>
      </c>
      <c r="AE46" t="s">
        <v>1078</v>
      </c>
      <c r="AF46" t="s">
        <v>74</v>
      </c>
      <c r="AG46">
        <v>59</v>
      </c>
      <c r="AH46">
        <v>25</v>
      </c>
      <c r="AI46">
        <v>29</v>
      </c>
      <c r="AJ46">
        <v>3</v>
      </c>
      <c r="AK46">
        <v>147</v>
      </c>
      <c r="AL46" t="s">
        <v>1008</v>
      </c>
      <c r="AM46" t="s">
        <v>1009</v>
      </c>
      <c r="AN46" t="s">
        <v>1010</v>
      </c>
      <c r="AO46" t="s">
        <v>1055</v>
      </c>
      <c r="AP46" t="s">
        <v>1056</v>
      </c>
      <c r="AQ46" t="s">
        <v>74</v>
      </c>
      <c r="AR46" t="s">
        <v>1057</v>
      </c>
      <c r="AS46" t="s">
        <v>1058</v>
      </c>
      <c r="AT46" t="s">
        <v>74</v>
      </c>
      <c r="AU46">
        <v>2012</v>
      </c>
      <c r="AV46">
        <v>65</v>
      </c>
      <c r="AW46">
        <v>3</v>
      </c>
      <c r="AX46" t="s">
        <v>74</v>
      </c>
      <c r="AY46" t="s">
        <v>74</v>
      </c>
      <c r="AZ46" t="s">
        <v>74</v>
      </c>
      <c r="BA46" t="s">
        <v>74</v>
      </c>
      <c r="BB46">
        <v>271</v>
      </c>
      <c r="BC46">
        <v>285</v>
      </c>
      <c r="BD46" t="s">
        <v>74</v>
      </c>
      <c r="BE46" t="s">
        <v>1079</v>
      </c>
      <c r="BF46" t="str">
        <f>HYPERLINK("http://dx.doi.org/10.3354/ame01554","http://dx.doi.org/10.3354/ame01554")</f>
        <v>http://dx.doi.org/10.3354/ame01554</v>
      </c>
      <c r="BG46" t="s">
        <v>74</v>
      </c>
      <c r="BH46" t="s">
        <v>74</v>
      </c>
      <c r="BI46">
        <v>15</v>
      </c>
      <c r="BJ46" t="s">
        <v>1060</v>
      </c>
      <c r="BK46" t="s">
        <v>100</v>
      </c>
      <c r="BL46" t="s">
        <v>1061</v>
      </c>
      <c r="BM46" t="s">
        <v>1080</v>
      </c>
      <c r="BN46" t="s">
        <v>74</v>
      </c>
      <c r="BO46" t="s">
        <v>74</v>
      </c>
      <c r="BP46" t="s">
        <v>74</v>
      </c>
      <c r="BQ46" t="s">
        <v>74</v>
      </c>
      <c r="BR46" t="s">
        <v>102</v>
      </c>
      <c r="BS46" t="s">
        <v>1081</v>
      </c>
      <c r="BT46" t="str">
        <f>HYPERLINK("https%3A%2F%2Fwww.webofscience.com%2Fwos%2Fwoscc%2Ffull-record%2FWOS:000301222500006","View Full Record in Web of Science")</f>
        <v>View Full Record in Web of Science</v>
      </c>
    </row>
    <row r="47" spans="1:72" x14ac:dyDescent="0.15">
      <c r="A47" t="s">
        <v>72</v>
      </c>
      <c r="B47" t="s">
        <v>1082</v>
      </c>
      <c r="C47" t="s">
        <v>74</v>
      </c>
      <c r="D47" t="s">
        <v>74</v>
      </c>
      <c r="E47" t="s">
        <v>74</v>
      </c>
      <c r="F47" t="s">
        <v>1083</v>
      </c>
      <c r="G47" t="s">
        <v>74</v>
      </c>
      <c r="H47" t="s">
        <v>74</v>
      </c>
      <c r="I47" t="s">
        <v>1084</v>
      </c>
      <c r="J47" t="s">
        <v>1085</v>
      </c>
      <c r="K47" t="s">
        <v>74</v>
      </c>
      <c r="L47" t="s">
        <v>74</v>
      </c>
      <c r="M47" t="s">
        <v>78</v>
      </c>
      <c r="N47" t="s">
        <v>79</v>
      </c>
      <c r="O47" t="s">
        <v>74</v>
      </c>
      <c r="P47" t="s">
        <v>74</v>
      </c>
      <c r="Q47" t="s">
        <v>74</v>
      </c>
      <c r="R47" t="s">
        <v>74</v>
      </c>
      <c r="S47" t="s">
        <v>74</v>
      </c>
      <c r="T47" t="s">
        <v>1086</v>
      </c>
      <c r="U47" t="s">
        <v>1087</v>
      </c>
      <c r="V47" t="s">
        <v>1088</v>
      </c>
      <c r="W47" t="s">
        <v>1089</v>
      </c>
      <c r="X47" t="s">
        <v>1090</v>
      </c>
      <c r="Y47" t="s">
        <v>1091</v>
      </c>
      <c r="Z47" t="s">
        <v>1092</v>
      </c>
      <c r="AA47" t="s">
        <v>1093</v>
      </c>
      <c r="AB47" t="s">
        <v>1094</v>
      </c>
      <c r="AC47" t="s">
        <v>1095</v>
      </c>
      <c r="AD47" t="s">
        <v>1096</v>
      </c>
      <c r="AE47" t="s">
        <v>1097</v>
      </c>
      <c r="AF47" t="s">
        <v>74</v>
      </c>
      <c r="AG47">
        <v>29</v>
      </c>
      <c r="AH47">
        <v>24</v>
      </c>
      <c r="AI47">
        <v>26</v>
      </c>
      <c r="AJ47">
        <v>1</v>
      </c>
      <c r="AK47">
        <v>33</v>
      </c>
      <c r="AL47" t="s">
        <v>1098</v>
      </c>
      <c r="AM47" t="s">
        <v>1099</v>
      </c>
      <c r="AN47" t="s">
        <v>1100</v>
      </c>
      <c r="AO47" t="s">
        <v>1101</v>
      </c>
      <c r="AP47" t="s">
        <v>1102</v>
      </c>
      <c r="AQ47" t="s">
        <v>74</v>
      </c>
      <c r="AR47" t="s">
        <v>1103</v>
      </c>
      <c r="AS47" t="s">
        <v>1104</v>
      </c>
      <c r="AT47" t="s">
        <v>74</v>
      </c>
      <c r="AU47">
        <v>2012</v>
      </c>
      <c r="AV47">
        <v>44</v>
      </c>
      <c r="AW47">
        <v>3</v>
      </c>
      <c r="AX47" t="s">
        <v>74</v>
      </c>
      <c r="AY47" t="s">
        <v>74</v>
      </c>
      <c r="AZ47" t="s">
        <v>74</v>
      </c>
      <c r="BA47" t="s">
        <v>74</v>
      </c>
      <c r="BB47">
        <v>311</v>
      </c>
      <c r="BC47">
        <v>316</v>
      </c>
      <c r="BD47" t="s">
        <v>74</v>
      </c>
      <c r="BE47" t="s">
        <v>1105</v>
      </c>
      <c r="BF47" t="str">
        <f>HYPERLINK("http://dx.doi.org/10.4067/S0301-732X2012000300016","http://dx.doi.org/10.4067/S0301-732X2012000300016")</f>
        <v>http://dx.doi.org/10.4067/S0301-732X2012000300016</v>
      </c>
      <c r="BG47" t="s">
        <v>74</v>
      </c>
      <c r="BH47" t="s">
        <v>74</v>
      </c>
      <c r="BI47">
        <v>6</v>
      </c>
      <c r="BJ47" t="s">
        <v>1106</v>
      </c>
      <c r="BK47" t="s">
        <v>100</v>
      </c>
      <c r="BL47" t="s">
        <v>1106</v>
      </c>
      <c r="BM47" t="s">
        <v>1107</v>
      </c>
      <c r="BN47" t="s">
        <v>74</v>
      </c>
      <c r="BO47" t="s">
        <v>1108</v>
      </c>
      <c r="BP47" t="s">
        <v>74</v>
      </c>
      <c r="BQ47" t="s">
        <v>74</v>
      </c>
      <c r="BR47" t="s">
        <v>102</v>
      </c>
      <c r="BS47" t="s">
        <v>1109</v>
      </c>
      <c r="BT47" t="str">
        <f>HYPERLINK("https%3A%2F%2Fwww.webofscience.com%2Fwos%2Fwoscc%2Ffull-record%2FWOS:000313597500016","View Full Record in Web of Science")</f>
        <v>View Full Record in Web of Science</v>
      </c>
    </row>
    <row r="48" spans="1:72" x14ac:dyDescent="0.15">
      <c r="A48" t="s">
        <v>72</v>
      </c>
      <c r="B48" t="s">
        <v>1110</v>
      </c>
      <c r="C48" t="s">
        <v>74</v>
      </c>
      <c r="D48" t="s">
        <v>74</v>
      </c>
      <c r="E48" t="s">
        <v>74</v>
      </c>
      <c r="F48" t="s">
        <v>1111</v>
      </c>
      <c r="G48" t="s">
        <v>74</v>
      </c>
      <c r="H48" t="s">
        <v>74</v>
      </c>
      <c r="I48" t="s">
        <v>1112</v>
      </c>
      <c r="J48" t="s">
        <v>1113</v>
      </c>
      <c r="K48" t="s">
        <v>74</v>
      </c>
      <c r="L48" t="s">
        <v>74</v>
      </c>
      <c r="M48" t="s">
        <v>78</v>
      </c>
      <c r="N48" t="s">
        <v>79</v>
      </c>
      <c r="O48" t="s">
        <v>74</v>
      </c>
      <c r="P48" t="s">
        <v>74</v>
      </c>
      <c r="Q48" t="s">
        <v>74</v>
      </c>
      <c r="R48" t="s">
        <v>74</v>
      </c>
      <c r="S48" t="s">
        <v>74</v>
      </c>
      <c r="T48" t="s">
        <v>1114</v>
      </c>
      <c r="U48" t="s">
        <v>74</v>
      </c>
      <c r="V48" t="s">
        <v>1115</v>
      </c>
      <c r="W48" t="s">
        <v>1116</v>
      </c>
      <c r="X48" t="s">
        <v>1117</v>
      </c>
      <c r="Y48" t="s">
        <v>1118</v>
      </c>
      <c r="Z48" t="s">
        <v>1119</v>
      </c>
      <c r="AA48" t="s">
        <v>1120</v>
      </c>
      <c r="AB48" t="s">
        <v>1121</v>
      </c>
      <c r="AC48" t="s">
        <v>1122</v>
      </c>
      <c r="AD48" t="s">
        <v>1123</v>
      </c>
      <c r="AE48" t="s">
        <v>1124</v>
      </c>
      <c r="AF48" t="s">
        <v>74</v>
      </c>
      <c r="AG48">
        <v>25</v>
      </c>
      <c r="AH48">
        <v>15</v>
      </c>
      <c r="AI48">
        <v>15</v>
      </c>
      <c r="AJ48">
        <v>0</v>
      </c>
      <c r="AK48">
        <v>6</v>
      </c>
      <c r="AL48" t="s">
        <v>333</v>
      </c>
      <c r="AM48" t="s">
        <v>334</v>
      </c>
      <c r="AN48" t="s">
        <v>335</v>
      </c>
      <c r="AO48" t="s">
        <v>1125</v>
      </c>
      <c r="AP48" t="s">
        <v>1126</v>
      </c>
      <c r="AQ48" t="s">
        <v>74</v>
      </c>
      <c r="AR48" t="s">
        <v>1127</v>
      </c>
      <c r="AS48" t="s">
        <v>1128</v>
      </c>
      <c r="AT48" t="s">
        <v>97</v>
      </c>
      <c r="AU48">
        <v>2012</v>
      </c>
      <c r="AV48">
        <v>35</v>
      </c>
      <c r="AW48">
        <v>6</v>
      </c>
      <c r="AX48" t="s">
        <v>74</v>
      </c>
      <c r="AY48" t="s">
        <v>74</v>
      </c>
      <c r="AZ48" t="s">
        <v>74</v>
      </c>
      <c r="BA48" t="s">
        <v>74</v>
      </c>
      <c r="BB48">
        <v>312</v>
      </c>
      <c r="BC48">
        <v>324</v>
      </c>
      <c r="BD48" t="s">
        <v>74</v>
      </c>
      <c r="BE48" t="s">
        <v>1129</v>
      </c>
      <c r="BF48" t="str">
        <f>HYPERLINK("http://dx.doi.org/10.1016/j.astropartphys.2011.09.004","http://dx.doi.org/10.1016/j.astropartphys.2011.09.004")</f>
        <v>http://dx.doi.org/10.1016/j.astropartphys.2011.09.004</v>
      </c>
      <c r="BG48" t="s">
        <v>74</v>
      </c>
      <c r="BH48" t="s">
        <v>74</v>
      </c>
      <c r="BI48">
        <v>13</v>
      </c>
      <c r="BJ48" t="s">
        <v>1130</v>
      </c>
      <c r="BK48" t="s">
        <v>100</v>
      </c>
      <c r="BL48" t="s">
        <v>1131</v>
      </c>
      <c r="BM48" t="s">
        <v>1132</v>
      </c>
      <c r="BN48" t="s">
        <v>74</v>
      </c>
      <c r="BO48" t="s">
        <v>1133</v>
      </c>
      <c r="BP48" t="s">
        <v>74</v>
      </c>
      <c r="BQ48" t="s">
        <v>74</v>
      </c>
      <c r="BR48" t="s">
        <v>102</v>
      </c>
      <c r="BS48" t="s">
        <v>1134</v>
      </c>
      <c r="BT48" t="str">
        <f>HYPERLINK("https%3A%2F%2Fwww.webofscience.com%2Fwos%2Fwoscc%2Ffull-record%2FWOS:000300760800004","View Full Record in Web of Science")</f>
        <v>View Full Record in Web of Science</v>
      </c>
    </row>
    <row r="49" spans="1:72" x14ac:dyDescent="0.15">
      <c r="A49" t="s">
        <v>72</v>
      </c>
      <c r="B49" t="s">
        <v>1135</v>
      </c>
      <c r="C49" t="s">
        <v>74</v>
      </c>
      <c r="D49" t="s">
        <v>74</v>
      </c>
      <c r="E49" t="s">
        <v>74</v>
      </c>
      <c r="F49" t="s">
        <v>1136</v>
      </c>
      <c r="G49" t="s">
        <v>74</v>
      </c>
      <c r="H49" t="s">
        <v>74</v>
      </c>
      <c r="I49" t="s">
        <v>1137</v>
      </c>
      <c r="J49" t="s">
        <v>1138</v>
      </c>
      <c r="K49" t="s">
        <v>74</v>
      </c>
      <c r="L49" t="s">
        <v>74</v>
      </c>
      <c r="M49" t="s">
        <v>78</v>
      </c>
      <c r="N49" t="s">
        <v>79</v>
      </c>
      <c r="O49" t="s">
        <v>74</v>
      </c>
      <c r="P49" t="s">
        <v>74</v>
      </c>
      <c r="Q49" t="s">
        <v>74</v>
      </c>
      <c r="R49" t="s">
        <v>74</v>
      </c>
      <c r="S49" t="s">
        <v>74</v>
      </c>
      <c r="T49" t="s">
        <v>1139</v>
      </c>
      <c r="U49" t="s">
        <v>74</v>
      </c>
      <c r="V49" t="s">
        <v>1140</v>
      </c>
      <c r="W49" t="s">
        <v>1141</v>
      </c>
      <c r="X49" t="s">
        <v>1142</v>
      </c>
      <c r="Y49" t="s">
        <v>1143</v>
      </c>
      <c r="Z49" t="s">
        <v>1144</v>
      </c>
      <c r="AA49" t="s">
        <v>1145</v>
      </c>
      <c r="AB49" t="s">
        <v>1146</v>
      </c>
      <c r="AC49" t="s">
        <v>1147</v>
      </c>
      <c r="AD49" t="s">
        <v>1148</v>
      </c>
      <c r="AE49" t="s">
        <v>1149</v>
      </c>
      <c r="AF49" t="s">
        <v>74</v>
      </c>
      <c r="AG49">
        <v>39</v>
      </c>
      <c r="AH49">
        <v>7</v>
      </c>
      <c r="AI49">
        <v>8</v>
      </c>
      <c r="AJ49">
        <v>0</v>
      </c>
      <c r="AK49">
        <v>0</v>
      </c>
      <c r="AL49" t="s">
        <v>1150</v>
      </c>
      <c r="AM49" t="s">
        <v>1151</v>
      </c>
      <c r="AN49" t="s">
        <v>1152</v>
      </c>
      <c r="AO49" t="s">
        <v>1153</v>
      </c>
      <c r="AP49" t="s">
        <v>1154</v>
      </c>
      <c r="AQ49" t="s">
        <v>74</v>
      </c>
      <c r="AR49" t="s">
        <v>1155</v>
      </c>
      <c r="AS49" t="s">
        <v>1156</v>
      </c>
      <c r="AT49" t="s">
        <v>74</v>
      </c>
      <c r="AU49">
        <v>2012</v>
      </c>
      <c r="AV49">
        <v>5</v>
      </c>
      <c r="AW49">
        <v>4</v>
      </c>
      <c r="AX49" t="s">
        <v>74</v>
      </c>
      <c r="AY49" t="s">
        <v>74</v>
      </c>
      <c r="AZ49" t="s">
        <v>74</v>
      </c>
      <c r="BA49" t="s">
        <v>74</v>
      </c>
      <c r="BB49">
        <v>329</v>
      </c>
      <c r="BC49">
        <v>333</v>
      </c>
      <c r="BD49" t="s">
        <v>74</v>
      </c>
      <c r="BE49" t="s">
        <v>1157</v>
      </c>
      <c r="BF49" t="str">
        <f>HYPERLINK("http://dx.doi.org/10.1080/16742834.2012.11447015","http://dx.doi.org/10.1080/16742834.2012.11447015")</f>
        <v>http://dx.doi.org/10.1080/16742834.2012.11447015</v>
      </c>
      <c r="BG49" t="s">
        <v>74</v>
      </c>
      <c r="BH49" t="s">
        <v>74</v>
      </c>
      <c r="BI49">
        <v>5</v>
      </c>
      <c r="BJ49" t="s">
        <v>463</v>
      </c>
      <c r="BK49" t="s">
        <v>1158</v>
      </c>
      <c r="BL49" t="s">
        <v>463</v>
      </c>
      <c r="BM49" t="s">
        <v>1159</v>
      </c>
      <c r="BN49" t="s">
        <v>74</v>
      </c>
      <c r="BO49" t="s">
        <v>365</v>
      </c>
      <c r="BP49" t="s">
        <v>74</v>
      </c>
      <c r="BQ49" t="s">
        <v>74</v>
      </c>
      <c r="BR49" t="s">
        <v>102</v>
      </c>
      <c r="BS49" t="s">
        <v>1160</v>
      </c>
      <c r="BT49" t="str">
        <f>HYPERLINK("https%3A%2F%2Fwww.webofscience.com%2Fwos%2Fwoscc%2Ffull-record%2FWOS:000433696200011","View Full Record in Web of Science")</f>
        <v>View Full Record in Web of Science</v>
      </c>
    </row>
    <row r="50" spans="1:72" x14ac:dyDescent="0.15">
      <c r="A50" t="s">
        <v>72</v>
      </c>
      <c r="B50" t="s">
        <v>1161</v>
      </c>
      <c r="C50" t="s">
        <v>74</v>
      </c>
      <c r="D50" t="s">
        <v>74</v>
      </c>
      <c r="E50" t="s">
        <v>74</v>
      </c>
      <c r="F50" t="s">
        <v>1162</v>
      </c>
      <c r="G50" t="s">
        <v>74</v>
      </c>
      <c r="H50" t="s">
        <v>74</v>
      </c>
      <c r="I50" t="s">
        <v>1163</v>
      </c>
      <c r="J50" t="s">
        <v>1164</v>
      </c>
      <c r="K50" t="s">
        <v>74</v>
      </c>
      <c r="L50" t="s">
        <v>74</v>
      </c>
      <c r="M50" t="s">
        <v>78</v>
      </c>
      <c r="N50" t="s">
        <v>79</v>
      </c>
      <c r="O50" t="s">
        <v>74</v>
      </c>
      <c r="P50" t="s">
        <v>74</v>
      </c>
      <c r="Q50" t="s">
        <v>74</v>
      </c>
      <c r="R50" t="s">
        <v>74</v>
      </c>
      <c r="S50" t="s">
        <v>74</v>
      </c>
      <c r="T50" t="s">
        <v>74</v>
      </c>
      <c r="U50" t="s">
        <v>1165</v>
      </c>
      <c r="V50" t="s">
        <v>1166</v>
      </c>
      <c r="W50" t="s">
        <v>1167</v>
      </c>
      <c r="X50" t="s">
        <v>1168</v>
      </c>
      <c r="Y50" t="s">
        <v>1169</v>
      </c>
      <c r="Z50" t="s">
        <v>1170</v>
      </c>
      <c r="AA50" t="s">
        <v>1171</v>
      </c>
      <c r="AB50" t="s">
        <v>1172</v>
      </c>
      <c r="AC50" t="s">
        <v>1173</v>
      </c>
      <c r="AD50" t="s">
        <v>1174</v>
      </c>
      <c r="AE50" t="s">
        <v>1175</v>
      </c>
      <c r="AF50" t="s">
        <v>74</v>
      </c>
      <c r="AG50">
        <v>66</v>
      </c>
      <c r="AH50">
        <v>21</v>
      </c>
      <c r="AI50">
        <v>25</v>
      </c>
      <c r="AJ50">
        <v>0</v>
      </c>
      <c r="AK50">
        <v>36</v>
      </c>
      <c r="AL50" t="s">
        <v>766</v>
      </c>
      <c r="AM50" t="s">
        <v>767</v>
      </c>
      <c r="AN50" t="s">
        <v>768</v>
      </c>
      <c r="AO50" t="s">
        <v>1176</v>
      </c>
      <c r="AP50" t="s">
        <v>1177</v>
      </c>
      <c r="AQ50" t="s">
        <v>74</v>
      </c>
      <c r="AR50" t="s">
        <v>1178</v>
      </c>
      <c r="AS50" t="s">
        <v>1179</v>
      </c>
      <c r="AT50" t="s">
        <v>74</v>
      </c>
      <c r="AU50">
        <v>2012</v>
      </c>
      <c r="AV50">
        <v>12</v>
      </c>
      <c r="AW50">
        <v>2</v>
      </c>
      <c r="AX50" t="s">
        <v>74</v>
      </c>
      <c r="AY50" t="s">
        <v>74</v>
      </c>
      <c r="AZ50" t="s">
        <v>74</v>
      </c>
      <c r="BA50" t="s">
        <v>74</v>
      </c>
      <c r="BB50">
        <v>989</v>
      </c>
      <c r="BC50">
        <v>1002</v>
      </c>
      <c r="BD50" t="s">
        <v>74</v>
      </c>
      <c r="BE50" t="s">
        <v>1180</v>
      </c>
      <c r="BF50" t="str">
        <f>HYPERLINK("http://dx.doi.org/10.5194/acp-12-989-2012","http://dx.doi.org/10.5194/acp-12-989-2012")</f>
        <v>http://dx.doi.org/10.5194/acp-12-989-2012</v>
      </c>
      <c r="BG50" t="s">
        <v>74</v>
      </c>
      <c r="BH50" t="s">
        <v>74</v>
      </c>
      <c r="BI50">
        <v>14</v>
      </c>
      <c r="BJ50" t="s">
        <v>1181</v>
      </c>
      <c r="BK50" t="s">
        <v>100</v>
      </c>
      <c r="BL50" t="s">
        <v>1182</v>
      </c>
      <c r="BM50" t="s">
        <v>1183</v>
      </c>
      <c r="BN50" t="s">
        <v>74</v>
      </c>
      <c r="BO50" t="s">
        <v>1184</v>
      </c>
      <c r="BP50" t="s">
        <v>74</v>
      </c>
      <c r="BQ50" t="s">
        <v>74</v>
      </c>
      <c r="BR50" t="s">
        <v>102</v>
      </c>
      <c r="BS50" t="s">
        <v>1185</v>
      </c>
      <c r="BT50" t="str">
        <f>HYPERLINK("https%3A%2F%2Fwww.webofscience.com%2Fwos%2Fwoscc%2Ffull-record%2FWOS:000300321500024","View Full Record in Web of Science")</f>
        <v>View Full Record in Web of Science</v>
      </c>
    </row>
    <row r="51" spans="1:72" x14ac:dyDescent="0.15">
      <c r="A51" t="s">
        <v>72</v>
      </c>
      <c r="B51" t="s">
        <v>1186</v>
      </c>
      <c r="C51" t="s">
        <v>74</v>
      </c>
      <c r="D51" t="s">
        <v>74</v>
      </c>
      <c r="E51" t="s">
        <v>74</v>
      </c>
      <c r="F51" t="s">
        <v>1187</v>
      </c>
      <c r="G51" t="s">
        <v>74</v>
      </c>
      <c r="H51" t="s">
        <v>74</v>
      </c>
      <c r="I51" t="s">
        <v>1188</v>
      </c>
      <c r="J51" t="s">
        <v>1164</v>
      </c>
      <c r="K51" t="s">
        <v>74</v>
      </c>
      <c r="L51" t="s">
        <v>74</v>
      </c>
      <c r="M51" t="s">
        <v>78</v>
      </c>
      <c r="N51" t="s">
        <v>79</v>
      </c>
      <c r="O51" t="s">
        <v>74</v>
      </c>
      <c r="P51" t="s">
        <v>74</v>
      </c>
      <c r="Q51" t="s">
        <v>74</v>
      </c>
      <c r="R51" t="s">
        <v>74</v>
      </c>
      <c r="S51" t="s">
        <v>74</v>
      </c>
      <c r="T51" t="s">
        <v>74</v>
      </c>
      <c r="U51" t="s">
        <v>1189</v>
      </c>
      <c r="V51" t="s">
        <v>1190</v>
      </c>
      <c r="W51" t="s">
        <v>1191</v>
      </c>
      <c r="X51" t="s">
        <v>1192</v>
      </c>
      <c r="Y51" t="s">
        <v>1193</v>
      </c>
      <c r="Z51" t="s">
        <v>1194</v>
      </c>
      <c r="AA51" t="s">
        <v>1195</v>
      </c>
      <c r="AB51" t="s">
        <v>1196</v>
      </c>
      <c r="AC51" t="s">
        <v>1197</v>
      </c>
      <c r="AD51" t="s">
        <v>1198</v>
      </c>
      <c r="AE51" t="s">
        <v>1199</v>
      </c>
      <c r="AF51" t="s">
        <v>74</v>
      </c>
      <c r="AG51">
        <v>61</v>
      </c>
      <c r="AH51">
        <v>15</v>
      </c>
      <c r="AI51">
        <v>15</v>
      </c>
      <c r="AJ51">
        <v>0</v>
      </c>
      <c r="AK51">
        <v>12</v>
      </c>
      <c r="AL51" t="s">
        <v>766</v>
      </c>
      <c r="AM51" t="s">
        <v>767</v>
      </c>
      <c r="AN51" t="s">
        <v>768</v>
      </c>
      <c r="AO51" t="s">
        <v>1176</v>
      </c>
      <c r="AP51" t="s">
        <v>1177</v>
      </c>
      <c r="AQ51" t="s">
        <v>74</v>
      </c>
      <c r="AR51" t="s">
        <v>1178</v>
      </c>
      <c r="AS51" t="s">
        <v>1179</v>
      </c>
      <c r="AT51" t="s">
        <v>74</v>
      </c>
      <c r="AU51">
        <v>2012</v>
      </c>
      <c r="AV51">
        <v>12</v>
      </c>
      <c r="AW51">
        <v>4</v>
      </c>
      <c r="AX51" t="s">
        <v>74</v>
      </c>
      <c r="AY51" t="s">
        <v>74</v>
      </c>
      <c r="AZ51" t="s">
        <v>74</v>
      </c>
      <c r="BA51" t="s">
        <v>74</v>
      </c>
      <c r="BB51">
        <v>1965</v>
      </c>
      <c r="BC51">
        <v>1977</v>
      </c>
      <c r="BD51" t="s">
        <v>74</v>
      </c>
      <c r="BE51" t="s">
        <v>1200</v>
      </c>
      <c r="BF51" t="str">
        <f>HYPERLINK("http://dx.doi.org/10.5194/acp-12-1965-2012","http://dx.doi.org/10.5194/acp-12-1965-2012")</f>
        <v>http://dx.doi.org/10.5194/acp-12-1965-2012</v>
      </c>
      <c r="BG51" t="s">
        <v>74</v>
      </c>
      <c r="BH51" t="s">
        <v>74</v>
      </c>
      <c r="BI51">
        <v>13</v>
      </c>
      <c r="BJ51" t="s">
        <v>1181</v>
      </c>
      <c r="BK51" t="s">
        <v>100</v>
      </c>
      <c r="BL51" t="s">
        <v>1182</v>
      </c>
      <c r="BM51" t="s">
        <v>1201</v>
      </c>
      <c r="BN51" t="s">
        <v>74</v>
      </c>
      <c r="BO51" t="s">
        <v>1108</v>
      </c>
      <c r="BP51" t="s">
        <v>74</v>
      </c>
      <c r="BQ51" t="s">
        <v>74</v>
      </c>
      <c r="BR51" t="s">
        <v>102</v>
      </c>
      <c r="BS51" t="s">
        <v>1202</v>
      </c>
      <c r="BT51" t="str">
        <f>HYPERLINK("https%3A%2F%2Fwww.webofscience.com%2Fwos%2Fwoscc%2Ffull-record%2FWOS:000300875900018","View Full Record in Web of Science")</f>
        <v>View Full Record in Web of Science</v>
      </c>
    </row>
    <row r="52" spans="1:72" x14ac:dyDescent="0.15">
      <c r="A52" t="s">
        <v>72</v>
      </c>
      <c r="B52" t="s">
        <v>1203</v>
      </c>
      <c r="C52" t="s">
        <v>74</v>
      </c>
      <c r="D52" t="s">
        <v>74</v>
      </c>
      <c r="E52" t="s">
        <v>74</v>
      </c>
      <c r="F52" t="s">
        <v>1204</v>
      </c>
      <c r="G52" t="s">
        <v>74</v>
      </c>
      <c r="H52" t="s">
        <v>74</v>
      </c>
      <c r="I52" t="s">
        <v>1205</v>
      </c>
      <c r="J52" t="s">
        <v>1164</v>
      </c>
      <c r="K52" t="s">
        <v>74</v>
      </c>
      <c r="L52" t="s">
        <v>74</v>
      </c>
      <c r="M52" t="s">
        <v>78</v>
      </c>
      <c r="N52" t="s">
        <v>79</v>
      </c>
      <c r="O52" t="s">
        <v>74</v>
      </c>
      <c r="P52" t="s">
        <v>74</v>
      </c>
      <c r="Q52" t="s">
        <v>74</v>
      </c>
      <c r="R52" t="s">
        <v>74</v>
      </c>
      <c r="S52" t="s">
        <v>74</v>
      </c>
      <c r="T52" t="s">
        <v>74</v>
      </c>
      <c r="U52" t="s">
        <v>1206</v>
      </c>
      <c r="V52" t="s">
        <v>1207</v>
      </c>
      <c r="W52" t="s">
        <v>1208</v>
      </c>
      <c r="X52" t="s">
        <v>1209</v>
      </c>
      <c r="Y52" t="s">
        <v>1210</v>
      </c>
      <c r="Z52" t="s">
        <v>1211</v>
      </c>
      <c r="AA52" t="s">
        <v>1212</v>
      </c>
      <c r="AB52" t="s">
        <v>1213</v>
      </c>
      <c r="AC52" t="s">
        <v>1214</v>
      </c>
      <c r="AD52" t="s">
        <v>1215</v>
      </c>
      <c r="AE52" t="s">
        <v>1216</v>
      </c>
      <c r="AF52" t="s">
        <v>74</v>
      </c>
      <c r="AG52">
        <v>132</v>
      </c>
      <c r="AH52">
        <v>99</v>
      </c>
      <c r="AI52">
        <v>104</v>
      </c>
      <c r="AJ52">
        <v>2</v>
      </c>
      <c r="AK52">
        <v>109</v>
      </c>
      <c r="AL52" t="s">
        <v>766</v>
      </c>
      <c r="AM52" t="s">
        <v>767</v>
      </c>
      <c r="AN52" t="s">
        <v>768</v>
      </c>
      <c r="AO52" t="s">
        <v>1176</v>
      </c>
      <c r="AP52" t="s">
        <v>1177</v>
      </c>
      <c r="AQ52" t="s">
        <v>74</v>
      </c>
      <c r="AR52" t="s">
        <v>1178</v>
      </c>
      <c r="AS52" t="s">
        <v>1179</v>
      </c>
      <c r="AT52" t="s">
        <v>74</v>
      </c>
      <c r="AU52">
        <v>2012</v>
      </c>
      <c r="AV52">
        <v>12</v>
      </c>
      <c r="AW52">
        <v>6</v>
      </c>
      <c r="AX52" t="s">
        <v>74</v>
      </c>
      <c r="AY52" t="s">
        <v>74</v>
      </c>
      <c r="AZ52" t="s">
        <v>74</v>
      </c>
      <c r="BA52" t="s">
        <v>74</v>
      </c>
      <c r="BB52">
        <v>3065</v>
      </c>
      <c r="BC52">
        <v>3114</v>
      </c>
      <c r="BD52" t="s">
        <v>74</v>
      </c>
      <c r="BE52" t="s">
        <v>1217</v>
      </c>
      <c r="BF52" t="str">
        <f>HYPERLINK("http://dx.doi.org/10.5194/acp-12-3065-2012","http://dx.doi.org/10.5194/acp-12-3065-2012")</f>
        <v>http://dx.doi.org/10.5194/acp-12-3065-2012</v>
      </c>
      <c r="BG52" t="s">
        <v>74</v>
      </c>
      <c r="BH52" t="s">
        <v>74</v>
      </c>
      <c r="BI52">
        <v>50</v>
      </c>
      <c r="BJ52" t="s">
        <v>1181</v>
      </c>
      <c r="BK52" t="s">
        <v>100</v>
      </c>
      <c r="BL52" t="s">
        <v>1182</v>
      </c>
      <c r="BM52" t="s">
        <v>1218</v>
      </c>
      <c r="BN52" t="s">
        <v>74</v>
      </c>
      <c r="BO52" t="s">
        <v>1219</v>
      </c>
      <c r="BP52" t="s">
        <v>74</v>
      </c>
      <c r="BQ52" t="s">
        <v>74</v>
      </c>
      <c r="BR52" t="s">
        <v>102</v>
      </c>
      <c r="BS52" t="s">
        <v>1220</v>
      </c>
      <c r="BT52" t="str">
        <f>HYPERLINK("https%3A%2F%2Fwww.webofscience.com%2Fwos%2Fwoscc%2Ffull-record%2FWOS:000302178000014","View Full Record in Web of Science")</f>
        <v>View Full Record in Web of Science</v>
      </c>
    </row>
    <row r="53" spans="1:72" x14ac:dyDescent="0.15">
      <c r="A53" t="s">
        <v>72</v>
      </c>
      <c r="B53" t="s">
        <v>1221</v>
      </c>
      <c r="C53" t="s">
        <v>74</v>
      </c>
      <c r="D53" t="s">
        <v>74</v>
      </c>
      <c r="E53" t="s">
        <v>74</v>
      </c>
      <c r="F53" t="s">
        <v>1222</v>
      </c>
      <c r="G53" t="s">
        <v>74</v>
      </c>
      <c r="H53" t="s">
        <v>74</v>
      </c>
      <c r="I53" t="s">
        <v>1223</v>
      </c>
      <c r="J53" t="s">
        <v>1164</v>
      </c>
      <c r="K53" t="s">
        <v>74</v>
      </c>
      <c r="L53" t="s">
        <v>74</v>
      </c>
      <c r="M53" t="s">
        <v>78</v>
      </c>
      <c r="N53" t="s">
        <v>79</v>
      </c>
      <c r="O53" t="s">
        <v>74</v>
      </c>
      <c r="P53" t="s">
        <v>74</v>
      </c>
      <c r="Q53" t="s">
        <v>74</v>
      </c>
      <c r="R53" t="s">
        <v>74</v>
      </c>
      <c r="S53" t="s">
        <v>74</v>
      </c>
      <c r="T53" t="s">
        <v>74</v>
      </c>
      <c r="U53" t="s">
        <v>1224</v>
      </c>
      <c r="V53" t="s">
        <v>1225</v>
      </c>
      <c r="W53" t="s">
        <v>1226</v>
      </c>
      <c r="X53" t="s">
        <v>1227</v>
      </c>
      <c r="Y53" t="s">
        <v>1228</v>
      </c>
      <c r="Z53" t="s">
        <v>1229</v>
      </c>
      <c r="AA53" t="s">
        <v>1230</v>
      </c>
      <c r="AB53" t="s">
        <v>1231</v>
      </c>
      <c r="AC53" t="s">
        <v>1232</v>
      </c>
      <c r="AD53" t="s">
        <v>1233</v>
      </c>
      <c r="AE53" t="s">
        <v>1234</v>
      </c>
      <c r="AF53" t="s">
        <v>74</v>
      </c>
      <c r="AG53">
        <v>40</v>
      </c>
      <c r="AH53">
        <v>46</v>
      </c>
      <c r="AI53">
        <v>47</v>
      </c>
      <c r="AJ53">
        <v>0</v>
      </c>
      <c r="AK53">
        <v>41</v>
      </c>
      <c r="AL53" t="s">
        <v>766</v>
      </c>
      <c r="AM53" t="s">
        <v>767</v>
      </c>
      <c r="AN53" t="s">
        <v>768</v>
      </c>
      <c r="AO53" t="s">
        <v>1176</v>
      </c>
      <c r="AP53" t="s">
        <v>1177</v>
      </c>
      <c r="AQ53" t="s">
        <v>74</v>
      </c>
      <c r="AR53" t="s">
        <v>1178</v>
      </c>
      <c r="AS53" t="s">
        <v>1179</v>
      </c>
      <c r="AT53" t="s">
        <v>74</v>
      </c>
      <c r="AU53">
        <v>2012</v>
      </c>
      <c r="AV53">
        <v>12</v>
      </c>
      <c r="AW53">
        <v>7</v>
      </c>
      <c r="AX53" t="s">
        <v>74</v>
      </c>
      <c r="AY53" t="s">
        <v>74</v>
      </c>
      <c r="AZ53" t="s">
        <v>74</v>
      </c>
      <c r="BA53" t="s">
        <v>74</v>
      </c>
      <c r="BB53">
        <v>3241</v>
      </c>
      <c r="BC53">
        <v>3251</v>
      </c>
      <c r="BD53" t="s">
        <v>74</v>
      </c>
      <c r="BE53" t="s">
        <v>1235</v>
      </c>
      <c r="BF53" t="str">
        <f>HYPERLINK("http://dx.doi.org/10.5194/acp-12-3241-2012","http://dx.doi.org/10.5194/acp-12-3241-2012")</f>
        <v>http://dx.doi.org/10.5194/acp-12-3241-2012</v>
      </c>
      <c r="BG53" t="s">
        <v>74</v>
      </c>
      <c r="BH53" t="s">
        <v>74</v>
      </c>
      <c r="BI53">
        <v>11</v>
      </c>
      <c r="BJ53" t="s">
        <v>1181</v>
      </c>
      <c r="BK53" t="s">
        <v>100</v>
      </c>
      <c r="BL53" t="s">
        <v>1182</v>
      </c>
      <c r="BM53" t="s">
        <v>1236</v>
      </c>
      <c r="BN53" t="s">
        <v>74</v>
      </c>
      <c r="BO53" t="s">
        <v>1237</v>
      </c>
      <c r="BP53" t="s">
        <v>74</v>
      </c>
      <c r="BQ53" t="s">
        <v>74</v>
      </c>
      <c r="BR53" t="s">
        <v>102</v>
      </c>
      <c r="BS53" t="s">
        <v>1238</v>
      </c>
      <c r="BT53" t="str">
        <f>HYPERLINK("https%3A%2F%2Fwww.webofscience.com%2Fwos%2Fwoscc%2Ffull-record%2FWOS:000302806700007","View Full Record in Web of Science")</f>
        <v>View Full Record in Web of Science</v>
      </c>
    </row>
    <row r="54" spans="1:72" x14ac:dyDescent="0.15">
      <c r="A54" t="s">
        <v>72</v>
      </c>
      <c r="B54" t="s">
        <v>1239</v>
      </c>
      <c r="C54" t="s">
        <v>74</v>
      </c>
      <c r="D54" t="s">
        <v>74</v>
      </c>
      <c r="E54" t="s">
        <v>74</v>
      </c>
      <c r="F54" t="s">
        <v>1240</v>
      </c>
      <c r="G54" t="s">
        <v>74</v>
      </c>
      <c r="H54" t="s">
        <v>74</v>
      </c>
      <c r="I54" t="s">
        <v>1241</v>
      </c>
      <c r="J54" t="s">
        <v>1164</v>
      </c>
      <c r="K54" t="s">
        <v>74</v>
      </c>
      <c r="L54" t="s">
        <v>74</v>
      </c>
      <c r="M54" t="s">
        <v>78</v>
      </c>
      <c r="N54" t="s">
        <v>79</v>
      </c>
      <c r="O54" t="s">
        <v>74</v>
      </c>
      <c r="P54" t="s">
        <v>74</v>
      </c>
      <c r="Q54" t="s">
        <v>74</v>
      </c>
      <c r="R54" t="s">
        <v>74</v>
      </c>
      <c r="S54" t="s">
        <v>74</v>
      </c>
      <c r="T54" t="s">
        <v>74</v>
      </c>
      <c r="U54" t="s">
        <v>1242</v>
      </c>
      <c r="V54" t="s">
        <v>1243</v>
      </c>
      <c r="W54" t="s">
        <v>1244</v>
      </c>
      <c r="X54" t="s">
        <v>1245</v>
      </c>
      <c r="Y54" t="s">
        <v>1246</v>
      </c>
      <c r="Z54" t="s">
        <v>1247</v>
      </c>
      <c r="AA54" t="s">
        <v>1248</v>
      </c>
      <c r="AB54" t="s">
        <v>1249</v>
      </c>
      <c r="AC54" t="s">
        <v>1250</v>
      </c>
      <c r="AD54" t="s">
        <v>1251</v>
      </c>
      <c r="AE54" t="s">
        <v>1252</v>
      </c>
      <c r="AF54" t="s">
        <v>74</v>
      </c>
      <c r="AG54">
        <v>92</v>
      </c>
      <c r="AH54">
        <v>30</v>
      </c>
      <c r="AI54">
        <v>37</v>
      </c>
      <c r="AJ54">
        <v>0</v>
      </c>
      <c r="AK54">
        <v>12</v>
      </c>
      <c r="AL54" t="s">
        <v>766</v>
      </c>
      <c r="AM54" t="s">
        <v>767</v>
      </c>
      <c r="AN54" t="s">
        <v>768</v>
      </c>
      <c r="AO54" t="s">
        <v>1176</v>
      </c>
      <c r="AP54" t="s">
        <v>1177</v>
      </c>
      <c r="AQ54" t="s">
        <v>74</v>
      </c>
      <c r="AR54" t="s">
        <v>1178</v>
      </c>
      <c r="AS54" t="s">
        <v>1179</v>
      </c>
      <c r="AT54" t="s">
        <v>74</v>
      </c>
      <c r="AU54">
        <v>2012</v>
      </c>
      <c r="AV54">
        <v>12</v>
      </c>
      <c r="AW54">
        <v>8</v>
      </c>
      <c r="AX54" t="s">
        <v>74</v>
      </c>
      <c r="AY54" t="s">
        <v>74</v>
      </c>
      <c r="AZ54" t="s">
        <v>74</v>
      </c>
      <c r="BA54" t="s">
        <v>74</v>
      </c>
      <c r="BB54">
        <v>3821</v>
      </c>
      <c r="BC54">
        <v>3835</v>
      </c>
      <c r="BD54" t="s">
        <v>74</v>
      </c>
      <c r="BE54" t="s">
        <v>1253</v>
      </c>
      <c r="BF54" t="str">
        <f>HYPERLINK("http://dx.doi.org/10.5194/acp-12-3821-2012","http://dx.doi.org/10.5194/acp-12-3821-2012")</f>
        <v>http://dx.doi.org/10.5194/acp-12-3821-2012</v>
      </c>
      <c r="BG54" t="s">
        <v>74</v>
      </c>
      <c r="BH54" t="s">
        <v>74</v>
      </c>
      <c r="BI54">
        <v>15</v>
      </c>
      <c r="BJ54" t="s">
        <v>1181</v>
      </c>
      <c r="BK54" t="s">
        <v>100</v>
      </c>
      <c r="BL54" t="s">
        <v>1182</v>
      </c>
      <c r="BM54" t="s">
        <v>1254</v>
      </c>
      <c r="BN54" t="s">
        <v>74</v>
      </c>
      <c r="BO54" t="s">
        <v>1237</v>
      </c>
      <c r="BP54" t="s">
        <v>74</v>
      </c>
      <c r="BQ54" t="s">
        <v>74</v>
      </c>
      <c r="BR54" t="s">
        <v>102</v>
      </c>
      <c r="BS54" t="s">
        <v>1255</v>
      </c>
      <c r="BT54" t="str">
        <f>HYPERLINK("https%3A%2F%2Fwww.webofscience.com%2Fwos%2Fwoscc%2Ffull-record%2FWOS:000304054800019","View Full Record in Web of Science")</f>
        <v>View Full Record in Web of Science</v>
      </c>
    </row>
    <row r="55" spans="1:72" x14ac:dyDescent="0.15">
      <c r="A55" t="s">
        <v>72</v>
      </c>
      <c r="B55" t="s">
        <v>1256</v>
      </c>
      <c r="C55" t="s">
        <v>74</v>
      </c>
      <c r="D55" t="s">
        <v>74</v>
      </c>
      <c r="E55" t="s">
        <v>74</v>
      </c>
      <c r="F55" t="s">
        <v>1257</v>
      </c>
      <c r="G55" t="s">
        <v>74</v>
      </c>
      <c r="H55" t="s">
        <v>74</v>
      </c>
      <c r="I55" t="s">
        <v>1258</v>
      </c>
      <c r="J55" t="s">
        <v>1164</v>
      </c>
      <c r="K55" t="s">
        <v>74</v>
      </c>
      <c r="L55" t="s">
        <v>74</v>
      </c>
      <c r="M55" t="s">
        <v>78</v>
      </c>
      <c r="N55" t="s">
        <v>79</v>
      </c>
      <c r="O55" t="s">
        <v>74</v>
      </c>
      <c r="P55" t="s">
        <v>74</v>
      </c>
      <c r="Q55" t="s">
        <v>74</v>
      </c>
      <c r="R55" t="s">
        <v>74</v>
      </c>
      <c r="S55" t="s">
        <v>74</v>
      </c>
      <c r="T55" t="s">
        <v>74</v>
      </c>
      <c r="U55" t="s">
        <v>1259</v>
      </c>
      <c r="V55" t="s">
        <v>1260</v>
      </c>
      <c r="W55" t="s">
        <v>1261</v>
      </c>
      <c r="X55" t="s">
        <v>1262</v>
      </c>
      <c r="Y55" t="s">
        <v>1263</v>
      </c>
      <c r="Z55" t="s">
        <v>1264</v>
      </c>
      <c r="AA55" t="s">
        <v>1265</v>
      </c>
      <c r="AB55" t="s">
        <v>1266</v>
      </c>
      <c r="AC55" t="s">
        <v>1267</v>
      </c>
      <c r="AD55" t="s">
        <v>1268</v>
      </c>
      <c r="AE55" t="s">
        <v>1269</v>
      </c>
      <c r="AF55" t="s">
        <v>74</v>
      </c>
      <c r="AG55">
        <v>79</v>
      </c>
      <c r="AH55">
        <v>97</v>
      </c>
      <c r="AI55">
        <v>107</v>
      </c>
      <c r="AJ55">
        <v>0</v>
      </c>
      <c r="AK55">
        <v>51</v>
      </c>
      <c r="AL55" t="s">
        <v>766</v>
      </c>
      <c r="AM55" t="s">
        <v>767</v>
      </c>
      <c r="AN55" t="s">
        <v>768</v>
      </c>
      <c r="AO55" t="s">
        <v>1176</v>
      </c>
      <c r="AP55" t="s">
        <v>1177</v>
      </c>
      <c r="AQ55" t="s">
        <v>74</v>
      </c>
      <c r="AR55" t="s">
        <v>1178</v>
      </c>
      <c r="AS55" t="s">
        <v>1179</v>
      </c>
      <c r="AT55" t="s">
        <v>74</v>
      </c>
      <c r="AU55">
        <v>2012</v>
      </c>
      <c r="AV55">
        <v>12</v>
      </c>
      <c r="AW55">
        <v>9</v>
      </c>
      <c r="AX55" t="s">
        <v>74</v>
      </c>
      <c r="AY55" t="s">
        <v>74</v>
      </c>
      <c r="AZ55" t="s">
        <v>74</v>
      </c>
      <c r="BA55" t="s">
        <v>74</v>
      </c>
      <c r="BB55">
        <v>4259</v>
      </c>
      <c r="BC55">
        <v>4277</v>
      </c>
      <c r="BD55" t="s">
        <v>74</v>
      </c>
      <c r="BE55" t="s">
        <v>1270</v>
      </c>
      <c r="BF55" t="str">
        <f>HYPERLINK("http://dx.doi.org/10.5194/acp-12-4259-2012","http://dx.doi.org/10.5194/acp-12-4259-2012")</f>
        <v>http://dx.doi.org/10.5194/acp-12-4259-2012</v>
      </c>
      <c r="BG55" t="s">
        <v>74</v>
      </c>
      <c r="BH55" t="s">
        <v>74</v>
      </c>
      <c r="BI55">
        <v>19</v>
      </c>
      <c r="BJ55" t="s">
        <v>1181</v>
      </c>
      <c r="BK55" t="s">
        <v>100</v>
      </c>
      <c r="BL55" t="s">
        <v>1182</v>
      </c>
      <c r="BM55" t="s">
        <v>1271</v>
      </c>
      <c r="BN55" t="s">
        <v>74</v>
      </c>
      <c r="BO55" t="s">
        <v>1272</v>
      </c>
      <c r="BP55" t="s">
        <v>74</v>
      </c>
      <c r="BQ55" t="s">
        <v>74</v>
      </c>
      <c r="BR55" t="s">
        <v>102</v>
      </c>
      <c r="BS55" t="s">
        <v>1273</v>
      </c>
      <c r="BT55" t="str">
        <f>HYPERLINK("https%3A%2F%2Fwww.webofscience.com%2Fwos%2Fwoscc%2Ffull-record%2FWOS:000304055600027","View Full Record in Web of Science")</f>
        <v>View Full Record in Web of Science</v>
      </c>
    </row>
    <row r="56" spans="1:72" x14ac:dyDescent="0.15">
      <c r="A56" t="s">
        <v>72</v>
      </c>
      <c r="B56" t="s">
        <v>1274</v>
      </c>
      <c r="C56" t="s">
        <v>74</v>
      </c>
      <c r="D56" t="s">
        <v>74</v>
      </c>
      <c r="E56" t="s">
        <v>74</v>
      </c>
      <c r="F56" t="s">
        <v>1275</v>
      </c>
      <c r="G56" t="s">
        <v>74</v>
      </c>
      <c r="H56" t="s">
        <v>74</v>
      </c>
      <c r="I56" t="s">
        <v>1276</v>
      </c>
      <c r="J56" t="s">
        <v>1164</v>
      </c>
      <c r="K56" t="s">
        <v>74</v>
      </c>
      <c r="L56" t="s">
        <v>74</v>
      </c>
      <c r="M56" t="s">
        <v>78</v>
      </c>
      <c r="N56" t="s">
        <v>79</v>
      </c>
      <c r="O56" t="s">
        <v>74</v>
      </c>
      <c r="P56" t="s">
        <v>74</v>
      </c>
      <c r="Q56" t="s">
        <v>74</v>
      </c>
      <c r="R56" t="s">
        <v>74</v>
      </c>
      <c r="S56" t="s">
        <v>74</v>
      </c>
      <c r="T56" t="s">
        <v>74</v>
      </c>
      <c r="U56" t="s">
        <v>1277</v>
      </c>
      <c r="V56" t="s">
        <v>1278</v>
      </c>
      <c r="W56" t="s">
        <v>1279</v>
      </c>
      <c r="X56" t="s">
        <v>1280</v>
      </c>
      <c r="Y56" t="s">
        <v>1281</v>
      </c>
      <c r="Z56" t="s">
        <v>1282</v>
      </c>
      <c r="AA56" t="s">
        <v>1283</v>
      </c>
      <c r="AB56" t="s">
        <v>1284</v>
      </c>
      <c r="AC56" t="s">
        <v>1285</v>
      </c>
      <c r="AD56" t="s">
        <v>1286</v>
      </c>
      <c r="AE56" t="s">
        <v>1287</v>
      </c>
      <c r="AF56" t="s">
        <v>74</v>
      </c>
      <c r="AG56">
        <v>65</v>
      </c>
      <c r="AH56">
        <v>26</v>
      </c>
      <c r="AI56">
        <v>29</v>
      </c>
      <c r="AJ56">
        <v>3</v>
      </c>
      <c r="AK56">
        <v>20</v>
      </c>
      <c r="AL56" t="s">
        <v>766</v>
      </c>
      <c r="AM56" t="s">
        <v>767</v>
      </c>
      <c r="AN56" t="s">
        <v>768</v>
      </c>
      <c r="AO56" t="s">
        <v>1176</v>
      </c>
      <c r="AP56" t="s">
        <v>1177</v>
      </c>
      <c r="AQ56" t="s">
        <v>74</v>
      </c>
      <c r="AR56" t="s">
        <v>1178</v>
      </c>
      <c r="AS56" t="s">
        <v>1179</v>
      </c>
      <c r="AT56" t="s">
        <v>74</v>
      </c>
      <c r="AU56">
        <v>2012</v>
      </c>
      <c r="AV56">
        <v>12</v>
      </c>
      <c r="AW56">
        <v>13</v>
      </c>
      <c r="AX56" t="s">
        <v>74</v>
      </c>
      <c r="AY56" t="s">
        <v>74</v>
      </c>
      <c r="AZ56" t="s">
        <v>74</v>
      </c>
      <c r="BA56" t="s">
        <v>74</v>
      </c>
      <c r="BB56">
        <v>6009</v>
      </c>
      <c r="BC56">
        <v>6039</v>
      </c>
      <c r="BD56" t="s">
        <v>74</v>
      </c>
      <c r="BE56" t="s">
        <v>1288</v>
      </c>
      <c r="BF56" t="str">
        <f>HYPERLINK("http://dx.doi.org/10.5194/acp-12-6009-2012","http://dx.doi.org/10.5194/acp-12-6009-2012")</f>
        <v>http://dx.doi.org/10.5194/acp-12-6009-2012</v>
      </c>
      <c r="BG56" t="s">
        <v>74</v>
      </c>
      <c r="BH56" t="s">
        <v>74</v>
      </c>
      <c r="BI56">
        <v>31</v>
      </c>
      <c r="BJ56" t="s">
        <v>1181</v>
      </c>
      <c r="BK56" t="s">
        <v>100</v>
      </c>
      <c r="BL56" t="s">
        <v>1182</v>
      </c>
      <c r="BM56" t="s">
        <v>1289</v>
      </c>
      <c r="BN56" t="s">
        <v>74</v>
      </c>
      <c r="BO56" t="s">
        <v>1290</v>
      </c>
      <c r="BP56" t="s">
        <v>74</v>
      </c>
      <c r="BQ56" t="s">
        <v>74</v>
      </c>
      <c r="BR56" t="s">
        <v>102</v>
      </c>
      <c r="BS56" t="s">
        <v>1291</v>
      </c>
      <c r="BT56" t="str">
        <f>HYPERLINK("https%3A%2F%2Fwww.webofscience.com%2Fwos%2Fwoscc%2Ffull-record%2FWOS:000306366500020","View Full Record in Web of Science")</f>
        <v>View Full Record in Web of Science</v>
      </c>
    </row>
    <row r="57" spans="1:72" x14ac:dyDescent="0.15">
      <c r="A57" t="s">
        <v>72</v>
      </c>
      <c r="B57" t="s">
        <v>1292</v>
      </c>
      <c r="C57" t="s">
        <v>74</v>
      </c>
      <c r="D57" t="s">
        <v>74</v>
      </c>
      <c r="E57" t="s">
        <v>74</v>
      </c>
      <c r="F57" t="s">
        <v>1293</v>
      </c>
      <c r="G57" t="s">
        <v>74</v>
      </c>
      <c r="H57" t="s">
        <v>74</v>
      </c>
      <c r="I57" t="s">
        <v>1294</v>
      </c>
      <c r="J57" t="s">
        <v>1164</v>
      </c>
      <c r="K57" t="s">
        <v>74</v>
      </c>
      <c r="L57" t="s">
        <v>74</v>
      </c>
      <c r="M57" t="s">
        <v>78</v>
      </c>
      <c r="N57" t="s">
        <v>79</v>
      </c>
      <c r="O57" t="s">
        <v>74</v>
      </c>
      <c r="P57" t="s">
        <v>74</v>
      </c>
      <c r="Q57" t="s">
        <v>74</v>
      </c>
      <c r="R57" t="s">
        <v>74</v>
      </c>
      <c r="S57" t="s">
        <v>74</v>
      </c>
      <c r="T57" t="s">
        <v>74</v>
      </c>
      <c r="U57" t="s">
        <v>1295</v>
      </c>
      <c r="V57" t="s">
        <v>1296</v>
      </c>
      <c r="W57" t="s">
        <v>1297</v>
      </c>
      <c r="X57" t="s">
        <v>1298</v>
      </c>
      <c r="Y57" t="s">
        <v>1299</v>
      </c>
      <c r="Z57" t="s">
        <v>1300</v>
      </c>
      <c r="AA57" t="s">
        <v>1301</v>
      </c>
      <c r="AB57" t="s">
        <v>1302</v>
      </c>
      <c r="AC57" t="s">
        <v>1303</v>
      </c>
      <c r="AD57" t="s">
        <v>1304</v>
      </c>
      <c r="AE57" t="s">
        <v>1305</v>
      </c>
      <c r="AF57" t="s">
        <v>74</v>
      </c>
      <c r="AG57">
        <v>286</v>
      </c>
      <c r="AH57">
        <v>173</v>
      </c>
      <c r="AI57">
        <v>195</v>
      </c>
      <c r="AJ57">
        <v>7</v>
      </c>
      <c r="AK57">
        <v>144</v>
      </c>
      <c r="AL57" t="s">
        <v>766</v>
      </c>
      <c r="AM57" t="s">
        <v>767</v>
      </c>
      <c r="AN57" t="s">
        <v>768</v>
      </c>
      <c r="AO57" t="s">
        <v>1176</v>
      </c>
      <c r="AP57" t="s">
        <v>1177</v>
      </c>
      <c r="AQ57" t="s">
        <v>74</v>
      </c>
      <c r="AR57" t="s">
        <v>1178</v>
      </c>
      <c r="AS57" t="s">
        <v>1179</v>
      </c>
      <c r="AT57" t="s">
        <v>74</v>
      </c>
      <c r="AU57">
        <v>2012</v>
      </c>
      <c r="AV57">
        <v>12</v>
      </c>
      <c r="AW57">
        <v>14</v>
      </c>
      <c r="AX57" t="s">
        <v>74</v>
      </c>
      <c r="AY57" t="s">
        <v>74</v>
      </c>
      <c r="AZ57" t="s">
        <v>74</v>
      </c>
      <c r="BA57" t="s">
        <v>74</v>
      </c>
      <c r="BB57">
        <v>6237</v>
      </c>
      <c r="BC57">
        <v>6271</v>
      </c>
      <c r="BD57" t="s">
        <v>74</v>
      </c>
      <c r="BE57" t="s">
        <v>1306</v>
      </c>
      <c r="BF57" t="str">
        <f>HYPERLINK("http://dx.doi.org/10.5194/acp-12-6237-2012","http://dx.doi.org/10.5194/acp-12-6237-2012")</f>
        <v>http://dx.doi.org/10.5194/acp-12-6237-2012</v>
      </c>
      <c r="BG57" t="s">
        <v>74</v>
      </c>
      <c r="BH57" t="s">
        <v>74</v>
      </c>
      <c r="BI57">
        <v>35</v>
      </c>
      <c r="BJ57" t="s">
        <v>1181</v>
      </c>
      <c r="BK57" t="s">
        <v>100</v>
      </c>
      <c r="BL57" t="s">
        <v>1182</v>
      </c>
      <c r="BM57" t="s">
        <v>1307</v>
      </c>
      <c r="BN57" t="s">
        <v>74</v>
      </c>
      <c r="BO57" t="s">
        <v>1308</v>
      </c>
      <c r="BP57" t="s">
        <v>74</v>
      </c>
      <c r="BQ57" t="s">
        <v>74</v>
      </c>
      <c r="BR57" t="s">
        <v>102</v>
      </c>
      <c r="BS57" t="s">
        <v>1309</v>
      </c>
      <c r="BT57" t="str">
        <f>HYPERLINK("https%3A%2F%2Fwww.webofscience.com%2Fwos%2Fwoscc%2Ffull-record%2FWOS:000306808300013","View Full Record in Web of Science")</f>
        <v>View Full Record in Web of Science</v>
      </c>
    </row>
    <row r="58" spans="1:72" x14ac:dyDescent="0.15">
      <c r="A58" t="s">
        <v>72</v>
      </c>
      <c r="B58" t="s">
        <v>1310</v>
      </c>
      <c r="C58" t="s">
        <v>74</v>
      </c>
      <c r="D58" t="s">
        <v>74</v>
      </c>
      <c r="E58" t="s">
        <v>74</v>
      </c>
      <c r="F58" t="s">
        <v>1311</v>
      </c>
      <c r="G58" t="s">
        <v>74</v>
      </c>
      <c r="H58" t="s">
        <v>74</v>
      </c>
      <c r="I58" t="s">
        <v>1312</v>
      </c>
      <c r="J58" t="s">
        <v>1164</v>
      </c>
      <c r="K58" t="s">
        <v>74</v>
      </c>
      <c r="L58" t="s">
        <v>74</v>
      </c>
      <c r="M58" t="s">
        <v>78</v>
      </c>
      <c r="N58" t="s">
        <v>79</v>
      </c>
      <c r="O58" t="s">
        <v>74</v>
      </c>
      <c r="P58" t="s">
        <v>74</v>
      </c>
      <c r="Q58" t="s">
        <v>74</v>
      </c>
      <c r="R58" t="s">
        <v>74</v>
      </c>
      <c r="S58" t="s">
        <v>74</v>
      </c>
      <c r="T58" t="s">
        <v>74</v>
      </c>
      <c r="U58" t="s">
        <v>1313</v>
      </c>
      <c r="V58" t="s">
        <v>1314</v>
      </c>
      <c r="W58" t="s">
        <v>1315</v>
      </c>
      <c r="X58" t="s">
        <v>1316</v>
      </c>
      <c r="Y58" t="s">
        <v>1317</v>
      </c>
      <c r="Z58" t="s">
        <v>1318</v>
      </c>
      <c r="AA58" t="s">
        <v>1319</v>
      </c>
      <c r="AB58" t="s">
        <v>1320</v>
      </c>
      <c r="AC58" t="s">
        <v>1321</v>
      </c>
      <c r="AD58" t="s">
        <v>1322</v>
      </c>
      <c r="AE58" t="s">
        <v>1323</v>
      </c>
      <c r="AF58" t="s">
        <v>74</v>
      </c>
      <c r="AG58">
        <v>235</v>
      </c>
      <c r="AH58">
        <v>97</v>
      </c>
      <c r="AI58">
        <v>115</v>
      </c>
      <c r="AJ58">
        <v>5</v>
      </c>
      <c r="AK58">
        <v>211</v>
      </c>
      <c r="AL58" t="s">
        <v>766</v>
      </c>
      <c r="AM58" t="s">
        <v>767</v>
      </c>
      <c r="AN58" t="s">
        <v>768</v>
      </c>
      <c r="AO58" t="s">
        <v>1176</v>
      </c>
      <c r="AP58" t="s">
        <v>1177</v>
      </c>
      <c r="AQ58" t="s">
        <v>74</v>
      </c>
      <c r="AR58" t="s">
        <v>1178</v>
      </c>
      <c r="AS58" t="s">
        <v>1179</v>
      </c>
      <c r="AT58" t="s">
        <v>74</v>
      </c>
      <c r="AU58">
        <v>2012</v>
      </c>
      <c r="AV58">
        <v>12</v>
      </c>
      <c r="AW58">
        <v>20</v>
      </c>
      <c r="AX58" t="s">
        <v>74</v>
      </c>
      <c r="AY58" t="s">
        <v>74</v>
      </c>
      <c r="AZ58" t="s">
        <v>74</v>
      </c>
      <c r="BA58" t="s">
        <v>74</v>
      </c>
      <c r="BB58">
        <v>9653</v>
      </c>
      <c r="BC58">
        <v>9678</v>
      </c>
      <c r="BD58" t="s">
        <v>74</v>
      </c>
      <c r="BE58" t="s">
        <v>1324</v>
      </c>
      <c r="BF58" t="str">
        <f>HYPERLINK("http://dx.doi.org/10.5194/acp-12-9653-2012","http://dx.doi.org/10.5194/acp-12-9653-2012")</f>
        <v>http://dx.doi.org/10.5194/acp-12-9653-2012</v>
      </c>
      <c r="BG58" t="s">
        <v>74</v>
      </c>
      <c r="BH58" t="s">
        <v>74</v>
      </c>
      <c r="BI58">
        <v>26</v>
      </c>
      <c r="BJ58" t="s">
        <v>1181</v>
      </c>
      <c r="BK58" t="s">
        <v>100</v>
      </c>
      <c r="BL58" t="s">
        <v>1182</v>
      </c>
      <c r="BM58" t="s">
        <v>1325</v>
      </c>
      <c r="BN58" t="s">
        <v>74</v>
      </c>
      <c r="BO58" t="s">
        <v>1326</v>
      </c>
      <c r="BP58" t="s">
        <v>74</v>
      </c>
      <c r="BQ58" t="s">
        <v>74</v>
      </c>
      <c r="BR58" t="s">
        <v>102</v>
      </c>
      <c r="BS58" t="s">
        <v>1327</v>
      </c>
      <c r="BT58" t="str">
        <f>HYPERLINK("https%3A%2F%2Fwww.webofscience.com%2Fwos%2Fwoscc%2Ffull-record%2FWOS:000310470400014","View Full Record in Web of Science")</f>
        <v>View Full Record in Web of Science</v>
      </c>
    </row>
    <row r="59" spans="1:72" x14ac:dyDescent="0.15">
      <c r="A59" t="s">
        <v>72</v>
      </c>
      <c r="B59" t="s">
        <v>1328</v>
      </c>
      <c r="C59" t="s">
        <v>74</v>
      </c>
      <c r="D59" t="s">
        <v>74</v>
      </c>
      <c r="E59" t="s">
        <v>74</v>
      </c>
      <c r="F59" t="s">
        <v>1329</v>
      </c>
      <c r="G59" t="s">
        <v>74</v>
      </c>
      <c r="H59" t="s">
        <v>74</v>
      </c>
      <c r="I59" t="s">
        <v>1330</v>
      </c>
      <c r="J59" t="s">
        <v>1164</v>
      </c>
      <c r="K59" t="s">
        <v>74</v>
      </c>
      <c r="L59" t="s">
        <v>74</v>
      </c>
      <c r="M59" t="s">
        <v>78</v>
      </c>
      <c r="N59" t="s">
        <v>79</v>
      </c>
      <c r="O59" t="s">
        <v>74</v>
      </c>
      <c r="P59" t="s">
        <v>74</v>
      </c>
      <c r="Q59" t="s">
        <v>74</v>
      </c>
      <c r="R59" t="s">
        <v>74</v>
      </c>
      <c r="S59" t="s">
        <v>74</v>
      </c>
      <c r="T59" t="s">
        <v>74</v>
      </c>
      <c r="U59" t="s">
        <v>1331</v>
      </c>
      <c r="V59" t="s">
        <v>1332</v>
      </c>
      <c r="W59" t="s">
        <v>1333</v>
      </c>
      <c r="X59" t="s">
        <v>1334</v>
      </c>
      <c r="Y59" t="s">
        <v>1335</v>
      </c>
      <c r="Z59" t="s">
        <v>1336</v>
      </c>
      <c r="AA59" t="s">
        <v>1337</v>
      </c>
      <c r="AB59" t="s">
        <v>1338</v>
      </c>
      <c r="AC59" t="s">
        <v>1339</v>
      </c>
      <c r="AD59" t="s">
        <v>1340</v>
      </c>
      <c r="AE59" t="s">
        <v>1341</v>
      </c>
      <c r="AF59" t="s">
        <v>74</v>
      </c>
      <c r="AG59">
        <v>32</v>
      </c>
      <c r="AH59">
        <v>16</v>
      </c>
      <c r="AI59">
        <v>17</v>
      </c>
      <c r="AJ59">
        <v>0</v>
      </c>
      <c r="AK59">
        <v>14</v>
      </c>
      <c r="AL59" t="s">
        <v>766</v>
      </c>
      <c r="AM59" t="s">
        <v>767</v>
      </c>
      <c r="AN59" t="s">
        <v>768</v>
      </c>
      <c r="AO59" t="s">
        <v>1176</v>
      </c>
      <c r="AP59" t="s">
        <v>1177</v>
      </c>
      <c r="AQ59" t="s">
        <v>74</v>
      </c>
      <c r="AR59" t="s">
        <v>1178</v>
      </c>
      <c r="AS59" t="s">
        <v>1179</v>
      </c>
      <c r="AT59" t="s">
        <v>74</v>
      </c>
      <c r="AU59">
        <v>2012</v>
      </c>
      <c r="AV59">
        <v>12</v>
      </c>
      <c r="AW59">
        <v>20</v>
      </c>
      <c r="AX59" t="s">
        <v>74</v>
      </c>
      <c r="AY59" t="s">
        <v>74</v>
      </c>
      <c r="AZ59" t="s">
        <v>74</v>
      </c>
      <c r="BA59" t="s">
        <v>74</v>
      </c>
      <c r="BB59">
        <v>9791</v>
      </c>
      <c r="BC59">
        <v>9797</v>
      </c>
      <c r="BD59" t="s">
        <v>74</v>
      </c>
      <c r="BE59" t="s">
        <v>1342</v>
      </c>
      <c r="BF59" t="str">
        <f>HYPERLINK("http://dx.doi.org/10.5194/acp-12-9791-2012","http://dx.doi.org/10.5194/acp-12-9791-2012")</f>
        <v>http://dx.doi.org/10.5194/acp-12-9791-2012</v>
      </c>
      <c r="BG59" t="s">
        <v>74</v>
      </c>
      <c r="BH59" t="s">
        <v>74</v>
      </c>
      <c r="BI59">
        <v>7</v>
      </c>
      <c r="BJ59" t="s">
        <v>1181</v>
      </c>
      <c r="BK59" t="s">
        <v>100</v>
      </c>
      <c r="BL59" t="s">
        <v>1182</v>
      </c>
      <c r="BM59" t="s">
        <v>1325</v>
      </c>
      <c r="BN59" t="s">
        <v>74</v>
      </c>
      <c r="BO59" t="s">
        <v>1219</v>
      </c>
      <c r="BP59" t="s">
        <v>74</v>
      </c>
      <c r="BQ59" t="s">
        <v>74</v>
      </c>
      <c r="BR59" t="s">
        <v>102</v>
      </c>
      <c r="BS59" t="s">
        <v>1343</v>
      </c>
      <c r="BT59" t="str">
        <f>HYPERLINK("https%3A%2F%2Fwww.webofscience.com%2Fwos%2Fwoscc%2Ffull-record%2FWOS:000310470400023","View Full Record in Web of Science")</f>
        <v>View Full Record in Web of Science</v>
      </c>
    </row>
    <row r="60" spans="1:72" x14ac:dyDescent="0.15">
      <c r="A60" t="s">
        <v>72</v>
      </c>
      <c r="B60" t="s">
        <v>1344</v>
      </c>
      <c r="C60" t="s">
        <v>74</v>
      </c>
      <c r="D60" t="s">
        <v>74</v>
      </c>
      <c r="E60" t="s">
        <v>74</v>
      </c>
      <c r="F60" t="s">
        <v>1345</v>
      </c>
      <c r="G60" t="s">
        <v>74</v>
      </c>
      <c r="H60" t="s">
        <v>74</v>
      </c>
      <c r="I60" t="s">
        <v>1346</v>
      </c>
      <c r="J60" t="s">
        <v>1164</v>
      </c>
      <c r="K60" t="s">
        <v>74</v>
      </c>
      <c r="L60" t="s">
        <v>74</v>
      </c>
      <c r="M60" t="s">
        <v>78</v>
      </c>
      <c r="N60" t="s">
        <v>79</v>
      </c>
      <c r="O60" t="s">
        <v>74</v>
      </c>
      <c r="P60" t="s">
        <v>74</v>
      </c>
      <c r="Q60" t="s">
        <v>74</v>
      </c>
      <c r="R60" t="s">
        <v>74</v>
      </c>
      <c r="S60" t="s">
        <v>74</v>
      </c>
      <c r="T60" t="s">
        <v>74</v>
      </c>
      <c r="U60" t="s">
        <v>1347</v>
      </c>
      <c r="V60" t="s">
        <v>1348</v>
      </c>
      <c r="W60" t="s">
        <v>1349</v>
      </c>
      <c r="X60" t="s">
        <v>1350</v>
      </c>
      <c r="Y60" t="s">
        <v>1351</v>
      </c>
      <c r="Z60" t="s">
        <v>1352</v>
      </c>
      <c r="AA60" t="s">
        <v>1353</v>
      </c>
      <c r="AB60" t="s">
        <v>1354</v>
      </c>
      <c r="AC60" t="s">
        <v>1355</v>
      </c>
      <c r="AD60" t="s">
        <v>1356</v>
      </c>
      <c r="AE60" t="s">
        <v>1357</v>
      </c>
      <c r="AF60" t="s">
        <v>74</v>
      </c>
      <c r="AG60">
        <v>60</v>
      </c>
      <c r="AH60">
        <v>82</v>
      </c>
      <c r="AI60">
        <v>86</v>
      </c>
      <c r="AJ60">
        <v>2</v>
      </c>
      <c r="AK60">
        <v>76</v>
      </c>
      <c r="AL60" t="s">
        <v>766</v>
      </c>
      <c r="AM60" t="s">
        <v>767</v>
      </c>
      <c r="AN60" t="s">
        <v>768</v>
      </c>
      <c r="AO60" t="s">
        <v>1176</v>
      </c>
      <c r="AP60" t="s">
        <v>1177</v>
      </c>
      <c r="AQ60" t="s">
        <v>74</v>
      </c>
      <c r="AR60" t="s">
        <v>1178</v>
      </c>
      <c r="AS60" t="s">
        <v>1179</v>
      </c>
      <c r="AT60" t="s">
        <v>74</v>
      </c>
      <c r="AU60">
        <v>2012</v>
      </c>
      <c r="AV60">
        <v>12</v>
      </c>
      <c r="AW60">
        <v>22</v>
      </c>
      <c r="AX60" t="s">
        <v>74</v>
      </c>
      <c r="AY60" t="s">
        <v>74</v>
      </c>
      <c r="AZ60" t="s">
        <v>74</v>
      </c>
      <c r="BA60" t="s">
        <v>74</v>
      </c>
      <c r="BB60">
        <v>10667</v>
      </c>
      <c r="BC60">
        <v>10677</v>
      </c>
      <c r="BD60" t="s">
        <v>74</v>
      </c>
      <c r="BE60" t="s">
        <v>1358</v>
      </c>
      <c r="BF60" t="str">
        <f>HYPERLINK("http://dx.doi.org/10.5194/acp-12-10667-2012","http://dx.doi.org/10.5194/acp-12-10667-2012")</f>
        <v>http://dx.doi.org/10.5194/acp-12-10667-2012</v>
      </c>
      <c r="BG60" t="s">
        <v>74</v>
      </c>
      <c r="BH60" t="s">
        <v>74</v>
      </c>
      <c r="BI60">
        <v>11</v>
      </c>
      <c r="BJ60" t="s">
        <v>1181</v>
      </c>
      <c r="BK60" t="s">
        <v>100</v>
      </c>
      <c r="BL60" t="s">
        <v>1182</v>
      </c>
      <c r="BM60" t="s">
        <v>1359</v>
      </c>
      <c r="BN60" t="s">
        <v>74</v>
      </c>
      <c r="BO60" t="s">
        <v>1108</v>
      </c>
      <c r="BP60" t="s">
        <v>74</v>
      </c>
      <c r="BQ60" t="s">
        <v>74</v>
      </c>
      <c r="BR60" t="s">
        <v>102</v>
      </c>
      <c r="BS60" t="s">
        <v>1360</v>
      </c>
      <c r="BT60" t="str">
        <f>HYPERLINK("https%3A%2F%2Fwww.webofscience.com%2Fwos%2Fwoscc%2Ffull-record%2FWOS:000312411300003","View Full Record in Web of Science")</f>
        <v>View Full Record in Web of Science</v>
      </c>
    </row>
    <row r="61" spans="1:72" x14ac:dyDescent="0.15">
      <c r="A61" t="s">
        <v>72</v>
      </c>
      <c r="B61" t="s">
        <v>1361</v>
      </c>
      <c r="C61" t="s">
        <v>74</v>
      </c>
      <c r="D61" t="s">
        <v>74</v>
      </c>
      <c r="E61" t="s">
        <v>74</v>
      </c>
      <c r="F61" t="s">
        <v>1362</v>
      </c>
      <c r="G61" t="s">
        <v>74</v>
      </c>
      <c r="H61" t="s">
        <v>74</v>
      </c>
      <c r="I61" t="s">
        <v>1363</v>
      </c>
      <c r="J61" t="s">
        <v>1164</v>
      </c>
      <c r="K61" t="s">
        <v>74</v>
      </c>
      <c r="L61" t="s">
        <v>74</v>
      </c>
      <c r="M61" t="s">
        <v>78</v>
      </c>
      <c r="N61" t="s">
        <v>79</v>
      </c>
      <c r="O61" t="s">
        <v>74</v>
      </c>
      <c r="P61" t="s">
        <v>74</v>
      </c>
      <c r="Q61" t="s">
        <v>74</v>
      </c>
      <c r="R61" t="s">
        <v>74</v>
      </c>
      <c r="S61" t="s">
        <v>74</v>
      </c>
      <c r="T61" t="s">
        <v>74</v>
      </c>
      <c r="U61" t="s">
        <v>1364</v>
      </c>
      <c r="V61" t="s">
        <v>1365</v>
      </c>
      <c r="W61" t="s">
        <v>1366</v>
      </c>
      <c r="X61" t="s">
        <v>1367</v>
      </c>
      <c r="Y61" t="s">
        <v>1368</v>
      </c>
      <c r="Z61" t="s">
        <v>1369</v>
      </c>
      <c r="AA61" t="s">
        <v>1370</v>
      </c>
      <c r="AB61" t="s">
        <v>1371</v>
      </c>
      <c r="AC61" t="s">
        <v>1372</v>
      </c>
      <c r="AD61" t="s">
        <v>1340</v>
      </c>
      <c r="AE61" t="s">
        <v>1373</v>
      </c>
      <c r="AF61" t="s">
        <v>74</v>
      </c>
      <c r="AG61">
        <v>65</v>
      </c>
      <c r="AH61">
        <v>69</v>
      </c>
      <c r="AI61">
        <v>75</v>
      </c>
      <c r="AJ61">
        <v>0</v>
      </c>
      <c r="AK61">
        <v>76</v>
      </c>
      <c r="AL61" t="s">
        <v>766</v>
      </c>
      <c r="AM61" t="s">
        <v>767</v>
      </c>
      <c r="AN61" t="s">
        <v>768</v>
      </c>
      <c r="AO61" t="s">
        <v>1176</v>
      </c>
      <c r="AP61" t="s">
        <v>1177</v>
      </c>
      <c r="AQ61" t="s">
        <v>74</v>
      </c>
      <c r="AR61" t="s">
        <v>1178</v>
      </c>
      <c r="AS61" t="s">
        <v>1179</v>
      </c>
      <c r="AT61" t="s">
        <v>74</v>
      </c>
      <c r="AU61">
        <v>2012</v>
      </c>
      <c r="AV61">
        <v>12</v>
      </c>
      <c r="AW61">
        <v>22</v>
      </c>
      <c r="AX61" t="s">
        <v>74</v>
      </c>
      <c r="AY61" t="s">
        <v>74</v>
      </c>
      <c r="AZ61" t="s">
        <v>74</v>
      </c>
      <c r="BA61" t="s">
        <v>74</v>
      </c>
      <c r="BB61">
        <v>11229</v>
      </c>
      <c r="BC61">
        <v>11244</v>
      </c>
      <c r="BD61" t="s">
        <v>74</v>
      </c>
      <c r="BE61" t="s">
        <v>1374</v>
      </c>
      <c r="BF61" t="str">
        <f>HYPERLINK("http://dx.doi.org/10.5194/acp-12-11229-2012","http://dx.doi.org/10.5194/acp-12-11229-2012")</f>
        <v>http://dx.doi.org/10.5194/acp-12-11229-2012</v>
      </c>
      <c r="BG61" t="s">
        <v>74</v>
      </c>
      <c r="BH61" t="s">
        <v>74</v>
      </c>
      <c r="BI61">
        <v>16</v>
      </c>
      <c r="BJ61" t="s">
        <v>1181</v>
      </c>
      <c r="BK61" t="s">
        <v>100</v>
      </c>
      <c r="BL61" t="s">
        <v>1182</v>
      </c>
      <c r="BM61" t="s">
        <v>1359</v>
      </c>
      <c r="BN61" t="s">
        <v>74</v>
      </c>
      <c r="BO61" t="s">
        <v>1184</v>
      </c>
      <c r="BP61" t="s">
        <v>74</v>
      </c>
      <c r="BQ61" t="s">
        <v>74</v>
      </c>
      <c r="BR61" t="s">
        <v>102</v>
      </c>
      <c r="BS61" t="s">
        <v>1375</v>
      </c>
      <c r="BT61" t="str">
        <f>HYPERLINK("https%3A%2F%2Fwww.webofscience.com%2Fwos%2Fwoscc%2Ffull-record%2FWOS:000312411300039","View Full Record in Web of Science")</f>
        <v>View Full Record in Web of Science</v>
      </c>
    </row>
    <row r="62" spans="1:72" x14ac:dyDescent="0.15">
      <c r="A62" t="s">
        <v>72</v>
      </c>
      <c r="B62" t="s">
        <v>1376</v>
      </c>
      <c r="C62" t="s">
        <v>74</v>
      </c>
      <c r="D62" t="s">
        <v>74</v>
      </c>
      <c r="E62" t="s">
        <v>74</v>
      </c>
      <c r="F62" t="s">
        <v>1377</v>
      </c>
      <c r="G62" t="s">
        <v>74</v>
      </c>
      <c r="H62" t="s">
        <v>74</v>
      </c>
      <c r="I62" t="s">
        <v>1378</v>
      </c>
      <c r="J62" t="s">
        <v>1164</v>
      </c>
      <c r="K62" t="s">
        <v>74</v>
      </c>
      <c r="L62" t="s">
        <v>74</v>
      </c>
      <c r="M62" t="s">
        <v>78</v>
      </c>
      <c r="N62" t="s">
        <v>79</v>
      </c>
      <c r="O62" t="s">
        <v>74</v>
      </c>
      <c r="P62" t="s">
        <v>74</v>
      </c>
      <c r="Q62" t="s">
        <v>74</v>
      </c>
      <c r="R62" t="s">
        <v>74</v>
      </c>
      <c r="S62" t="s">
        <v>74</v>
      </c>
      <c r="T62" t="s">
        <v>74</v>
      </c>
      <c r="U62" t="s">
        <v>1379</v>
      </c>
      <c r="V62" t="s">
        <v>1380</v>
      </c>
      <c r="W62" t="s">
        <v>1381</v>
      </c>
      <c r="X62" t="s">
        <v>1382</v>
      </c>
      <c r="Y62" t="s">
        <v>1383</v>
      </c>
      <c r="Z62" t="s">
        <v>1384</v>
      </c>
      <c r="AA62" t="s">
        <v>1385</v>
      </c>
      <c r="AB62" t="s">
        <v>1386</v>
      </c>
      <c r="AC62" t="s">
        <v>1387</v>
      </c>
      <c r="AD62" t="s">
        <v>1388</v>
      </c>
      <c r="AE62" t="s">
        <v>1389</v>
      </c>
      <c r="AF62" t="s">
        <v>74</v>
      </c>
      <c r="AG62">
        <v>55</v>
      </c>
      <c r="AH62">
        <v>35</v>
      </c>
      <c r="AI62">
        <v>39</v>
      </c>
      <c r="AJ62">
        <v>1</v>
      </c>
      <c r="AK62">
        <v>32</v>
      </c>
      <c r="AL62" t="s">
        <v>766</v>
      </c>
      <c r="AM62" t="s">
        <v>767</v>
      </c>
      <c r="AN62" t="s">
        <v>768</v>
      </c>
      <c r="AO62" t="s">
        <v>1176</v>
      </c>
      <c r="AP62" t="s">
        <v>1177</v>
      </c>
      <c r="AQ62" t="s">
        <v>74</v>
      </c>
      <c r="AR62" t="s">
        <v>1178</v>
      </c>
      <c r="AS62" t="s">
        <v>1179</v>
      </c>
      <c r="AT62" t="s">
        <v>74</v>
      </c>
      <c r="AU62">
        <v>2012</v>
      </c>
      <c r="AV62">
        <v>12</v>
      </c>
      <c r="AW62">
        <v>23</v>
      </c>
      <c r="AX62" t="s">
        <v>74</v>
      </c>
      <c r="AY62" t="s">
        <v>74</v>
      </c>
      <c r="AZ62" t="s">
        <v>74</v>
      </c>
      <c r="BA62" t="s">
        <v>74</v>
      </c>
      <c r="BB62">
        <v>11275</v>
      </c>
      <c r="BC62">
        <v>11294</v>
      </c>
      <c r="BD62" t="s">
        <v>74</v>
      </c>
      <c r="BE62" t="s">
        <v>1390</v>
      </c>
      <c r="BF62" t="str">
        <f>HYPERLINK("http://dx.doi.org/10.5194/acp-12-11275-2012","http://dx.doi.org/10.5194/acp-12-11275-2012")</f>
        <v>http://dx.doi.org/10.5194/acp-12-11275-2012</v>
      </c>
      <c r="BG62" t="s">
        <v>74</v>
      </c>
      <c r="BH62" t="s">
        <v>74</v>
      </c>
      <c r="BI62">
        <v>20</v>
      </c>
      <c r="BJ62" t="s">
        <v>1181</v>
      </c>
      <c r="BK62" t="s">
        <v>100</v>
      </c>
      <c r="BL62" t="s">
        <v>1182</v>
      </c>
      <c r="BM62" t="s">
        <v>1391</v>
      </c>
      <c r="BN62" t="s">
        <v>74</v>
      </c>
      <c r="BO62" t="s">
        <v>1392</v>
      </c>
      <c r="BP62" t="s">
        <v>74</v>
      </c>
      <c r="BQ62" t="s">
        <v>74</v>
      </c>
      <c r="BR62" t="s">
        <v>102</v>
      </c>
      <c r="BS62" t="s">
        <v>1393</v>
      </c>
      <c r="BT62" t="str">
        <f>HYPERLINK("https%3A%2F%2Fwww.webofscience.com%2Fwos%2Fwoscc%2Ffull-record%2FWOS:000312665300003","View Full Record in Web of Science")</f>
        <v>View Full Record in Web of Science</v>
      </c>
    </row>
    <row r="63" spans="1:72" x14ac:dyDescent="0.15">
      <c r="A63" t="s">
        <v>72</v>
      </c>
      <c r="B63" t="s">
        <v>1394</v>
      </c>
      <c r="C63" t="s">
        <v>74</v>
      </c>
      <c r="D63" t="s">
        <v>74</v>
      </c>
      <c r="E63" t="s">
        <v>74</v>
      </c>
      <c r="F63" t="s">
        <v>1395</v>
      </c>
      <c r="G63" t="s">
        <v>74</v>
      </c>
      <c r="H63" t="s">
        <v>74</v>
      </c>
      <c r="I63" t="s">
        <v>1396</v>
      </c>
      <c r="J63" t="s">
        <v>1164</v>
      </c>
      <c r="K63" t="s">
        <v>74</v>
      </c>
      <c r="L63" t="s">
        <v>74</v>
      </c>
      <c r="M63" t="s">
        <v>78</v>
      </c>
      <c r="N63" t="s">
        <v>79</v>
      </c>
      <c r="O63" t="s">
        <v>74</v>
      </c>
      <c r="P63" t="s">
        <v>74</v>
      </c>
      <c r="Q63" t="s">
        <v>74</v>
      </c>
      <c r="R63" t="s">
        <v>74</v>
      </c>
      <c r="S63" t="s">
        <v>74</v>
      </c>
      <c r="T63" t="s">
        <v>74</v>
      </c>
      <c r="U63" t="s">
        <v>1397</v>
      </c>
      <c r="V63" t="s">
        <v>1398</v>
      </c>
      <c r="W63" t="s">
        <v>1399</v>
      </c>
      <c r="X63" t="s">
        <v>1400</v>
      </c>
      <c r="Y63" t="s">
        <v>1401</v>
      </c>
      <c r="Z63" t="s">
        <v>1402</v>
      </c>
      <c r="AA63" t="s">
        <v>1403</v>
      </c>
      <c r="AB63" t="s">
        <v>1404</v>
      </c>
      <c r="AC63" t="s">
        <v>1405</v>
      </c>
      <c r="AD63" t="s">
        <v>1406</v>
      </c>
      <c r="AE63" t="s">
        <v>1407</v>
      </c>
      <c r="AF63" t="s">
        <v>74</v>
      </c>
      <c r="AG63">
        <v>37</v>
      </c>
      <c r="AH63">
        <v>37</v>
      </c>
      <c r="AI63">
        <v>41</v>
      </c>
      <c r="AJ63">
        <v>0</v>
      </c>
      <c r="AK63">
        <v>30</v>
      </c>
      <c r="AL63" t="s">
        <v>766</v>
      </c>
      <c r="AM63" t="s">
        <v>767</v>
      </c>
      <c r="AN63" t="s">
        <v>768</v>
      </c>
      <c r="AO63" t="s">
        <v>1176</v>
      </c>
      <c r="AP63" t="s">
        <v>1177</v>
      </c>
      <c r="AQ63" t="s">
        <v>74</v>
      </c>
      <c r="AR63" t="s">
        <v>1178</v>
      </c>
      <c r="AS63" t="s">
        <v>1179</v>
      </c>
      <c r="AT63" t="s">
        <v>74</v>
      </c>
      <c r="AU63">
        <v>2012</v>
      </c>
      <c r="AV63">
        <v>12</v>
      </c>
      <c r="AW63">
        <v>23</v>
      </c>
      <c r="AX63" t="s">
        <v>74</v>
      </c>
      <c r="AY63" t="s">
        <v>74</v>
      </c>
      <c r="AZ63" t="s">
        <v>74</v>
      </c>
      <c r="BA63" t="s">
        <v>74</v>
      </c>
      <c r="BB63">
        <v>11465</v>
      </c>
      <c r="BC63">
        <v>11483</v>
      </c>
      <c r="BD63" t="s">
        <v>74</v>
      </c>
      <c r="BE63" t="s">
        <v>1408</v>
      </c>
      <c r="BF63" t="str">
        <f>HYPERLINK("http://dx.doi.org/10.5194/acp-12-11465-2012","http://dx.doi.org/10.5194/acp-12-11465-2012")</f>
        <v>http://dx.doi.org/10.5194/acp-12-11465-2012</v>
      </c>
      <c r="BG63" t="s">
        <v>74</v>
      </c>
      <c r="BH63" t="s">
        <v>74</v>
      </c>
      <c r="BI63">
        <v>19</v>
      </c>
      <c r="BJ63" t="s">
        <v>1181</v>
      </c>
      <c r="BK63" t="s">
        <v>100</v>
      </c>
      <c r="BL63" t="s">
        <v>1182</v>
      </c>
      <c r="BM63" t="s">
        <v>1391</v>
      </c>
      <c r="BN63" t="s">
        <v>74</v>
      </c>
      <c r="BO63" t="s">
        <v>1392</v>
      </c>
      <c r="BP63" t="s">
        <v>74</v>
      </c>
      <c r="BQ63" t="s">
        <v>74</v>
      </c>
      <c r="BR63" t="s">
        <v>102</v>
      </c>
      <c r="BS63" t="s">
        <v>1409</v>
      </c>
      <c r="BT63" t="str">
        <f>HYPERLINK("https%3A%2F%2Fwww.webofscience.com%2Fwos%2Fwoscc%2Ffull-record%2FWOS:000312665300015","View Full Record in Web of Science")</f>
        <v>View Full Record in Web of Science</v>
      </c>
    </row>
    <row r="64" spans="1:72" x14ac:dyDescent="0.15">
      <c r="A64" t="s">
        <v>72</v>
      </c>
      <c r="B64" t="s">
        <v>1410</v>
      </c>
      <c r="C64" t="s">
        <v>74</v>
      </c>
      <c r="D64" t="s">
        <v>74</v>
      </c>
      <c r="E64" t="s">
        <v>74</v>
      </c>
      <c r="F64" t="s">
        <v>1411</v>
      </c>
      <c r="G64" t="s">
        <v>74</v>
      </c>
      <c r="H64" t="s">
        <v>74</v>
      </c>
      <c r="I64" t="s">
        <v>1412</v>
      </c>
      <c r="J64" t="s">
        <v>1413</v>
      </c>
      <c r="K64" t="s">
        <v>74</v>
      </c>
      <c r="L64" t="s">
        <v>74</v>
      </c>
      <c r="M64" t="s">
        <v>78</v>
      </c>
      <c r="N64" t="s">
        <v>79</v>
      </c>
      <c r="O64" t="s">
        <v>74</v>
      </c>
      <c r="P64" t="s">
        <v>74</v>
      </c>
      <c r="Q64" t="s">
        <v>74</v>
      </c>
      <c r="R64" t="s">
        <v>74</v>
      </c>
      <c r="S64" t="s">
        <v>74</v>
      </c>
      <c r="T64" t="s">
        <v>1414</v>
      </c>
      <c r="U64" t="s">
        <v>1415</v>
      </c>
      <c r="V64" t="s">
        <v>1416</v>
      </c>
      <c r="W64" t="s">
        <v>1417</v>
      </c>
      <c r="X64" t="s">
        <v>1418</v>
      </c>
      <c r="Y64" t="s">
        <v>1419</v>
      </c>
      <c r="Z64" t="s">
        <v>1420</v>
      </c>
      <c r="AA64" t="s">
        <v>1421</v>
      </c>
      <c r="AB64" t="s">
        <v>1422</v>
      </c>
      <c r="AC64" t="s">
        <v>1423</v>
      </c>
      <c r="AD64" t="s">
        <v>1424</v>
      </c>
      <c r="AE64" t="s">
        <v>1425</v>
      </c>
      <c r="AF64" t="s">
        <v>74</v>
      </c>
      <c r="AG64">
        <v>27</v>
      </c>
      <c r="AH64">
        <v>35</v>
      </c>
      <c r="AI64">
        <v>37</v>
      </c>
      <c r="AJ64">
        <v>0</v>
      </c>
      <c r="AK64">
        <v>19</v>
      </c>
      <c r="AL64" t="s">
        <v>155</v>
      </c>
      <c r="AM64" t="s">
        <v>156</v>
      </c>
      <c r="AN64" t="s">
        <v>157</v>
      </c>
      <c r="AO64" t="s">
        <v>1426</v>
      </c>
      <c r="AP64" t="s">
        <v>1427</v>
      </c>
      <c r="AQ64" t="s">
        <v>74</v>
      </c>
      <c r="AR64" t="s">
        <v>1428</v>
      </c>
      <c r="AS64" t="s">
        <v>1429</v>
      </c>
      <c r="AT64" t="s">
        <v>74</v>
      </c>
      <c r="AU64">
        <v>2012</v>
      </c>
      <c r="AV64">
        <v>48</v>
      </c>
      <c r="AW64" t="s">
        <v>74</v>
      </c>
      <c r="AX64" t="s">
        <v>74</v>
      </c>
      <c r="AY64" t="s">
        <v>74</v>
      </c>
      <c r="AZ64" t="s">
        <v>339</v>
      </c>
      <c r="BA64" t="s">
        <v>74</v>
      </c>
      <c r="BB64">
        <v>33</v>
      </c>
      <c r="BC64">
        <v>45</v>
      </c>
      <c r="BD64" t="s">
        <v>74</v>
      </c>
      <c r="BE64" t="s">
        <v>1430</v>
      </c>
      <c r="BF64" t="str">
        <f>HYPERLINK("http://dx.doi.org/10.1016/j.atmosenv.2011.09.070","http://dx.doi.org/10.1016/j.atmosenv.2011.09.070")</f>
        <v>http://dx.doi.org/10.1016/j.atmosenv.2011.09.070</v>
      </c>
      <c r="BG64" t="s">
        <v>74</v>
      </c>
      <c r="BH64" t="s">
        <v>74</v>
      </c>
      <c r="BI64">
        <v>13</v>
      </c>
      <c r="BJ64" t="s">
        <v>1181</v>
      </c>
      <c r="BK64" t="s">
        <v>100</v>
      </c>
      <c r="BL64" t="s">
        <v>1182</v>
      </c>
      <c r="BM64" t="s">
        <v>1431</v>
      </c>
      <c r="BN64" t="s">
        <v>74</v>
      </c>
      <c r="BO64" t="s">
        <v>74</v>
      </c>
      <c r="BP64" t="s">
        <v>74</v>
      </c>
      <c r="BQ64" t="s">
        <v>74</v>
      </c>
      <c r="BR64" t="s">
        <v>102</v>
      </c>
      <c r="BS64" t="s">
        <v>1432</v>
      </c>
      <c r="BT64" t="str">
        <f>HYPERLINK("https%3A%2F%2Fwww.webofscience.com%2Fwos%2Fwoscc%2Ffull-record%2FWOS:000301012900004","View Full Record in Web of Science")</f>
        <v>View Full Record in Web of Science</v>
      </c>
    </row>
    <row r="65" spans="1:72" x14ac:dyDescent="0.15">
      <c r="A65" t="s">
        <v>72</v>
      </c>
      <c r="B65" t="s">
        <v>1433</v>
      </c>
      <c r="C65" t="s">
        <v>74</v>
      </c>
      <c r="D65" t="s">
        <v>74</v>
      </c>
      <c r="E65" t="s">
        <v>74</v>
      </c>
      <c r="F65" t="s">
        <v>1434</v>
      </c>
      <c r="G65" t="s">
        <v>74</v>
      </c>
      <c r="H65" t="s">
        <v>74</v>
      </c>
      <c r="I65" t="s">
        <v>1435</v>
      </c>
      <c r="J65" t="s">
        <v>1436</v>
      </c>
      <c r="K65" t="s">
        <v>74</v>
      </c>
      <c r="L65" t="s">
        <v>74</v>
      </c>
      <c r="M65" t="s">
        <v>78</v>
      </c>
      <c r="N65" t="s">
        <v>79</v>
      </c>
      <c r="O65" t="s">
        <v>74</v>
      </c>
      <c r="P65" t="s">
        <v>74</v>
      </c>
      <c r="Q65" t="s">
        <v>74</v>
      </c>
      <c r="R65" t="s">
        <v>74</v>
      </c>
      <c r="S65" t="s">
        <v>74</v>
      </c>
      <c r="T65" t="s">
        <v>74</v>
      </c>
      <c r="U65" t="s">
        <v>1437</v>
      </c>
      <c r="V65" t="s">
        <v>1438</v>
      </c>
      <c r="W65" t="s">
        <v>1439</v>
      </c>
      <c r="X65" t="s">
        <v>1440</v>
      </c>
      <c r="Y65" t="s">
        <v>1441</v>
      </c>
      <c r="Z65" t="s">
        <v>1442</v>
      </c>
      <c r="AA65" t="s">
        <v>1443</v>
      </c>
      <c r="AB65" t="s">
        <v>1444</v>
      </c>
      <c r="AC65" t="s">
        <v>1445</v>
      </c>
      <c r="AD65" t="s">
        <v>1446</v>
      </c>
      <c r="AE65" t="s">
        <v>1447</v>
      </c>
      <c r="AF65" t="s">
        <v>74</v>
      </c>
      <c r="AG65">
        <v>44</v>
      </c>
      <c r="AH65">
        <v>26</v>
      </c>
      <c r="AI65">
        <v>29</v>
      </c>
      <c r="AJ65">
        <v>1</v>
      </c>
      <c r="AK65">
        <v>20</v>
      </c>
      <c r="AL65" t="s">
        <v>766</v>
      </c>
      <c r="AM65" t="s">
        <v>767</v>
      </c>
      <c r="AN65" t="s">
        <v>768</v>
      </c>
      <c r="AO65" t="s">
        <v>1448</v>
      </c>
      <c r="AP65" t="s">
        <v>1449</v>
      </c>
      <c r="AQ65" t="s">
        <v>74</v>
      </c>
      <c r="AR65" t="s">
        <v>1450</v>
      </c>
      <c r="AS65" t="s">
        <v>1451</v>
      </c>
      <c r="AT65" t="s">
        <v>74</v>
      </c>
      <c r="AU65">
        <v>2012</v>
      </c>
      <c r="AV65">
        <v>5</v>
      </c>
      <c r="AW65">
        <v>2</v>
      </c>
      <c r="AX65" t="s">
        <v>74</v>
      </c>
      <c r="AY65" t="s">
        <v>74</v>
      </c>
      <c r="AZ65" t="s">
        <v>74</v>
      </c>
      <c r="BA65" t="s">
        <v>74</v>
      </c>
      <c r="BB65">
        <v>377</v>
      </c>
      <c r="BC65">
        <v>388</v>
      </c>
      <c r="BD65" t="s">
        <v>74</v>
      </c>
      <c r="BE65" t="s">
        <v>1452</v>
      </c>
      <c r="BF65" t="str">
        <f>HYPERLINK("http://dx.doi.org/10.5194/amt-5-377-2012","http://dx.doi.org/10.5194/amt-5-377-2012")</f>
        <v>http://dx.doi.org/10.5194/amt-5-377-2012</v>
      </c>
      <c r="BG65" t="s">
        <v>74</v>
      </c>
      <c r="BH65" t="s">
        <v>74</v>
      </c>
      <c r="BI65">
        <v>12</v>
      </c>
      <c r="BJ65" t="s">
        <v>463</v>
      </c>
      <c r="BK65" t="s">
        <v>100</v>
      </c>
      <c r="BL65" t="s">
        <v>463</v>
      </c>
      <c r="BM65" t="s">
        <v>1453</v>
      </c>
      <c r="BN65" t="s">
        <v>74</v>
      </c>
      <c r="BO65" t="s">
        <v>1237</v>
      </c>
      <c r="BP65" t="s">
        <v>74</v>
      </c>
      <c r="BQ65" t="s">
        <v>74</v>
      </c>
      <c r="BR65" t="s">
        <v>102</v>
      </c>
      <c r="BS65" t="s">
        <v>1454</v>
      </c>
      <c r="BT65" t="str">
        <f>HYPERLINK("https%3A%2F%2Fwww.webofscience.com%2Fwos%2Fwoscc%2Ffull-record%2FWOS:000300876700008","View Full Record in Web of Science")</f>
        <v>View Full Record in Web of Science</v>
      </c>
    </row>
    <row r="66" spans="1:72" x14ac:dyDescent="0.15">
      <c r="A66" t="s">
        <v>72</v>
      </c>
      <c r="B66" t="s">
        <v>1455</v>
      </c>
      <c r="C66" t="s">
        <v>74</v>
      </c>
      <c r="D66" t="s">
        <v>74</v>
      </c>
      <c r="E66" t="s">
        <v>74</v>
      </c>
      <c r="F66" t="s">
        <v>1456</v>
      </c>
      <c r="G66" t="s">
        <v>74</v>
      </c>
      <c r="H66" t="s">
        <v>74</v>
      </c>
      <c r="I66" t="s">
        <v>1457</v>
      </c>
      <c r="J66" t="s">
        <v>1458</v>
      </c>
      <c r="K66" t="s">
        <v>74</v>
      </c>
      <c r="L66" t="s">
        <v>74</v>
      </c>
      <c r="M66" t="s">
        <v>78</v>
      </c>
      <c r="N66" t="s">
        <v>79</v>
      </c>
      <c r="O66" t="s">
        <v>74</v>
      </c>
      <c r="P66" t="s">
        <v>74</v>
      </c>
      <c r="Q66" t="s">
        <v>74</v>
      </c>
      <c r="R66" t="s">
        <v>74</v>
      </c>
      <c r="S66" t="s">
        <v>74</v>
      </c>
      <c r="T66" t="s">
        <v>1459</v>
      </c>
      <c r="U66" t="s">
        <v>1460</v>
      </c>
      <c r="V66" t="s">
        <v>1461</v>
      </c>
      <c r="W66" t="s">
        <v>1462</v>
      </c>
      <c r="X66" t="s">
        <v>527</v>
      </c>
      <c r="Y66" t="s">
        <v>1463</v>
      </c>
      <c r="Z66" t="s">
        <v>1464</v>
      </c>
      <c r="AA66" t="s">
        <v>74</v>
      </c>
      <c r="AB66" t="s">
        <v>74</v>
      </c>
      <c r="AC66" t="s">
        <v>1465</v>
      </c>
      <c r="AD66" t="s">
        <v>1466</v>
      </c>
      <c r="AE66" t="s">
        <v>1467</v>
      </c>
      <c r="AF66" t="s">
        <v>74</v>
      </c>
      <c r="AG66">
        <v>12</v>
      </c>
      <c r="AH66">
        <v>5</v>
      </c>
      <c r="AI66">
        <v>5</v>
      </c>
      <c r="AJ66">
        <v>0</v>
      </c>
      <c r="AK66">
        <v>4</v>
      </c>
      <c r="AL66" t="s">
        <v>795</v>
      </c>
      <c r="AM66" t="s">
        <v>1468</v>
      </c>
      <c r="AN66" t="s">
        <v>1469</v>
      </c>
      <c r="AO66" t="s">
        <v>1470</v>
      </c>
      <c r="AP66" t="s">
        <v>74</v>
      </c>
      <c r="AQ66" t="s">
        <v>74</v>
      </c>
      <c r="AR66" t="s">
        <v>1471</v>
      </c>
      <c r="AS66" t="s">
        <v>1472</v>
      </c>
      <c r="AT66" t="s">
        <v>201</v>
      </c>
      <c r="AU66">
        <v>2012</v>
      </c>
      <c r="AV66">
        <v>13</v>
      </c>
      <c r="AW66">
        <v>1</v>
      </c>
      <c r="AX66" t="s">
        <v>74</v>
      </c>
      <c r="AY66" t="s">
        <v>74</v>
      </c>
      <c r="AZ66" t="s">
        <v>74</v>
      </c>
      <c r="BA66" t="s">
        <v>74</v>
      </c>
      <c r="BB66">
        <v>49</v>
      </c>
      <c r="BC66">
        <v>54</v>
      </c>
      <c r="BD66" t="s">
        <v>74</v>
      </c>
      <c r="BE66" t="s">
        <v>1473</v>
      </c>
      <c r="BF66" t="str">
        <f>HYPERLINK("http://dx.doi.org/10.1002/asl.362","http://dx.doi.org/10.1002/asl.362")</f>
        <v>http://dx.doi.org/10.1002/asl.362</v>
      </c>
      <c r="BG66" t="s">
        <v>74</v>
      </c>
      <c r="BH66" t="s">
        <v>74</v>
      </c>
      <c r="BI66">
        <v>6</v>
      </c>
      <c r="BJ66" t="s">
        <v>1474</v>
      </c>
      <c r="BK66" t="s">
        <v>100</v>
      </c>
      <c r="BL66" t="s">
        <v>1474</v>
      </c>
      <c r="BM66" t="s">
        <v>1475</v>
      </c>
      <c r="BN66" t="s">
        <v>74</v>
      </c>
      <c r="BO66" t="s">
        <v>1476</v>
      </c>
      <c r="BP66" t="s">
        <v>74</v>
      </c>
      <c r="BQ66" t="s">
        <v>74</v>
      </c>
      <c r="BR66" t="s">
        <v>102</v>
      </c>
      <c r="BS66" t="s">
        <v>1477</v>
      </c>
      <c r="BT66" t="str">
        <f>HYPERLINK("https%3A%2F%2Fwww.webofscience.com%2Fwos%2Fwoscc%2Ffull-record%2FWOS:000299206500008","View Full Record in Web of Science")</f>
        <v>View Full Record in Web of Science</v>
      </c>
    </row>
    <row r="67" spans="1:72" x14ac:dyDescent="0.15">
      <c r="A67" t="s">
        <v>393</v>
      </c>
      <c r="B67" t="s">
        <v>1478</v>
      </c>
      <c r="C67" t="s">
        <v>74</v>
      </c>
      <c r="D67" t="s">
        <v>1479</v>
      </c>
      <c r="E67" t="s">
        <v>74</v>
      </c>
      <c r="F67" t="s">
        <v>1480</v>
      </c>
      <c r="G67" t="s">
        <v>74</v>
      </c>
      <c r="H67" t="s">
        <v>74</v>
      </c>
      <c r="I67" t="s">
        <v>1481</v>
      </c>
      <c r="J67" t="s">
        <v>1482</v>
      </c>
      <c r="K67" t="s">
        <v>1483</v>
      </c>
      <c r="L67" t="s">
        <v>74</v>
      </c>
      <c r="M67" t="s">
        <v>78</v>
      </c>
      <c r="N67" t="s">
        <v>400</v>
      </c>
      <c r="O67" t="s">
        <v>1484</v>
      </c>
      <c r="P67" t="s">
        <v>1485</v>
      </c>
      <c r="Q67" t="s">
        <v>1486</v>
      </c>
      <c r="R67" t="s">
        <v>74</v>
      </c>
      <c r="S67" t="s">
        <v>74</v>
      </c>
      <c r="T67" t="s">
        <v>74</v>
      </c>
      <c r="U67" t="s">
        <v>1487</v>
      </c>
      <c r="V67" t="s">
        <v>1488</v>
      </c>
      <c r="W67" t="s">
        <v>1489</v>
      </c>
      <c r="X67" t="s">
        <v>1490</v>
      </c>
      <c r="Y67" t="s">
        <v>1491</v>
      </c>
      <c r="Z67" t="s">
        <v>1492</v>
      </c>
      <c r="AA67" t="s">
        <v>1493</v>
      </c>
      <c r="AB67" t="s">
        <v>1494</v>
      </c>
      <c r="AC67" t="s">
        <v>1495</v>
      </c>
      <c r="AD67" t="s">
        <v>1496</v>
      </c>
      <c r="AE67" t="s">
        <v>1497</v>
      </c>
      <c r="AF67" t="s">
        <v>74</v>
      </c>
      <c r="AG67">
        <v>24</v>
      </c>
      <c r="AH67">
        <v>3</v>
      </c>
      <c r="AI67">
        <v>3</v>
      </c>
      <c r="AJ67">
        <v>0</v>
      </c>
      <c r="AK67">
        <v>3</v>
      </c>
      <c r="AL67" t="s">
        <v>1498</v>
      </c>
      <c r="AM67" t="s">
        <v>985</v>
      </c>
      <c r="AN67" t="s">
        <v>1499</v>
      </c>
      <c r="AO67" t="s">
        <v>1500</v>
      </c>
      <c r="AP67" t="s">
        <v>74</v>
      </c>
      <c r="AQ67" t="s">
        <v>1501</v>
      </c>
      <c r="AR67" t="s">
        <v>1502</v>
      </c>
      <c r="AS67" t="s">
        <v>74</v>
      </c>
      <c r="AT67" t="s">
        <v>74</v>
      </c>
      <c r="AU67">
        <v>2012</v>
      </c>
      <c r="AV67">
        <v>197</v>
      </c>
      <c r="AW67" t="s">
        <v>74</v>
      </c>
      <c r="AX67" t="s">
        <v>74</v>
      </c>
      <c r="AY67" t="s">
        <v>74</v>
      </c>
      <c r="AZ67" t="s">
        <v>74</v>
      </c>
      <c r="BA67" t="s">
        <v>74</v>
      </c>
      <c r="BB67">
        <v>91</v>
      </c>
      <c r="BC67" t="s">
        <v>1503</v>
      </c>
      <c r="BD67" t="s">
        <v>74</v>
      </c>
      <c r="BE67" t="s">
        <v>1504</v>
      </c>
      <c r="BF67" t="str">
        <f>HYPERLINK("http://dx.doi.org/10.1029/2011GM001154","http://dx.doi.org/10.1029/2011GM001154")</f>
        <v>http://dx.doi.org/10.1029/2011GM001154</v>
      </c>
      <c r="BG67" t="s">
        <v>74</v>
      </c>
      <c r="BH67" t="s">
        <v>74</v>
      </c>
      <c r="BI67">
        <v>3</v>
      </c>
      <c r="BJ67" t="s">
        <v>1505</v>
      </c>
      <c r="BK67" t="s">
        <v>419</v>
      </c>
      <c r="BL67" t="s">
        <v>1506</v>
      </c>
      <c r="BM67" t="s">
        <v>1507</v>
      </c>
      <c r="BN67" t="s">
        <v>74</v>
      </c>
      <c r="BO67" t="s">
        <v>365</v>
      </c>
      <c r="BP67" t="s">
        <v>74</v>
      </c>
      <c r="BQ67" t="s">
        <v>74</v>
      </c>
      <c r="BR67" t="s">
        <v>102</v>
      </c>
      <c r="BS67" t="s">
        <v>1508</v>
      </c>
      <c r="BT67" t="str">
        <f>HYPERLINK("https%3A%2F%2Fwww.webofscience.com%2Fwos%2Fwoscc%2Ffull-record%2FWOS:000320090100007","View Full Record in Web of Science")</f>
        <v>View Full Record in Web of Science</v>
      </c>
    </row>
    <row r="68" spans="1:72" x14ac:dyDescent="0.15">
      <c r="A68" t="s">
        <v>72</v>
      </c>
      <c r="B68" t="s">
        <v>1509</v>
      </c>
      <c r="C68" t="s">
        <v>74</v>
      </c>
      <c r="D68" t="s">
        <v>74</v>
      </c>
      <c r="E68" t="s">
        <v>74</v>
      </c>
      <c r="F68" t="s">
        <v>1510</v>
      </c>
      <c r="G68" t="s">
        <v>74</v>
      </c>
      <c r="H68" t="s">
        <v>74</v>
      </c>
      <c r="I68" t="s">
        <v>1511</v>
      </c>
      <c r="J68" t="s">
        <v>1512</v>
      </c>
      <c r="K68" t="s">
        <v>74</v>
      </c>
      <c r="L68" t="s">
        <v>74</v>
      </c>
      <c r="M68" t="s">
        <v>78</v>
      </c>
      <c r="N68" t="s">
        <v>1513</v>
      </c>
      <c r="O68" t="s">
        <v>74</v>
      </c>
      <c r="P68" t="s">
        <v>74</v>
      </c>
      <c r="Q68" t="s">
        <v>74</v>
      </c>
      <c r="R68" t="s">
        <v>74</v>
      </c>
      <c r="S68" t="s">
        <v>74</v>
      </c>
      <c r="T68" t="s">
        <v>74</v>
      </c>
      <c r="U68" t="s">
        <v>1514</v>
      </c>
      <c r="V68" t="s">
        <v>1515</v>
      </c>
      <c r="W68" t="s">
        <v>1516</v>
      </c>
      <c r="X68" t="s">
        <v>1517</v>
      </c>
      <c r="Y68" t="s">
        <v>1518</v>
      </c>
      <c r="Z68" t="s">
        <v>1519</v>
      </c>
      <c r="AA68" t="s">
        <v>1520</v>
      </c>
      <c r="AB68" t="s">
        <v>1521</v>
      </c>
      <c r="AC68" t="s">
        <v>1522</v>
      </c>
      <c r="AD68" t="s">
        <v>1523</v>
      </c>
      <c r="AE68" t="s">
        <v>1524</v>
      </c>
      <c r="AF68" t="s">
        <v>74</v>
      </c>
      <c r="AG68">
        <v>173</v>
      </c>
      <c r="AH68">
        <v>182</v>
      </c>
      <c r="AI68">
        <v>205</v>
      </c>
      <c r="AJ68">
        <v>0</v>
      </c>
      <c r="AK68">
        <v>1</v>
      </c>
      <c r="AL68" t="s">
        <v>1150</v>
      </c>
      <c r="AM68" t="s">
        <v>1151</v>
      </c>
      <c r="AN68" t="s">
        <v>1152</v>
      </c>
      <c r="AO68" t="s">
        <v>1525</v>
      </c>
      <c r="AP68" t="s">
        <v>1526</v>
      </c>
      <c r="AQ68" t="s">
        <v>74</v>
      </c>
      <c r="AR68" t="s">
        <v>1512</v>
      </c>
      <c r="AS68" t="s">
        <v>1527</v>
      </c>
      <c r="AT68" t="s">
        <v>74</v>
      </c>
      <c r="AU68">
        <v>2012</v>
      </c>
      <c r="AV68">
        <v>3</v>
      </c>
      <c r="AW68">
        <v>2</v>
      </c>
      <c r="AX68" t="s">
        <v>74</v>
      </c>
      <c r="AY68" t="s">
        <v>74</v>
      </c>
      <c r="AZ68" t="s">
        <v>74</v>
      </c>
      <c r="BA68" t="s">
        <v>74</v>
      </c>
      <c r="BB68">
        <v>221</v>
      </c>
      <c r="BC68">
        <v>240</v>
      </c>
      <c r="BD68" t="s">
        <v>74</v>
      </c>
      <c r="BE68" t="s">
        <v>1528</v>
      </c>
      <c r="BF68" t="str">
        <f>HYPERLINK("http://dx.doi.org/10.4155/bfs.11.157","http://dx.doi.org/10.4155/bfs.11.157")</f>
        <v>http://dx.doi.org/10.4155/bfs.11.157</v>
      </c>
      <c r="BG68" t="s">
        <v>74</v>
      </c>
      <c r="BH68" t="s">
        <v>74</v>
      </c>
      <c r="BI68">
        <v>20</v>
      </c>
      <c r="BJ68" t="s">
        <v>1529</v>
      </c>
      <c r="BK68" t="s">
        <v>1158</v>
      </c>
      <c r="BL68" t="s">
        <v>1529</v>
      </c>
      <c r="BM68" t="s">
        <v>1530</v>
      </c>
      <c r="BN68" t="s">
        <v>74</v>
      </c>
      <c r="BO68" t="s">
        <v>365</v>
      </c>
      <c r="BP68" t="s">
        <v>74</v>
      </c>
      <c r="BQ68" t="s">
        <v>74</v>
      </c>
      <c r="BR68" t="s">
        <v>102</v>
      </c>
      <c r="BS68" t="s">
        <v>1531</v>
      </c>
      <c r="BT68" t="str">
        <f>HYPERLINK("https%3A%2F%2Fwww.webofscience.com%2Fwos%2Fwoscc%2Ffull-record%2FWOS:000214899800017","View Full Record in Web of Science")</f>
        <v>View Full Record in Web of Science</v>
      </c>
    </row>
    <row r="69" spans="1:72" x14ac:dyDescent="0.15">
      <c r="A69" t="s">
        <v>72</v>
      </c>
      <c r="B69" t="s">
        <v>1532</v>
      </c>
      <c r="C69" t="s">
        <v>74</v>
      </c>
      <c r="D69" t="s">
        <v>74</v>
      </c>
      <c r="E69" t="s">
        <v>74</v>
      </c>
      <c r="F69" t="s">
        <v>1533</v>
      </c>
      <c r="G69" t="s">
        <v>74</v>
      </c>
      <c r="H69" t="s">
        <v>74</v>
      </c>
      <c r="I69" t="s">
        <v>1534</v>
      </c>
      <c r="J69" t="s">
        <v>1535</v>
      </c>
      <c r="K69" t="s">
        <v>74</v>
      </c>
      <c r="L69" t="s">
        <v>74</v>
      </c>
      <c r="M69" t="s">
        <v>78</v>
      </c>
      <c r="N69" t="s">
        <v>79</v>
      </c>
      <c r="O69" t="s">
        <v>74</v>
      </c>
      <c r="P69" t="s">
        <v>74</v>
      </c>
      <c r="Q69" t="s">
        <v>74</v>
      </c>
      <c r="R69" t="s">
        <v>74</v>
      </c>
      <c r="S69" t="s">
        <v>74</v>
      </c>
      <c r="T69" t="s">
        <v>74</v>
      </c>
      <c r="U69" t="s">
        <v>1536</v>
      </c>
      <c r="V69" t="s">
        <v>1537</v>
      </c>
      <c r="W69" t="s">
        <v>1538</v>
      </c>
      <c r="X69" t="s">
        <v>1539</v>
      </c>
      <c r="Y69" t="s">
        <v>1540</v>
      </c>
      <c r="Z69" t="s">
        <v>1541</v>
      </c>
      <c r="AA69" t="s">
        <v>1542</v>
      </c>
      <c r="AB69" t="s">
        <v>1543</v>
      </c>
      <c r="AC69" t="s">
        <v>1544</v>
      </c>
      <c r="AD69" t="s">
        <v>1545</v>
      </c>
      <c r="AE69" t="s">
        <v>1546</v>
      </c>
      <c r="AF69" t="s">
        <v>74</v>
      </c>
      <c r="AG69">
        <v>65</v>
      </c>
      <c r="AH69">
        <v>20</v>
      </c>
      <c r="AI69">
        <v>20</v>
      </c>
      <c r="AJ69">
        <v>2</v>
      </c>
      <c r="AK69">
        <v>18</v>
      </c>
      <c r="AL69" t="s">
        <v>766</v>
      </c>
      <c r="AM69" t="s">
        <v>767</v>
      </c>
      <c r="AN69" t="s">
        <v>768</v>
      </c>
      <c r="AO69" t="s">
        <v>1547</v>
      </c>
      <c r="AP69" t="s">
        <v>1548</v>
      </c>
      <c r="AQ69" t="s">
        <v>74</v>
      </c>
      <c r="AR69" t="s">
        <v>1535</v>
      </c>
      <c r="AS69" t="s">
        <v>1549</v>
      </c>
      <c r="AT69" t="s">
        <v>74</v>
      </c>
      <c r="AU69">
        <v>2012</v>
      </c>
      <c r="AV69">
        <v>9</v>
      </c>
      <c r="AW69">
        <v>3</v>
      </c>
      <c r="AX69" t="s">
        <v>74</v>
      </c>
      <c r="AY69" t="s">
        <v>74</v>
      </c>
      <c r="AZ69" t="s">
        <v>74</v>
      </c>
      <c r="BA69" t="s">
        <v>74</v>
      </c>
      <c r="BB69">
        <v>907</v>
      </c>
      <c r="BC69">
        <v>923</v>
      </c>
      <c r="BD69" t="s">
        <v>74</v>
      </c>
      <c r="BE69" t="s">
        <v>1550</v>
      </c>
      <c r="BF69" t="str">
        <f>HYPERLINK("http://dx.doi.org/10.5194/bg-9-907-2012","http://dx.doi.org/10.5194/bg-9-907-2012")</f>
        <v>http://dx.doi.org/10.5194/bg-9-907-2012</v>
      </c>
      <c r="BG69" t="s">
        <v>74</v>
      </c>
      <c r="BH69" t="s">
        <v>74</v>
      </c>
      <c r="BI69">
        <v>17</v>
      </c>
      <c r="BJ69" t="s">
        <v>1551</v>
      </c>
      <c r="BK69" t="s">
        <v>100</v>
      </c>
      <c r="BL69" t="s">
        <v>1552</v>
      </c>
      <c r="BM69" t="s">
        <v>1553</v>
      </c>
      <c r="BN69" t="s">
        <v>74</v>
      </c>
      <c r="BO69" t="s">
        <v>1326</v>
      </c>
      <c r="BP69" t="s">
        <v>74</v>
      </c>
      <c r="BQ69" t="s">
        <v>74</v>
      </c>
      <c r="BR69" t="s">
        <v>102</v>
      </c>
      <c r="BS69" t="s">
        <v>1554</v>
      </c>
      <c r="BT69" t="str">
        <f>HYPERLINK("https%3A%2F%2Fwww.webofscience.com%2Fwos%2Fwoscc%2Ffull-record%2FWOS:000302179500003","View Full Record in Web of Science")</f>
        <v>View Full Record in Web of Science</v>
      </c>
    </row>
    <row r="70" spans="1:72" x14ac:dyDescent="0.15">
      <c r="A70" t="s">
        <v>72</v>
      </c>
      <c r="B70" t="s">
        <v>1555</v>
      </c>
      <c r="C70" t="s">
        <v>74</v>
      </c>
      <c r="D70" t="s">
        <v>74</v>
      </c>
      <c r="E70" t="s">
        <v>74</v>
      </c>
      <c r="F70" t="s">
        <v>1556</v>
      </c>
      <c r="G70" t="s">
        <v>74</v>
      </c>
      <c r="H70" t="s">
        <v>74</v>
      </c>
      <c r="I70" t="s">
        <v>1557</v>
      </c>
      <c r="J70" t="s">
        <v>1535</v>
      </c>
      <c r="K70" t="s">
        <v>74</v>
      </c>
      <c r="L70" t="s">
        <v>74</v>
      </c>
      <c r="M70" t="s">
        <v>78</v>
      </c>
      <c r="N70" t="s">
        <v>79</v>
      </c>
      <c r="O70" t="s">
        <v>74</v>
      </c>
      <c r="P70" t="s">
        <v>74</v>
      </c>
      <c r="Q70" t="s">
        <v>74</v>
      </c>
      <c r="R70" t="s">
        <v>74</v>
      </c>
      <c r="S70" t="s">
        <v>74</v>
      </c>
      <c r="T70" t="s">
        <v>74</v>
      </c>
      <c r="U70" t="s">
        <v>1558</v>
      </c>
      <c r="V70" t="s">
        <v>1559</v>
      </c>
      <c r="W70" t="s">
        <v>1560</v>
      </c>
      <c r="X70" t="s">
        <v>1561</v>
      </c>
      <c r="Y70" t="s">
        <v>1562</v>
      </c>
      <c r="Z70" t="s">
        <v>1563</v>
      </c>
      <c r="AA70" t="s">
        <v>1564</v>
      </c>
      <c r="AB70" t="s">
        <v>74</v>
      </c>
      <c r="AC70" t="s">
        <v>1565</v>
      </c>
      <c r="AD70" t="s">
        <v>1566</v>
      </c>
      <c r="AE70" t="s">
        <v>1567</v>
      </c>
      <c r="AF70" t="s">
        <v>74</v>
      </c>
      <c r="AG70">
        <v>62</v>
      </c>
      <c r="AH70">
        <v>12</v>
      </c>
      <c r="AI70">
        <v>13</v>
      </c>
      <c r="AJ70">
        <v>1</v>
      </c>
      <c r="AK70">
        <v>17</v>
      </c>
      <c r="AL70" t="s">
        <v>766</v>
      </c>
      <c r="AM70" t="s">
        <v>767</v>
      </c>
      <c r="AN70" t="s">
        <v>768</v>
      </c>
      <c r="AO70" t="s">
        <v>1547</v>
      </c>
      <c r="AP70" t="s">
        <v>1548</v>
      </c>
      <c r="AQ70" t="s">
        <v>74</v>
      </c>
      <c r="AR70" t="s">
        <v>1535</v>
      </c>
      <c r="AS70" t="s">
        <v>1549</v>
      </c>
      <c r="AT70" t="s">
        <v>74</v>
      </c>
      <c r="AU70">
        <v>2012</v>
      </c>
      <c r="AV70">
        <v>9</v>
      </c>
      <c r="AW70">
        <v>3</v>
      </c>
      <c r="AX70" t="s">
        <v>74</v>
      </c>
      <c r="AY70" t="s">
        <v>74</v>
      </c>
      <c r="AZ70" t="s">
        <v>74</v>
      </c>
      <c r="BA70" t="s">
        <v>74</v>
      </c>
      <c r="BB70">
        <v>973</v>
      </c>
      <c r="BC70">
        <v>992</v>
      </c>
      <c r="BD70" t="s">
        <v>74</v>
      </c>
      <c r="BE70" t="s">
        <v>1568</v>
      </c>
      <c r="BF70" t="str">
        <f>HYPERLINK("http://dx.doi.org/10.5194/bg-9-973-2012","http://dx.doi.org/10.5194/bg-9-973-2012")</f>
        <v>http://dx.doi.org/10.5194/bg-9-973-2012</v>
      </c>
      <c r="BG70" t="s">
        <v>74</v>
      </c>
      <c r="BH70" t="s">
        <v>74</v>
      </c>
      <c r="BI70">
        <v>20</v>
      </c>
      <c r="BJ70" t="s">
        <v>1551</v>
      </c>
      <c r="BK70" t="s">
        <v>100</v>
      </c>
      <c r="BL70" t="s">
        <v>1552</v>
      </c>
      <c r="BM70" t="s">
        <v>1553</v>
      </c>
      <c r="BN70" t="s">
        <v>74</v>
      </c>
      <c r="BO70" t="s">
        <v>1108</v>
      </c>
      <c r="BP70" t="s">
        <v>74</v>
      </c>
      <c r="BQ70" t="s">
        <v>74</v>
      </c>
      <c r="BR70" t="s">
        <v>102</v>
      </c>
      <c r="BS70" t="s">
        <v>1569</v>
      </c>
      <c r="BT70" t="str">
        <f>HYPERLINK("https%3A%2F%2Fwww.webofscience.com%2Fwos%2Fwoscc%2Ffull-record%2FWOS:000302179500008","View Full Record in Web of Science")</f>
        <v>View Full Record in Web of Science</v>
      </c>
    </row>
    <row r="71" spans="1:72" x14ac:dyDescent="0.15">
      <c r="A71" t="s">
        <v>72</v>
      </c>
      <c r="B71" t="s">
        <v>1570</v>
      </c>
      <c r="C71" t="s">
        <v>74</v>
      </c>
      <c r="D71" t="s">
        <v>74</v>
      </c>
      <c r="E71" t="s">
        <v>74</v>
      </c>
      <c r="F71" t="s">
        <v>1571</v>
      </c>
      <c r="G71" t="s">
        <v>74</v>
      </c>
      <c r="H71" t="s">
        <v>74</v>
      </c>
      <c r="I71" t="s">
        <v>1572</v>
      </c>
      <c r="J71" t="s">
        <v>1535</v>
      </c>
      <c r="K71" t="s">
        <v>74</v>
      </c>
      <c r="L71" t="s">
        <v>74</v>
      </c>
      <c r="M71" t="s">
        <v>78</v>
      </c>
      <c r="N71" t="s">
        <v>79</v>
      </c>
      <c r="O71" t="s">
        <v>74</v>
      </c>
      <c r="P71" t="s">
        <v>74</v>
      </c>
      <c r="Q71" t="s">
        <v>74</v>
      </c>
      <c r="R71" t="s">
        <v>74</v>
      </c>
      <c r="S71" t="s">
        <v>74</v>
      </c>
      <c r="T71" t="s">
        <v>74</v>
      </c>
      <c r="U71" t="s">
        <v>1573</v>
      </c>
      <c r="V71" t="s">
        <v>1574</v>
      </c>
      <c r="W71" t="s">
        <v>1575</v>
      </c>
      <c r="X71" t="s">
        <v>1576</v>
      </c>
      <c r="Y71" t="s">
        <v>1577</v>
      </c>
      <c r="Z71" t="s">
        <v>1578</v>
      </c>
      <c r="AA71" t="s">
        <v>1579</v>
      </c>
      <c r="AB71" t="s">
        <v>1580</v>
      </c>
      <c r="AC71" t="s">
        <v>1581</v>
      </c>
      <c r="AD71" t="s">
        <v>1582</v>
      </c>
      <c r="AE71" t="s">
        <v>1583</v>
      </c>
      <c r="AF71" t="s">
        <v>74</v>
      </c>
      <c r="AG71">
        <v>98</v>
      </c>
      <c r="AH71">
        <v>41</v>
      </c>
      <c r="AI71">
        <v>42</v>
      </c>
      <c r="AJ71">
        <v>2</v>
      </c>
      <c r="AK71">
        <v>38</v>
      </c>
      <c r="AL71" t="s">
        <v>766</v>
      </c>
      <c r="AM71" t="s">
        <v>767</v>
      </c>
      <c r="AN71" t="s">
        <v>768</v>
      </c>
      <c r="AO71" t="s">
        <v>1547</v>
      </c>
      <c r="AP71" t="s">
        <v>1548</v>
      </c>
      <c r="AQ71" t="s">
        <v>74</v>
      </c>
      <c r="AR71" t="s">
        <v>1535</v>
      </c>
      <c r="AS71" t="s">
        <v>1549</v>
      </c>
      <c r="AT71" t="s">
        <v>74</v>
      </c>
      <c r="AU71">
        <v>2012</v>
      </c>
      <c r="AV71">
        <v>9</v>
      </c>
      <c r="AW71">
        <v>3</v>
      </c>
      <c r="AX71" t="s">
        <v>74</v>
      </c>
      <c r="AY71" t="s">
        <v>74</v>
      </c>
      <c r="AZ71" t="s">
        <v>74</v>
      </c>
      <c r="BA71" t="s">
        <v>74</v>
      </c>
      <c r="BB71">
        <v>1137</v>
      </c>
      <c r="BC71">
        <v>1157</v>
      </c>
      <c r="BD71" t="s">
        <v>74</v>
      </c>
      <c r="BE71" t="s">
        <v>1584</v>
      </c>
      <c r="BF71" t="str">
        <f>HYPERLINK("http://dx.doi.org/10.5194/bg-9-1137-2012","http://dx.doi.org/10.5194/bg-9-1137-2012")</f>
        <v>http://dx.doi.org/10.5194/bg-9-1137-2012</v>
      </c>
      <c r="BG71" t="s">
        <v>74</v>
      </c>
      <c r="BH71" t="s">
        <v>74</v>
      </c>
      <c r="BI71">
        <v>21</v>
      </c>
      <c r="BJ71" t="s">
        <v>1551</v>
      </c>
      <c r="BK71" t="s">
        <v>100</v>
      </c>
      <c r="BL71" t="s">
        <v>1552</v>
      </c>
      <c r="BM71" t="s">
        <v>1553</v>
      </c>
      <c r="BN71" t="s">
        <v>74</v>
      </c>
      <c r="BO71" t="s">
        <v>1392</v>
      </c>
      <c r="BP71" t="s">
        <v>74</v>
      </c>
      <c r="BQ71" t="s">
        <v>74</v>
      </c>
      <c r="BR71" t="s">
        <v>102</v>
      </c>
      <c r="BS71" t="s">
        <v>1585</v>
      </c>
      <c r="BT71" t="str">
        <f>HYPERLINK("https%3A%2F%2Fwww.webofscience.com%2Fwos%2Fwoscc%2Ffull-record%2FWOS:000302179500020","View Full Record in Web of Science")</f>
        <v>View Full Record in Web of Science</v>
      </c>
    </row>
    <row r="72" spans="1:72" x14ac:dyDescent="0.15">
      <c r="A72" t="s">
        <v>72</v>
      </c>
      <c r="B72" t="s">
        <v>1586</v>
      </c>
      <c r="C72" t="s">
        <v>74</v>
      </c>
      <c r="D72" t="s">
        <v>74</v>
      </c>
      <c r="E72" t="s">
        <v>74</v>
      </c>
      <c r="F72" t="s">
        <v>1587</v>
      </c>
      <c r="G72" t="s">
        <v>74</v>
      </c>
      <c r="H72" t="s">
        <v>74</v>
      </c>
      <c r="I72" t="s">
        <v>1588</v>
      </c>
      <c r="J72" t="s">
        <v>1535</v>
      </c>
      <c r="K72" t="s">
        <v>74</v>
      </c>
      <c r="L72" t="s">
        <v>74</v>
      </c>
      <c r="M72" t="s">
        <v>78</v>
      </c>
      <c r="N72" t="s">
        <v>79</v>
      </c>
      <c r="O72" t="s">
        <v>74</v>
      </c>
      <c r="P72" t="s">
        <v>74</v>
      </c>
      <c r="Q72" t="s">
        <v>74</v>
      </c>
      <c r="R72" t="s">
        <v>74</v>
      </c>
      <c r="S72" t="s">
        <v>74</v>
      </c>
      <c r="T72" t="s">
        <v>74</v>
      </c>
      <c r="U72" t="s">
        <v>1589</v>
      </c>
      <c r="V72" t="s">
        <v>1590</v>
      </c>
      <c r="W72" t="s">
        <v>1591</v>
      </c>
      <c r="X72" t="s">
        <v>1592</v>
      </c>
      <c r="Y72" t="s">
        <v>1593</v>
      </c>
      <c r="Z72" t="s">
        <v>1594</v>
      </c>
      <c r="AA72" t="s">
        <v>1595</v>
      </c>
      <c r="AB72" t="s">
        <v>1596</v>
      </c>
      <c r="AC72" t="s">
        <v>1597</v>
      </c>
      <c r="AD72" t="s">
        <v>1597</v>
      </c>
      <c r="AE72" t="s">
        <v>1598</v>
      </c>
      <c r="AF72" t="s">
        <v>74</v>
      </c>
      <c r="AG72">
        <v>74</v>
      </c>
      <c r="AH72">
        <v>147</v>
      </c>
      <c r="AI72">
        <v>156</v>
      </c>
      <c r="AJ72">
        <v>6</v>
      </c>
      <c r="AK72">
        <v>70</v>
      </c>
      <c r="AL72" t="s">
        <v>766</v>
      </c>
      <c r="AM72" t="s">
        <v>767</v>
      </c>
      <c r="AN72" t="s">
        <v>768</v>
      </c>
      <c r="AO72" t="s">
        <v>1547</v>
      </c>
      <c r="AP72" t="s">
        <v>1548</v>
      </c>
      <c r="AQ72" t="s">
        <v>74</v>
      </c>
      <c r="AR72" t="s">
        <v>1535</v>
      </c>
      <c r="AS72" t="s">
        <v>1549</v>
      </c>
      <c r="AT72" t="s">
        <v>74</v>
      </c>
      <c r="AU72">
        <v>2012</v>
      </c>
      <c r="AV72">
        <v>9</v>
      </c>
      <c r="AW72">
        <v>6</v>
      </c>
      <c r="AX72" t="s">
        <v>74</v>
      </c>
      <c r="AY72" t="s">
        <v>74</v>
      </c>
      <c r="AZ72" t="s">
        <v>74</v>
      </c>
      <c r="BA72" t="s">
        <v>74</v>
      </c>
      <c r="BB72">
        <v>2333</v>
      </c>
      <c r="BC72">
        <v>2349</v>
      </c>
      <c r="BD72" t="s">
        <v>74</v>
      </c>
      <c r="BE72" t="s">
        <v>1599</v>
      </c>
      <c r="BF72" t="str">
        <f>HYPERLINK("http://dx.doi.org/10.5194/bg-9-2333-2012","http://dx.doi.org/10.5194/bg-9-2333-2012")</f>
        <v>http://dx.doi.org/10.5194/bg-9-2333-2012</v>
      </c>
      <c r="BG72" t="s">
        <v>74</v>
      </c>
      <c r="BH72" t="s">
        <v>74</v>
      </c>
      <c r="BI72">
        <v>17</v>
      </c>
      <c r="BJ72" t="s">
        <v>1551</v>
      </c>
      <c r="BK72" t="s">
        <v>100</v>
      </c>
      <c r="BL72" t="s">
        <v>1552</v>
      </c>
      <c r="BM72" t="s">
        <v>1600</v>
      </c>
      <c r="BN72" t="s">
        <v>74</v>
      </c>
      <c r="BO72" t="s">
        <v>1290</v>
      </c>
      <c r="BP72" t="s">
        <v>74</v>
      </c>
      <c r="BQ72" t="s">
        <v>74</v>
      </c>
      <c r="BR72" t="s">
        <v>102</v>
      </c>
      <c r="BS72" t="s">
        <v>1601</v>
      </c>
      <c r="BT72" t="str">
        <f>HYPERLINK("https%3A%2F%2Fwww.webofscience.com%2Fwos%2Fwoscc%2Ffull-record%2FWOS:000305830000026","View Full Record in Web of Science")</f>
        <v>View Full Record in Web of Science</v>
      </c>
    </row>
    <row r="73" spans="1:72" x14ac:dyDescent="0.15">
      <c r="A73" t="s">
        <v>72</v>
      </c>
      <c r="B73" t="s">
        <v>1602</v>
      </c>
      <c r="C73" t="s">
        <v>74</v>
      </c>
      <c r="D73" t="s">
        <v>74</v>
      </c>
      <c r="E73" t="s">
        <v>74</v>
      </c>
      <c r="F73" t="s">
        <v>1603</v>
      </c>
      <c r="G73" t="s">
        <v>74</v>
      </c>
      <c r="H73" t="s">
        <v>74</v>
      </c>
      <c r="I73" t="s">
        <v>1604</v>
      </c>
      <c r="J73" t="s">
        <v>1535</v>
      </c>
      <c r="K73" t="s">
        <v>74</v>
      </c>
      <c r="L73" t="s">
        <v>74</v>
      </c>
      <c r="M73" t="s">
        <v>78</v>
      </c>
      <c r="N73" t="s">
        <v>79</v>
      </c>
      <c r="O73" t="s">
        <v>74</v>
      </c>
      <c r="P73" t="s">
        <v>74</v>
      </c>
      <c r="Q73" t="s">
        <v>74</v>
      </c>
      <c r="R73" t="s">
        <v>74</v>
      </c>
      <c r="S73" t="s">
        <v>74</v>
      </c>
      <c r="T73" t="s">
        <v>74</v>
      </c>
      <c r="U73" t="s">
        <v>1605</v>
      </c>
      <c r="V73" t="s">
        <v>1606</v>
      </c>
      <c r="W73" t="s">
        <v>1607</v>
      </c>
      <c r="X73" t="s">
        <v>1608</v>
      </c>
      <c r="Y73" t="s">
        <v>1609</v>
      </c>
      <c r="Z73" t="s">
        <v>1610</v>
      </c>
      <c r="AA73" t="s">
        <v>1611</v>
      </c>
      <c r="AB73" t="s">
        <v>1612</v>
      </c>
      <c r="AC73" t="s">
        <v>1613</v>
      </c>
      <c r="AD73" t="s">
        <v>1614</v>
      </c>
      <c r="AE73" t="s">
        <v>1615</v>
      </c>
      <c r="AF73" t="s">
        <v>74</v>
      </c>
      <c r="AG73">
        <v>71</v>
      </c>
      <c r="AH73">
        <v>43</v>
      </c>
      <c r="AI73">
        <v>48</v>
      </c>
      <c r="AJ73">
        <v>2</v>
      </c>
      <c r="AK73">
        <v>108</v>
      </c>
      <c r="AL73" t="s">
        <v>766</v>
      </c>
      <c r="AM73" t="s">
        <v>767</v>
      </c>
      <c r="AN73" t="s">
        <v>768</v>
      </c>
      <c r="AO73" t="s">
        <v>1547</v>
      </c>
      <c r="AP73" t="s">
        <v>1548</v>
      </c>
      <c r="AQ73" t="s">
        <v>74</v>
      </c>
      <c r="AR73" t="s">
        <v>1535</v>
      </c>
      <c r="AS73" t="s">
        <v>1549</v>
      </c>
      <c r="AT73" t="s">
        <v>74</v>
      </c>
      <c r="AU73">
        <v>2012</v>
      </c>
      <c r="AV73">
        <v>9</v>
      </c>
      <c r="AW73">
        <v>8</v>
      </c>
      <c r="AX73" t="s">
        <v>74</v>
      </c>
      <c r="AY73" t="s">
        <v>74</v>
      </c>
      <c r="AZ73" t="s">
        <v>74</v>
      </c>
      <c r="BA73" t="s">
        <v>74</v>
      </c>
      <c r="BB73">
        <v>3231</v>
      </c>
      <c r="BC73">
        <v>3246</v>
      </c>
      <c r="BD73" t="s">
        <v>74</v>
      </c>
      <c r="BE73" t="s">
        <v>1616</v>
      </c>
      <c r="BF73" t="str">
        <f>HYPERLINK("http://dx.doi.org/10.5194/bg-9-3231-2012","http://dx.doi.org/10.5194/bg-9-3231-2012")</f>
        <v>http://dx.doi.org/10.5194/bg-9-3231-2012</v>
      </c>
      <c r="BG73" t="s">
        <v>74</v>
      </c>
      <c r="BH73" t="s">
        <v>74</v>
      </c>
      <c r="BI73">
        <v>16</v>
      </c>
      <c r="BJ73" t="s">
        <v>1551</v>
      </c>
      <c r="BK73" t="s">
        <v>100</v>
      </c>
      <c r="BL73" t="s">
        <v>1552</v>
      </c>
      <c r="BM73" t="s">
        <v>1617</v>
      </c>
      <c r="BN73" t="s">
        <v>74</v>
      </c>
      <c r="BO73" t="s">
        <v>1219</v>
      </c>
      <c r="BP73" t="s">
        <v>74</v>
      </c>
      <c r="BQ73" t="s">
        <v>74</v>
      </c>
      <c r="BR73" t="s">
        <v>102</v>
      </c>
      <c r="BS73" t="s">
        <v>1618</v>
      </c>
      <c r="BT73" t="str">
        <f>HYPERLINK("https%3A%2F%2Fwww.webofscience.com%2Fwos%2Fwoscc%2Ffull-record%2FWOS:000308290200027","View Full Record in Web of Science")</f>
        <v>View Full Record in Web of Science</v>
      </c>
    </row>
    <row r="74" spans="1:72" x14ac:dyDescent="0.15">
      <c r="A74" t="s">
        <v>72</v>
      </c>
      <c r="B74" t="s">
        <v>1619</v>
      </c>
      <c r="C74" t="s">
        <v>74</v>
      </c>
      <c r="D74" t="s">
        <v>74</v>
      </c>
      <c r="E74" t="s">
        <v>74</v>
      </c>
      <c r="F74" t="s">
        <v>1620</v>
      </c>
      <c r="G74" t="s">
        <v>74</v>
      </c>
      <c r="H74" t="s">
        <v>74</v>
      </c>
      <c r="I74" t="s">
        <v>1621</v>
      </c>
      <c r="J74" t="s">
        <v>1622</v>
      </c>
      <c r="K74" t="s">
        <v>74</v>
      </c>
      <c r="L74" t="s">
        <v>74</v>
      </c>
      <c r="M74" t="s">
        <v>78</v>
      </c>
      <c r="N74" t="s">
        <v>1513</v>
      </c>
      <c r="O74" t="s">
        <v>74</v>
      </c>
      <c r="P74" t="s">
        <v>74</v>
      </c>
      <c r="Q74" t="s">
        <v>74</v>
      </c>
      <c r="R74" t="s">
        <v>74</v>
      </c>
      <c r="S74" t="s">
        <v>74</v>
      </c>
      <c r="T74" t="s">
        <v>1623</v>
      </c>
      <c r="U74" t="s">
        <v>1624</v>
      </c>
      <c r="V74" t="s">
        <v>1625</v>
      </c>
      <c r="W74" t="s">
        <v>1626</v>
      </c>
      <c r="X74" t="s">
        <v>1627</v>
      </c>
      <c r="Y74" t="s">
        <v>1628</v>
      </c>
      <c r="Z74" t="s">
        <v>1629</v>
      </c>
      <c r="AA74" t="s">
        <v>1630</v>
      </c>
      <c r="AB74" t="s">
        <v>1631</v>
      </c>
      <c r="AC74" t="s">
        <v>1632</v>
      </c>
      <c r="AD74" t="s">
        <v>1633</v>
      </c>
      <c r="AE74" t="s">
        <v>1634</v>
      </c>
      <c r="AF74" t="s">
        <v>74</v>
      </c>
      <c r="AG74">
        <v>29</v>
      </c>
      <c r="AH74">
        <v>77</v>
      </c>
      <c r="AI74">
        <v>78</v>
      </c>
      <c r="AJ74">
        <v>4</v>
      </c>
      <c r="AK74">
        <v>27</v>
      </c>
      <c r="AL74" t="s">
        <v>155</v>
      </c>
      <c r="AM74" t="s">
        <v>156</v>
      </c>
      <c r="AN74" t="s">
        <v>157</v>
      </c>
      <c r="AO74" t="s">
        <v>1635</v>
      </c>
      <c r="AP74" t="s">
        <v>1636</v>
      </c>
      <c r="AQ74" t="s">
        <v>74</v>
      </c>
      <c r="AR74" t="s">
        <v>1637</v>
      </c>
      <c r="AS74" t="s">
        <v>1638</v>
      </c>
      <c r="AT74" t="s">
        <v>388</v>
      </c>
      <c r="AU74">
        <v>2012</v>
      </c>
      <c r="AV74">
        <v>30</v>
      </c>
      <c r="AW74">
        <v>1</v>
      </c>
      <c r="AX74" t="s">
        <v>74</v>
      </c>
      <c r="AY74" t="s">
        <v>74</v>
      </c>
      <c r="AZ74" t="s">
        <v>339</v>
      </c>
      <c r="BA74" t="s">
        <v>74</v>
      </c>
      <c r="BB74">
        <v>272</v>
      </c>
      <c r="BC74">
        <v>293</v>
      </c>
      <c r="BD74" t="s">
        <v>74</v>
      </c>
      <c r="BE74" t="s">
        <v>1639</v>
      </c>
      <c r="BF74" t="str">
        <f>HYPERLINK("http://dx.doi.org/10.1016/j.biotechadv.2011.06.011","http://dx.doi.org/10.1016/j.biotechadv.2011.06.011")</f>
        <v>http://dx.doi.org/10.1016/j.biotechadv.2011.06.011</v>
      </c>
      <c r="BG74" t="s">
        <v>74</v>
      </c>
      <c r="BH74" t="s">
        <v>74</v>
      </c>
      <c r="BI74">
        <v>22</v>
      </c>
      <c r="BJ74" t="s">
        <v>1640</v>
      </c>
      <c r="BK74" t="s">
        <v>100</v>
      </c>
      <c r="BL74" t="s">
        <v>1640</v>
      </c>
      <c r="BM74" t="s">
        <v>1641</v>
      </c>
      <c r="BN74">
        <v>21742025</v>
      </c>
      <c r="BO74" t="s">
        <v>74</v>
      </c>
      <c r="BP74" t="s">
        <v>74</v>
      </c>
      <c r="BQ74" t="s">
        <v>74</v>
      </c>
      <c r="BR74" t="s">
        <v>102</v>
      </c>
      <c r="BS74" t="s">
        <v>1642</v>
      </c>
      <c r="BT74" t="str">
        <f>HYPERLINK("https%3A%2F%2Fwww.webofscience.com%2Fwos%2Fwoscc%2Ffull-record%2FWOS:000300479200021","View Full Record in Web of Science")</f>
        <v>View Full Record in Web of Science</v>
      </c>
    </row>
    <row r="75" spans="1:72" x14ac:dyDescent="0.15">
      <c r="A75" t="s">
        <v>72</v>
      </c>
      <c r="B75" t="s">
        <v>1643</v>
      </c>
      <c r="C75" t="s">
        <v>74</v>
      </c>
      <c r="D75" t="s">
        <v>74</v>
      </c>
      <c r="E75" t="s">
        <v>74</v>
      </c>
      <c r="F75" t="s">
        <v>1644</v>
      </c>
      <c r="G75" t="s">
        <v>74</v>
      </c>
      <c r="H75" t="s">
        <v>74</v>
      </c>
      <c r="I75" t="s">
        <v>1645</v>
      </c>
      <c r="J75" t="s">
        <v>1646</v>
      </c>
      <c r="K75" t="s">
        <v>74</v>
      </c>
      <c r="L75" t="s">
        <v>74</v>
      </c>
      <c r="M75" t="s">
        <v>78</v>
      </c>
      <c r="N75" t="s">
        <v>1513</v>
      </c>
      <c r="O75" t="s">
        <v>74</v>
      </c>
      <c r="P75" t="s">
        <v>74</v>
      </c>
      <c r="Q75" t="s">
        <v>74</v>
      </c>
      <c r="R75" t="s">
        <v>74</v>
      </c>
      <c r="S75" t="s">
        <v>74</v>
      </c>
      <c r="T75" t="s">
        <v>74</v>
      </c>
      <c r="U75" t="s">
        <v>1647</v>
      </c>
      <c r="V75" t="s">
        <v>1648</v>
      </c>
      <c r="W75" t="s">
        <v>1649</v>
      </c>
      <c r="X75" t="s">
        <v>1650</v>
      </c>
      <c r="Y75" t="s">
        <v>1651</v>
      </c>
      <c r="Z75" t="s">
        <v>1652</v>
      </c>
      <c r="AA75" t="s">
        <v>1653</v>
      </c>
      <c r="AB75" t="s">
        <v>1654</v>
      </c>
      <c r="AC75" t="s">
        <v>1655</v>
      </c>
      <c r="AD75" t="s">
        <v>1656</v>
      </c>
      <c r="AE75" t="s">
        <v>74</v>
      </c>
      <c r="AF75" t="s">
        <v>74</v>
      </c>
      <c r="AG75">
        <v>106</v>
      </c>
      <c r="AH75">
        <v>66</v>
      </c>
      <c r="AI75">
        <v>76</v>
      </c>
      <c r="AJ75">
        <v>1</v>
      </c>
      <c r="AK75">
        <v>229</v>
      </c>
      <c r="AL75" t="s">
        <v>1657</v>
      </c>
      <c r="AM75" t="s">
        <v>1658</v>
      </c>
      <c r="AN75" t="s">
        <v>1659</v>
      </c>
      <c r="AO75" t="s">
        <v>1660</v>
      </c>
      <c r="AP75" t="s">
        <v>74</v>
      </c>
      <c r="AQ75" t="s">
        <v>74</v>
      </c>
      <c r="AR75" t="s">
        <v>1661</v>
      </c>
      <c r="AS75" t="s">
        <v>1662</v>
      </c>
      <c r="AT75" t="s">
        <v>74</v>
      </c>
      <c r="AU75">
        <v>2012</v>
      </c>
      <c r="AV75">
        <v>19</v>
      </c>
      <c r="AW75" t="s">
        <v>74</v>
      </c>
      <c r="AX75" t="s">
        <v>74</v>
      </c>
      <c r="AY75" t="s">
        <v>74</v>
      </c>
      <c r="AZ75" t="s">
        <v>74</v>
      </c>
      <c r="BA75" t="s">
        <v>74</v>
      </c>
      <c r="BB75">
        <v>49</v>
      </c>
      <c r="BC75">
        <v>74</v>
      </c>
      <c r="BD75" t="s">
        <v>74</v>
      </c>
      <c r="BE75" t="s">
        <v>74</v>
      </c>
      <c r="BF75" t="s">
        <v>74</v>
      </c>
      <c r="BG75" t="s">
        <v>74</v>
      </c>
      <c r="BH75" t="s">
        <v>74</v>
      </c>
      <c r="BI75">
        <v>26</v>
      </c>
      <c r="BJ75" t="s">
        <v>1663</v>
      </c>
      <c r="BK75" t="s">
        <v>100</v>
      </c>
      <c r="BL75" t="s">
        <v>1663</v>
      </c>
      <c r="BM75" t="s">
        <v>1664</v>
      </c>
      <c r="BN75" t="s">
        <v>74</v>
      </c>
      <c r="BO75" t="s">
        <v>74</v>
      </c>
      <c r="BP75" t="s">
        <v>74</v>
      </c>
      <c r="BQ75" t="s">
        <v>74</v>
      </c>
      <c r="BR75" t="s">
        <v>102</v>
      </c>
      <c r="BS75" t="s">
        <v>1665</v>
      </c>
      <c r="BT75" t="str">
        <f>HYPERLINK("https%3A%2F%2Fwww.webofscience.com%2Fwos%2Fwoscc%2Ffull-record%2FWOS:000318781400004","View Full Record in Web of Science")</f>
        <v>View Full Record in Web of Science</v>
      </c>
    </row>
    <row r="76" spans="1:72" x14ac:dyDescent="0.15">
      <c r="A76" t="s">
        <v>72</v>
      </c>
      <c r="B76" t="s">
        <v>1666</v>
      </c>
      <c r="C76" t="s">
        <v>74</v>
      </c>
      <c r="D76" t="s">
        <v>74</v>
      </c>
      <c r="E76" t="s">
        <v>74</v>
      </c>
      <c r="F76" t="s">
        <v>1667</v>
      </c>
      <c r="G76" t="s">
        <v>74</v>
      </c>
      <c r="H76" t="s">
        <v>74</v>
      </c>
      <c r="I76" t="s">
        <v>1668</v>
      </c>
      <c r="J76" t="s">
        <v>1646</v>
      </c>
      <c r="K76" t="s">
        <v>74</v>
      </c>
      <c r="L76" t="s">
        <v>74</v>
      </c>
      <c r="M76" t="s">
        <v>78</v>
      </c>
      <c r="N76" t="s">
        <v>1513</v>
      </c>
      <c r="O76" t="s">
        <v>74</v>
      </c>
      <c r="P76" t="s">
        <v>74</v>
      </c>
      <c r="Q76" t="s">
        <v>74</v>
      </c>
      <c r="R76" t="s">
        <v>74</v>
      </c>
      <c r="S76" t="s">
        <v>74</v>
      </c>
      <c r="T76" t="s">
        <v>74</v>
      </c>
      <c r="U76" t="s">
        <v>1669</v>
      </c>
      <c r="V76" t="s">
        <v>1670</v>
      </c>
      <c r="W76" t="s">
        <v>1671</v>
      </c>
      <c r="X76" t="s">
        <v>527</v>
      </c>
      <c r="Y76" t="s">
        <v>1672</v>
      </c>
      <c r="Z76" t="s">
        <v>1673</v>
      </c>
      <c r="AA76" t="s">
        <v>74</v>
      </c>
      <c r="AB76" t="s">
        <v>74</v>
      </c>
      <c r="AC76" t="s">
        <v>1655</v>
      </c>
      <c r="AD76" t="s">
        <v>1656</v>
      </c>
      <c r="AE76" t="s">
        <v>74</v>
      </c>
      <c r="AF76" t="s">
        <v>74</v>
      </c>
      <c r="AG76">
        <v>212</v>
      </c>
      <c r="AH76">
        <v>52</v>
      </c>
      <c r="AI76">
        <v>55</v>
      </c>
      <c r="AJ76">
        <v>1</v>
      </c>
      <c r="AK76">
        <v>38</v>
      </c>
      <c r="AL76" t="s">
        <v>1657</v>
      </c>
      <c r="AM76" t="s">
        <v>1658</v>
      </c>
      <c r="AN76" t="s">
        <v>1659</v>
      </c>
      <c r="AO76" t="s">
        <v>1660</v>
      </c>
      <c r="AP76" t="s">
        <v>74</v>
      </c>
      <c r="AQ76" t="s">
        <v>74</v>
      </c>
      <c r="AR76" t="s">
        <v>1661</v>
      </c>
      <c r="AS76" t="s">
        <v>1662</v>
      </c>
      <c r="AT76" t="s">
        <v>74</v>
      </c>
      <c r="AU76">
        <v>2012</v>
      </c>
      <c r="AV76">
        <v>19</v>
      </c>
      <c r="AW76" t="s">
        <v>74</v>
      </c>
      <c r="AX76" t="s">
        <v>74</v>
      </c>
      <c r="AY76" t="s">
        <v>74</v>
      </c>
      <c r="AZ76" t="s">
        <v>74</v>
      </c>
      <c r="BA76" t="s">
        <v>74</v>
      </c>
      <c r="BB76">
        <v>75</v>
      </c>
      <c r="BC76">
        <v>114</v>
      </c>
      <c r="BD76" t="s">
        <v>74</v>
      </c>
      <c r="BE76" t="s">
        <v>74</v>
      </c>
      <c r="BF76" t="s">
        <v>74</v>
      </c>
      <c r="BG76" t="s">
        <v>74</v>
      </c>
      <c r="BH76" t="s">
        <v>74</v>
      </c>
      <c r="BI76">
        <v>40</v>
      </c>
      <c r="BJ76" t="s">
        <v>1663</v>
      </c>
      <c r="BK76" t="s">
        <v>100</v>
      </c>
      <c r="BL76" t="s">
        <v>1663</v>
      </c>
      <c r="BM76" t="s">
        <v>1664</v>
      </c>
      <c r="BN76" t="s">
        <v>74</v>
      </c>
      <c r="BO76" t="s">
        <v>74</v>
      </c>
      <c r="BP76" t="s">
        <v>74</v>
      </c>
      <c r="BQ76" t="s">
        <v>74</v>
      </c>
      <c r="BR76" t="s">
        <v>102</v>
      </c>
      <c r="BS76" t="s">
        <v>1674</v>
      </c>
      <c r="BT76" t="str">
        <f>HYPERLINK("https%3A%2F%2Fwww.webofscience.com%2Fwos%2Fwoscc%2Ffull-record%2FWOS:000318781400005","View Full Record in Web of Science")</f>
        <v>View Full Record in Web of Science</v>
      </c>
    </row>
    <row r="77" spans="1:72" x14ac:dyDescent="0.15">
      <c r="A77" t="s">
        <v>72</v>
      </c>
      <c r="B77" t="s">
        <v>1675</v>
      </c>
      <c r="C77" t="s">
        <v>74</v>
      </c>
      <c r="D77" t="s">
        <v>74</v>
      </c>
      <c r="E77" t="s">
        <v>74</v>
      </c>
      <c r="F77" t="s">
        <v>1676</v>
      </c>
      <c r="G77" t="s">
        <v>74</v>
      </c>
      <c r="H77" t="s">
        <v>74</v>
      </c>
      <c r="I77" t="s">
        <v>1677</v>
      </c>
      <c r="J77" t="s">
        <v>1646</v>
      </c>
      <c r="K77" t="s">
        <v>74</v>
      </c>
      <c r="L77" t="s">
        <v>74</v>
      </c>
      <c r="M77" t="s">
        <v>78</v>
      </c>
      <c r="N77" t="s">
        <v>79</v>
      </c>
      <c r="O77" t="s">
        <v>74</v>
      </c>
      <c r="P77" t="s">
        <v>74</v>
      </c>
      <c r="Q77" t="s">
        <v>74</v>
      </c>
      <c r="R77" t="s">
        <v>74</v>
      </c>
      <c r="S77" t="s">
        <v>74</v>
      </c>
      <c r="T77" t="s">
        <v>74</v>
      </c>
      <c r="U77" t="s">
        <v>1678</v>
      </c>
      <c r="V77" t="s">
        <v>1679</v>
      </c>
      <c r="W77" t="s">
        <v>1680</v>
      </c>
      <c r="X77" t="s">
        <v>1681</v>
      </c>
      <c r="Y77" t="s">
        <v>1682</v>
      </c>
      <c r="Z77" t="s">
        <v>1683</v>
      </c>
      <c r="AA77" t="s">
        <v>1684</v>
      </c>
      <c r="AB77" t="s">
        <v>1685</v>
      </c>
      <c r="AC77" t="s">
        <v>1686</v>
      </c>
      <c r="AD77" t="s">
        <v>1007</v>
      </c>
      <c r="AE77" t="s">
        <v>74</v>
      </c>
      <c r="AF77" t="s">
        <v>74</v>
      </c>
      <c r="AG77">
        <v>225</v>
      </c>
      <c r="AH77">
        <v>35</v>
      </c>
      <c r="AI77">
        <v>42</v>
      </c>
      <c r="AJ77">
        <v>0</v>
      </c>
      <c r="AK77">
        <v>58</v>
      </c>
      <c r="AL77" t="s">
        <v>1657</v>
      </c>
      <c r="AM77" t="s">
        <v>1658</v>
      </c>
      <c r="AN77" t="s">
        <v>1659</v>
      </c>
      <c r="AO77" t="s">
        <v>1660</v>
      </c>
      <c r="AP77" t="s">
        <v>74</v>
      </c>
      <c r="AQ77" t="s">
        <v>74</v>
      </c>
      <c r="AR77" t="s">
        <v>1661</v>
      </c>
      <c r="AS77" t="s">
        <v>1662</v>
      </c>
      <c r="AT77" t="s">
        <v>74</v>
      </c>
      <c r="AU77">
        <v>2012</v>
      </c>
      <c r="AV77">
        <v>19</v>
      </c>
      <c r="AW77" t="s">
        <v>74</v>
      </c>
      <c r="AX77" t="s">
        <v>74</v>
      </c>
      <c r="AY77" t="s">
        <v>74</v>
      </c>
      <c r="AZ77" t="s">
        <v>74</v>
      </c>
      <c r="BA77" t="s">
        <v>74</v>
      </c>
      <c r="BB77">
        <v>219</v>
      </c>
      <c r="BC77">
        <v>245</v>
      </c>
      <c r="BD77" t="s">
        <v>74</v>
      </c>
      <c r="BE77" t="s">
        <v>74</v>
      </c>
      <c r="BF77" t="s">
        <v>74</v>
      </c>
      <c r="BG77" t="s">
        <v>74</v>
      </c>
      <c r="BH77" t="s">
        <v>74</v>
      </c>
      <c r="BI77">
        <v>27</v>
      </c>
      <c r="BJ77" t="s">
        <v>1663</v>
      </c>
      <c r="BK77" t="s">
        <v>100</v>
      </c>
      <c r="BL77" t="s">
        <v>1663</v>
      </c>
      <c r="BM77" t="s">
        <v>1664</v>
      </c>
      <c r="BN77" t="s">
        <v>74</v>
      </c>
      <c r="BO77" t="s">
        <v>74</v>
      </c>
      <c r="BP77" t="s">
        <v>74</v>
      </c>
      <c r="BQ77" t="s">
        <v>74</v>
      </c>
      <c r="BR77" t="s">
        <v>102</v>
      </c>
      <c r="BS77" t="s">
        <v>1687</v>
      </c>
      <c r="BT77" t="str">
        <f>HYPERLINK("https%3A%2F%2Fwww.webofscience.com%2Fwos%2Fwoscc%2Ffull-record%2FWOS:000318781400008","View Full Record in Web of Science")</f>
        <v>View Full Record in Web of Science</v>
      </c>
    </row>
    <row r="78" spans="1:72" x14ac:dyDescent="0.15">
      <c r="A78" t="s">
        <v>72</v>
      </c>
      <c r="B78" t="s">
        <v>1688</v>
      </c>
      <c r="C78" t="s">
        <v>74</v>
      </c>
      <c r="D78" t="s">
        <v>74</v>
      </c>
      <c r="E78" t="s">
        <v>74</v>
      </c>
      <c r="F78" t="s">
        <v>1689</v>
      </c>
      <c r="G78" t="s">
        <v>74</v>
      </c>
      <c r="H78" t="s">
        <v>74</v>
      </c>
      <c r="I78" t="s">
        <v>1690</v>
      </c>
      <c r="J78" t="s">
        <v>1691</v>
      </c>
      <c r="K78" t="s">
        <v>74</v>
      </c>
      <c r="L78" t="s">
        <v>74</v>
      </c>
      <c r="M78" t="s">
        <v>78</v>
      </c>
      <c r="N78" t="s">
        <v>79</v>
      </c>
      <c r="O78" t="s">
        <v>74</v>
      </c>
      <c r="P78" t="s">
        <v>74</v>
      </c>
      <c r="Q78" t="s">
        <v>74</v>
      </c>
      <c r="R78" t="s">
        <v>74</v>
      </c>
      <c r="S78" t="s">
        <v>74</v>
      </c>
      <c r="T78" t="s">
        <v>1692</v>
      </c>
      <c r="U78" t="s">
        <v>1693</v>
      </c>
      <c r="V78" t="s">
        <v>1694</v>
      </c>
      <c r="W78" t="s">
        <v>1695</v>
      </c>
      <c r="X78" t="s">
        <v>1696</v>
      </c>
      <c r="Y78" t="s">
        <v>1697</v>
      </c>
      <c r="Z78" t="s">
        <v>1698</v>
      </c>
      <c r="AA78" t="s">
        <v>1699</v>
      </c>
      <c r="AB78" t="s">
        <v>74</v>
      </c>
      <c r="AC78" t="s">
        <v>1700</v>
      </c>
      <c r="AD78" t="s">
        <v>1701</v>
      </c>
      <c r="AE78" t="s">
        <v>1702</v>
      </c>
      <c r="AF78" t="s">
        <v>74</v>
      </c>
      <c r="AG78">
        <v>53</v>
      </c>
      <c r="AH78">
        <v>38</v>
      </c>
      <c r="AI78">
        <v>42</v>
      </c>
      <c r="AJ78">
        <v>0</v>
      </c>
      <c r="AK78">
        <v>27</v>
      </c>
      <c r="AL78" t="s">
        <v>1703</v>
      </c>
      <c r="AM78" t="s">
        <v>1704</v>
      </c>
      <c r="AN78" t="s">
        <v>1705</v>
      </c>
      <c r="AO78" t="s">
        <v>1706</v>
      </c>
      <c r="AP78" t="s">
        <v>1707</v>
      </c>
      <c r="AQ78" t="s">
        <v>74</v>
      </c>
      <c r="AR78" t="s">
        <v>1708</v>
      </c>
      <c r="AS78" t="s">
        <v>1709</v>
      </c>
      <c r="AT78" t="s">
        <v>74</v>
      </c>
      <c r="AU78">
        <v>2012</v>
      </c>
      <c r="AV78">
        <v>58</v>
      </c>
      <c r="AW78">
        <v>1</v>
      </c>
      <c r="AX78" t="s">
        <v>74</v>
      </c>
      <c r="AY78" t="s">
        <v>74</v>
      </c>
      <c r="AZ78" t="s">
        <v>74</v>
      </c>
      <c r="BA78" t="s">
        <v>74</v>
      </c>
      <c r="BB78">
        <v>80</v>
      </c>
      <c r="BC78">
        <v>84</v>
      </c>
      <c r="BD78" t="s">
        <v>74</v>
      </c>
      <c r="BE78" t="s">
        <v>1710</v>
      </c>
      <c r="BF78" t="str">
        <f>HYPERLINK("http://dx.doi.org/10.1170/T924","http://dx.doi.org/10.1170/T924")</f>
        <v>http://dx.doi.org/10.1170/T924</v>
      </c>
      <c r="BG78" t="s">
        <v>74</v>
      </c>
      <c r="BH78" t="s">
        <v>74</v>
      </c>
      <c r="BI78">
        <v>5</v>
      </c>
      <c r="BJ78" t="s">
        <v>1711</v>
      </c>
      <c r="BK78" t="s">
        <v>100</v>
      </c>
      <c r="BL78" t="s">
        <v>1711</v>
      </c>
      <c r="BM78" t="s">
        <v>1712</v>
      </c>
      <c r="BN78">
        <v>23273195</v>
      </c>
      <c r="BO78" t="s">
        <v>74</v>
      </c>
      <c r="BP78" t="s">
        <v>74</v>
      </c>
      <c r="BQ78" t="s">
        <v>74</v>
      </c>
      <c r="BR78" t="s">
        <v>102</v>
      </c>
      <c r="BS78" t="s">
        <v>1713</v>
      </c>
      <c r="BT78" t="str">
        <f>HYPERLINK("https%3A%2F%2Fwww.webofscience.com%2Fwos%2Fwoscc%2Ffull-record%2FWOS:000327446000013","View Full Record in Web of Science")</f>
        <v>View Full Record in Web of Science</v>
      </c>
    </row>
    <row r="79" spans="1:72" x14ac:dyDescent="0.15">
      <c r="A79" t="s">
        <v>72</v>
      </c>
      <c r="B79" t="s">
        <v>1714</v>
      </c>
      <c r="C79" t="s">
        <v>74</v>
      </c>
      <c r="D79" t="s">
        <v>74</v>
      </c>
      <c r="E79" t="s">
        <v>74</v>
      </c>
      <c r="F79" t="s">
        <v>1715</v>
      </c>
      <c r="G79" t="s">
        <v>74</v>
      </c>
      <c r="H79" t="s">
        <v>74</v>
      </c>
      <c r="I79" t="s">
        <v>1716</v>
      </c>
      <c r="J79" t="s">
        <v>1717</v>
      </c>
      <c r="K79" t="s">
        <v>74</v>
      </c>
      <c r="L79" t="s">
        <v>74</v>
      </c>
      <c r="M79" t="s">
        <v>78</v>
      </c>
      <c r="N79" t="s">
        <v>1513</v>
      </c>
      <c r="O79" t="s">
        <v>74</v>
      </c>
      <c r="P79" t="s">
        <v>74</v>
      </c>
      <c r="Q79" t="s">
        <v>74</v>
      </c>
      <c r="R79" t="s">
        <v>74</v>
      </c>
      <c r="S79" t="s">
        <v>74</v>
      </c>
      <c r="T79" t="s">
        <v>74</v>
      </c>
      <c r="U79" t="s">
        <v>1718</v>
      </c>
      <c r="V79" t="s">
        <v>1719</v>
      </c>
      <c r="W79" t="s">
        <v>1720</v>
      </c>
      <c r="X79" t="s">
        <v>527</v>
      </c>
      <c r="Y79" t="s">
        <v>1721</v>
      </c>
      <c r="Z79" t="s">
        <v>1722</v>
      </c>
      <c r="AA79" t="s">
        <v>1723</v>
      </c>
      <c r="AB79" t="s">
        <v>1724</v>
      </c>
      <c r="AC79" t="s">
        <v>1725</v>
      </c>
      <c r="AD79" t="s">
        <v>1726</v>
      </c>
      <c r="AE79" t="s">
        <v>1727</v>
      </c>
      <c r="AF79" t="s">
        <v>74</v>
      </c>
      <c r="AG79">
        <v>69</v>
      </c>
      <c r="AH79">
        <v>11</v>
      </c>
      <c r="AI79">
        <v>14</v>
      </c>
      <c r="AJ79">
        <v>1</v>
      </c>
      <c r="AK79">
        <v>57</v>
      </c>
      <c r="AL79" t="s">
        <v>1728</v>
      </c>
      <c r="AM79" t="s">
        <v>814</v>
      </c>
      <c r="AN79" t="s">
        <v>1729</v>
      </c>
      <c r="AO79" t="s">
        <v>1730</v>
      </c>
      <c r="AP79" t="s">
        <v>1731</v>
      </c>
      <c r="AQ79" t="s">
        <v>74</v>
      </c>
      <c r="AR79" t="s">
        <v>1732</v>
      </c>
      <c r="AS79" t="s">
        <v>1733</v>
      </c>
      <c r="AT79" t="s">
        <v>74</v>
      </c>
      <c r="AU79">
        <v>2012</v>
      </c>
      <c r="AV79">
        <v>41</v>
      </c>
      <c r="AW79">
        <v>19</v>
      </c>
      <c r="AX79" t="s">
        <v>74</v>
      </c>
      <c r="AY79" t="s">
        <v>74</v>
      </c>
      <c r="AZ79" t="s">
        <v>74</v>
      </c>
      <c r="BA79" t="s">
        <v>74</v>
      </c>
      <c r="BB79">
        <v>6247</v>
      </c>
      <c r="BC79">
        <v>6258</v>
      </c>
      <c r="BD79" t="s">
        <v>74</v>
      </c>
      <c r="BE79" t="s">
        <v>1734</v>
      </c>
      <c r="BF79" t="str">
        <f>HYPERLINK("http://dx.doi.org/10.1039/c2cs35227c","http://dx.doi.org/10.1039/c2cs35227c")</f>
        <v>http://dx.doi.org/10.1039/c2cs35227c</v>
      </c>
      <c r="BG79" t="s">
        <v>74</v>
      </c>
      <c r="BH79" t="s">
        <v>74</v>
      </c>
      <c r="BI79">
        <v>12</v>
      </c>
      <c r="BJ79" t="s">
        <v>747</v>
      </c>
      <c r="BK79" t="s">
        <v>100</v>
      </c>
      <c r="BL79" t="s">
        <v>722</v>
      </c>
      <c r="BM79" t="s">
        <v>1735</v>
      </c>
      <c r="BN79">
        <v>22930179</v>
      </c>
      <c r="BO79" t="s">
        <v>74</v>
      </c>
      <c r="BP79" t="s">
        <v>74</v>
      </c>
      <c r="BQ79" t="s">
        <v>74</v>
      </c>
      <c r="BR79" t="s">
        <v>102</v>
      </c>
      <c r="BS79" t="s">
        <v>1736</v>
      </c>
      <c r="BT79" t="str">
        <f>HYPERLINK("https%3A%2F%2Fwww.webofscience.com%2Fwos%2Fwoscc%2Ffull-record%2FWOS:000308559100003","View Full Record in Web of Science")</f>
        <v>View Full Record in Web of Science</v>
      </c>
    </row>
    <row r="80" spans="1:72" x14ac:dyDescent="0.15">
      <c r="A80" t="s">
        <v>72</v>
      </c>
      <c r="B80" t="s">
        <v>1737</v>
      </c>
      <c r="C80" t="s">
        <v>74</v>
      </c>
      <c r="D80" t="s">
        <v>74</v>
      </c>
      <c r="E80" t="s">
        <v>74</v>
      </c>
      <c r="F80" t="s">
        <v>1738</v>
      </c>
      <c r="G80" t="s">
        <v>74</v>
      </c>
      <c r="H80" t="s">
        <v>74</v>
      </c>
      <c r="I80" t="s">
        <v>1739</v>
      </c>
      <c r="J80" t="s">
        <v>1740</v>
      </c>
      <c r="K80" t="s">
        <v>74</v>
      </c>
      <c r="L80" t="s">
        <v>74</v>
      </c>
      <c r="M80" t="s">
        <v>78</v>
      </c>
      <c r="N80" t="s">
        <v>79</v>
      </c>
      <c r="O80" t="s">
        <v>74</v>
      </c>
      <c r="P80" t="s">
        <v>74</v>
      </c>
      <c r="Q80" t="s">
        <v>74</v>
      </c>
      <c r="R80" t="s">
        <v>74</v>
      </c>
      <c r="S80" t="s">
        <v>74</v>
      </c>
      <c r="T80" t="s">
        <v>1741</v>
      </c>
      <c r="U80" t="s">
        <v>74</v>
      </c>
      <c r="V80" t="s">
        <v>1742</v>
      </c>
      <c r="W80" t="s">
        <v>1743</v>
      </c>
      <c r="X80" t="s">
        <v>1744</v>
      </c>
      <c r="Y80" t="s">
        <v>1745</v>
      </c>
      <c r="Z80" t="s">
        <v>1746</v>
      </c>
      <c r="AA80" t="s">
        <v>1747</v>
      </c>
      <c r="AB80" t="s">
        <v>74</v>
      </c>
      <c r="AC80" t="s">
        <v>74</v>
      </c>
      <c r="AD80" t="s">
        <v>74</v>
      </c>
      <c r="AE80" t="s">
        <v>74</v>
      </c>
      <c r="AF80" t="s">
        <v>74</v>
      </c>
      <c r="AG80">
        <v>12</v>
      </c>
      <c r="AH80">
        <v>0</v>
      </c>
      <c r="AI80">
        <v>0</v>
      </c>
      <c r="AJ80">
        <v>0</v>
      </c>
      <c r="AK80">
        <v>0</v>
      </c>
      <c r="AL80" t="s">
        <v>1748</v>
      </c>
      <c r="AM80" t="s">
        <v>1749</v>
      </c>
      <c r="AN80" t="s">
        <v>1750</v>
      </c>
      <c r="AO80" t="s">
        <v>1751</v>
      </c>
      <c r="AP80" t="s">
        <v>74</v>
      </c>
      <c r="AQ80" t="s">
        <v>74</v>
      </c>
      <c r="AR80" t="s">
        <v>1752</v>
      </c>
      <c r="AS80" t="s">
        <v>1753</v>
      </c>
      <c r="AT80" t="s">
        <v>74</v>
      </c>
      <c r="AU80">
        <v>2012</v>
      </c>
      <c r="AV80">
        <v>20</v>
      </c>
      <c r="AW80">
        <v>6</v>
      </c>
      <c r="AX80" t="s">
        <v>74</v>
      </c>
      <c r="AY80" t="s">
        <v>74</v>
      </c>
      <c r="AZ80" t="s">
        <v>74</v>
      </c>
      <c r="BA80" t="s">
        <v>74</v>
      </c>
      <c r="BB80">
        <v>687</v>
      </c>
      <c r="BC80">
        <v>692</v>
      </c>
      <c r="BD80" t="s">
        <v>74</v>
      </c>
      <c r="BE80" t="s">
        <v>74</v>
      </c>
      <c r="BF80" t="s">
        <v>74</v>
      </c>
      <c r="BG80" t="s">
        <v>74</v>
      </c>
      <c r="BH80" t="s">
        <v>74</v>
      </c>
      <c r="BI80">
        <v>6</v>
      </c>
      <c r="BJ80" t="s">
        <v>747</v>
      </c>
      <c r="BK80" t="s">
        <v>1158</v>
      </c>
      <c r="BL80" t="s">
        <v>722</v>
      </c>
      <c r="BM80" t="s">
        <v>1754</v>
      </c>
      <c r="BN80" t="s">
        <v>74</v>
      </c>
      <c r="BO80" t="s">
        <v>74</v>
      </c>
      <c r="BP80" t="s">
        <v>74</v>
      </c>
      <c r="BQ80" t="s">
        <v>74</v>
      </c>
      <c r="BR80" t="s">
        <v>102</v>
      </c>
      <c r="BS80" t="s">
        <v>1755</v>
      </c>
      <c r="BT80" t="str">
        <f>HYPERLINK("https%3A%2F%2Fwww.webofscience.com%2Fwos%2Fwoscc%2Ffull-record%2FWOS:000434596200014","View Full Record in Web of Science")</f>
        <v>View Full Record in Web of Science</v>
      </c>
    </row>
    <row r="81" spans="1:72" x14ac:dyDescent="0.15">
      <c r="A81" t="s">
        <v>72</v>
      </c>
      <c r="B81" t="s">
        <v>1756</v>
      </c>
      <c r="C81" t="s">
        <v>74</v>
      </c>
      <c r="D81" t="s">
        <v>74</v>
      </c>
      <c r="E81" t="s">
        <v>74</v>
      </c>
      <c r="F81" t="s">
        <v>1757</v>
      </c>
      <c r="G81" t="s">
        <v>74</v>
      </c>
      <c r="H81" t="s">
        <v>74</v>
      </c>
      <c r="I81" t="s">
        <v>1758</v>
      </c>
      <c r="J81" t="s">
        <v>1759</v>
      </c>
      <c r="K81" t="s">
        <v>74</v>
      </c>
      <c r="L81" t="s">
        <v>74</v>
      </c>
      <c r="M81" t="s">
        <v>78</v>
      </c>
      <c r="N81" t="s">
        <v>79</v>
      </c>
      <c r="O81" t="s">
        <v>74</v>
      </c>
      <c r="P81" t="s">
        <v>74</v>
      </c>
      <c r="Q81" t="s">
        <v>74</v>
      </c>
      <c r="R81" t="s">
        <v>74</v>
      </c>
      <c r="S81" t="s">
        <v>74</v>
      </c>
      <c r="T81" t="s">
        <v>1760</v>
      </c>
      <c r="U81" t="s">
        <v>1761</v>
      </c>
      <c r="V81" t="s">
        <v>1762</v>
      </c>
      <c r="W81" t="s">
        <v>1763</v>
      </c>
      <c r="X81" t="s">
        <v>1764</v>
      </c>
      <c r="Y81" t="s">
        <v>1765</v>
      </c>
      <c r="Z81" t="s">
        <v>1766</v>
      </c>
      <c r="AA81" t="s">
        <v>1767</v>
      </c>
      <c r="AB81" t="s">
        <v>1768</v>
      </c>
      <c r="AC81" t="s">
        <v>1769</v>
      </c>
      <c r="AD81" t="s">
        <v>1770</v>
      </c>
      <c r="AE81" t="s">
        <v>1771</v>
      </c>
      <c r="AF81" t="s">
        <v>74</v>
      </c>
      <c r="AG81">
        <v>81</v>
      </c>
      <c r="AH81">
        <v>104</v>
      </c>
      <c r="AI81">
        <v>113</v>
      </c>
      <c r="AJ81">
        <v>4</v>
      </c>
      <c r="AK81">
        <v>66</v>
      </c>
      <c r="AL81" t="s">
        <v>250</v>
      </c>
      <c r="AM81" t="s">
        <v>413</v>
      </c>
      <c r="AN81" t="s">
        <v>490</v>
      </c>
      <c r="AO81" t="s">
        <v>1772</v>
      </c>
      <c r="AP81" t="s">
        <v>1773</v>
      </c>
      <c r="AQ81" t="s">
        <v>74</v>
      </c>
      <c r="AR81" t="s">
        <v>1774</v>
      </c>
      <c r="AS81" t="s">
        <v>1775</v>
      </c>
      <c r="AT81" t="s">
        <v>97</v>
      </c>
      <c r="AU81">
        <v>2012</v>
      </c>
      <c r="AV81">
        <v>38</v>
      </c>
      <c r="AW81" t="s">
        <v>1776</v>
      </c>
      <c r="AX81" t="s">
        <v>74</v>
      </c>
      <c r="AY81" t="s">
        <v>74</v>
      </c>
      <c r="AZ81" t="s">
        <v>74</v>
      </c>
      <c r="BA81" t="s">
        <v>74</v>
      </c>
      <c r="BB81">
        <v>57</v>
      </c>
      <c r="BC81">
        <v>73</v>
      </c>
      <c r="BD81" t="s">
        <v>74</v>
      </c>
      <c r="BE81" t="s">
        <v>1777</v>
      </c>
      <c r="BF81" t="str">
        <f>HYPERLINK("http://dx.doi.org/10.1007/s00382-011-1044-y","http://dx.doi.org/10.1007/s00382-011-1044-y")</f>
        <v>http://dx.doi.org/10.1007/s00382-011-1044-y</v>
      </c>
      <c r="BG81" t="s">
        <v>74</v>
      </c>
      <c r="BH81" t="s">
        <v>74</v>
      </c>
      <c r="BI81">
        <v>17</v>
      </c>
      <c r="BJ81" t="s">
        <v>463</v>
      </c>
      <c r="BK81" t="s">
        <v>100</v>
      </c>
      <c r="BL81" t="s">
        <v>463</v>
      </c>
      <c r="BM81" t="s">
        <v>1778</v>
      </c>
      <c r="BN81" t="s">
        <v>74</v>
      </c>
      <c r="BO81" t="s">
        <v>74</v>
      </c>
      <c r="BP81" t="s">
        <v>74</v>
      </c>
      <c r="BQ81" t="s">
        <v>74</v>
      </c>
      <c r="BR81" t="s">
        <v>102</v>
      </c>
      <c r="BS81" t="s">
        <v>1779</v>
      </c>
      <c r="BT81" t="str">
        <f>HYPERLINK("https%3A%2F%2Fwww.webofscience.com%2Fwos%2Fwoscc%2Ffull-record%2FWOS:000298753200004","View Full Record in Web of Science")</f>
        <v>View Full Record in Web of Science</v>
      </c>
    </row>
    <row r="82" spans="1:72" x14ac:dyDescent="0.15">
      <c r="A82" t="s">
        <v>72</v>
      </c>
      <c r="B82" t="s">
        <v>1780</v>
      </c>
      <c r="C82" t="s">
        <v>74</v>
      </c>
      <c r="D82" t="s">
        <v>74</v>
      </c>
      <c r="E82" t="s">
        <v>74</v>
      </c>
      <c r="F82" t="s">
        <v>1781</v>
      </c>
      <c r="G82" t="s">
        <v>74</v>
      </c>
      <c r="H82" t="s">
        <v>74</v>
      </c>
      <c r="I82" t="s">
        <v>1782</v>
      </c>
      <c r="J82" t="s">
        <v>1759</v>
      </c>
      <c r="K82" t="s">
        <v>74</v>
      </c>
      <c r="L82" t="s">
        <v>74</v>
      </c>
      <c r="M82" t="s">
        <v>78</v>
      </c>
      <c r="N82" t="s">
        <v>79</v>
      </c>
      <c r="O82" t="s">
        <v>74</v>
      </c>
      <c r="P82" t="s">
        <v>74</v>
      </c>
      <c r="Q82" t="s">
        <v>74</v>
      </c>
      <c r="R82" t="s">
        <v>74</v>
      </c>
      <c r="S82" t="s">
        <v>74</v>
      </c>
      <c r="T82" t="s">
        <v>1783</v>
      </c>
      <c r="U82" t="s">
        <v>1784</v>
      </c>
      <c r="V82" t="s">
        <v>1785</v>
      </c>
      <c r="W82" t="s">
        <v>1786</v>
      </c>
      <c r="X82" t="s">
        <v>1787</v>
      </c>
      <c r="Y82" t="s">
        <v>1788</v>
      </c>
      <c r="Z82" t="s">
        <v>1789</v>
      </c>
      <c r="AA82" t="s">
        <v>1790</v>
      </c>
      <c r="AB82" t="s">
        <v>1791</v>
      </c>
      <c r="AC82" t="s">
        <v>1792</v>
      </c>
      <c r="AD82" t="s">
        <v>1793</v>
      </c>
      <c r="AE82" t="s">
        <v>1794</v>
      </c>
      <c r="AF82" t="s">
        <v>74</v>
      </c>
      <c r="AG82">
        <v>37</v>
      </c>
      <c r="AH82">
        <v>42</v>
      </c>
      <c r="AI82">
        <v>44</v>
      </c>
      <c r="AJ82">
        <v>1</v>
      </c>
      <c r="AK82">
        <v>28</v>
      </c>
      <c r="AL82" t="s">
        <v>250</v>
      </c>
      <c r="AM82" t="s">
        <v>413</v>
      </c>
      <c r="AN82" t="s">
        <v>490</v>
      </c>
      <c r="AO82" t="s">
        <v>1772</v>
      </c>
      <c r="AP82" t="s">
        <v>1773</v>
      </c>
      <c r="AQ82" t="s">
        <v>74</v>
      </c>
      <c r="AR82" t="s">
        <v>1774</v>
      </c>
      <c r="AS82" t="s">
        <v>1775</v>
      </c>
      <c r="AT82" t="s">
        <v>97</v>
      </c>
      <c r="AU82">
        <v>2012</v>
      </c>
      <c r="AV82">
        <v>38</v>
      </c>
      <c r="AW82" t="s">
        <v>1776</v>
      </c>
      <c r="AX82" t="s">
        <v>74</v>
      </c>
      <c r="AY82" t="s">
        <v>74</v>
      </c>
      <c r="AZ82" t="s">
        <v>74</v>
      </c>
      <c r="BA82" t="s">
        <v>74</v>
      </c>
      <c r="BB82">
        <v>75</v>
      </c>
      <c r="BC82">
        <v>86</v>
      </c>
      <c r="BD82" t="s">
        <v>74</v>
      </c>
      <c r="BE82" t="s">
        <v>1795</v>
      </c>
      <c r="BF82" t="str">
        <f>HYPERLINK("http://dx.doi.org/10.1007/s00382-011-1103-4","http://dx.doi.org/10.1007/s00382-011-1103-4")</f>
        <v>http://dx.doi.org/10.1007/s00382-011-1103-4</v>
      </c>
      <c r="BG82" t="s">
        <v>74</v>
      </c>
      <c r="BH82" t="s">
        <v>74</v>
      </c>
      <c r="BI82">
        <v>12</v>
      </c>
      <c r="BJ82" t="s">
        <v>463</v>
      </c>
      <c r="BK82" t="s">
        <v>100</v>
      </c>
      <c r="BL82" t="s">
        <v>463</v>
      </c>
      <c r="BM82" t="s">
        <v>1778</v>
      </c>
      <c r="BN82" t="s">
        <v>74</v>
      </c>
      <c r="BO82" t="s">
        <v>1796</v>
      </c>
      <c r="BP82" t="s">
        <v>74</v>
      </c>
      <c r="BQ82" t="s">
        <v>74</v>
      </c>
      <c r="BR82" t="s">
        <v>102</v>
      </c>
      <c r="BS82" t="s">
        <v>1797</v>
      </c>
      <c r="BT82" t="str">
        <f>HYPERLINK("https%3A%2F%2Fwww.webofscience.com%2Fwos%2Fwoscc%2Ffull-record%2FWOS:000298753200005","View Full Record in Web of Science")</f>
        <v>View Full Record in Web of Science</v>
      </c>
    </row>
    <row r="83" spans="1:72" x14ac:dyDescent="0.15">
      <c r="A83" t="s">
        <v>72</v>
      </c>
      <c r="B83" t="s">
        <v>1798</v>
      </c>
      <c r="C83" t="s">
        <v>74</v>
      </c>
      <c r="D83" t="s">
        <v>74</v>
      </c>
      <c r="E83" t="s">
        <v>74</v>
      </c>
      <c r="F83" t="s">
        <v>1799</v>
      </c>
      <c r="G83" t="s">
        <v>74</v>
      </c>
      <c r="H83" t="s">
        <v>74</v>
      </c>
      <c r="I83" t="s">
        <v>1800</v>
      </c>
      <c r="J83" t="s">
        <v>1759</v>
      </c>
      <c r="K83" t="s">
        <v>74</v>
      </c>
      <c r="L83" t="s">
        <v>74</v>
      </c>
      <c r="M83" t="s">
        <v>78</v>
      </c>
      <c r="N83" t="s">
        <v>79</v>
      </c>
      <c r="O83" t="s">
        <v>74</v>
      </c>
      <c r="P83" t="s">
        <v>74</v>
      </c>
      <c r="Q83" t="s">
        <v>74</v>
      </c>
      <c r="R83" t="s">
        <v>74</v>
      </c>
      <c r="S83" t="s">
        <v>74</v>
      </c>
      <c r="T83" t="s">
        <v>1801</v>
      </c>
      <c r="U83" t="s">
        <v>1802</v>
      </c>
      <c r="V83" t="s">
        <v>1803</v>
      </c>
      <c r="W83" t="s">
        <v>1804</v>
      </c>
      <c r="X83" t="s">
        <v>1805</v>
      </c>
      <c r="Y83" t="s">
        <v>1806</v>
      </c>
      <c r="Z83" t="s">
        <v>1807</v>
      </c>
      <c r="AA83" t="s">
        <v>1808</v>
      </c>
      <c r="AB83" t="s">
        <v>1809</v>
      </c>
      <c r="AC83" t="s">
        <v>1810</v>
      </c>
      <c r="AD83" t="s">
        <v>1811</v>
      </c>
      <c r="AE83" t="s">
        <v>1812</v>
      </c>
      <c r="AF83" t="s">
        <v>74</v>
      </c>
      <c r="AG83">
        <v>92</v>
      </c>
      <c r="AH83">
        <v>136</v>
      </c>
      <c r="AI83">
        <v>146</v>
      </c>
      <c r="AJ83">
        <v>0</v>
      </c>
      <c r="AK83">
        <v>39</v>
      </c>
      <c r="AL83" t="s">
        <v>250</v>
      </c>
      <c r="AM83" t="s">
        <v>413</v>
      </c>
      <c r="AN83" t="s">
        <v>490</v>
      </c>
      <c r="AO83" t="s">
        <v>1772</v>
      </c>
      <c r="AP83" t="s">
        <v>1773</v>
      </c>
      <c r="AQ83" t="s">
        <v>74</v>
      </c>
      <c r="AR83" t="s">
        <v>1774</v>
      </c>
      <c r="AS83" t="s">
        <v>1775</v>
      </c>
      <c r="AT83" t="s">
        <v>97</v>
      </c>
      <c r="AU83">
        <v>2012</v>
      </c>
      <c r="AV83">
        <v>38</v>
      </c>
      <c r="AW83" t="s">
        <v>1776</v>
      </c>
      <c r="AX83" t="s">
        <v>74</v>
      </c>
      <c r="AY83" t="s">
        <v>74</v>
      </c>
      <c r="AZ83" t="s">
        <v>74</v>
      </c>
      <c r="BA83" t="s">
        <v>74</v>
      </c>
      <c r="BB83">
        <v>323</v>
      </c>
      <c r="BC83">
        <v>347</v>
      </c>
      <c r="BD83" t="s">
        <v>74</v>
      </c>
      <c r="BE83" t="s">
        <v>1813</v>
      </c>
      <c r="BF83" t="str">
        <f>HYPERLINK("http://dx.doi.org/10.1007/s00382-010-0985-x","http://dx.doi.org/10.1007/s00382-010-0985-x")</f>
        <v>http://dx.doi.org/10.1007/s00382-010-0985-x</v>
      </c>
      <c r="BG83" t="s">
        <v>74</v>
      </c>
      <c r="BH83" t="s">
        <v>74</v>
      </c>
      <c r="BI83">
        <v>25</v>
      </c>
      <c r="BJ83" t="s">
        <v>463</v>
      </c>
      <c r="BK83" t="s">
        <v>100</v>
      </c>
      <c r="BL83" t="s">
        <v>463</v>
      </c>
      <c r="BM83" t="s">
        <v>1778</v>
      </c>
      <c r="BN83" t="s">
        <v>74</v>
      </c>
      <c r="BO83" t="s">
        <v>316</v>
      </c>
      <c r="BP83" t="s">
        <v>74</v>
      </c>
      <c r="BQ83" t="s">
        <v>74</v>
      </c>
      <c r="BR83" t="s">
        <v>102</v>
      </c>
      <c r="BS83" t="s">
        <v>1814</v>
      </c>
      <c r="BT83" t="str">
        <f>HYPERLINK("https%3A%2F%2Fwww.webofscience.com%2Fwos%2Fwoscc%2Ffull-record%2FWOS:000298753200019","View Full Record in Web of Science")</f>
        <v>View Full Record in Web of Science</v>
      </c>
    </row>
    <row r="84" spans="1:72" x14ac:dyDescent="0.15">
      <c r="A84" t="s">
        <v>72</v>
      </c>
      <c r="B84" t="s">
        <v>1815</v>
      </c>
      <c r="C84" t="s">
        <v>74</v>
      </c>
      <c r="D84" t="s">
        <v>74</v>
      </c>
      <c r="E84" t="s">
        <v>74</v>
      </c>
      <c r="F84" t="s">
        <v>1816</v>
      </c>
      <c r="G84" t="s">
        <v>74</v>
      </c>
      <c r="H84" t="s">
        <v>74</v>
      </c>
      <c r="I84" t="s">
        <v>1817</v>
      </c>
      <c r="J84" t="s">
        <v>1818</v>
      </c>
      <c r="K84" t="s">
        <v>74</v>
      </c>
      <c r="L84" t="s">
        <v>74</v>
      </c>
      <c r="M84" t="s">
        <v>78</v>
      </c>
      <c r="N84" t="s">
        <v>79</v>
      </c>
      <c r="O84" t="s">
        <v>74</v>
      </c>
      <c r="P84" t="s">
        <v>74</v>
      </c>
      <c r="Q84" t="s">
        <v>74</v>
      </c>
      <c r="R84" t="s">
        <v>74</v>
      </c>
      <c r="S84" t="s">
        <v>74</v>
      </c>
      <c r="T84" t="s">
        <v>74</v>
      </c>
      <c r="U84" t="s">
        <v>1819</v>
      </c>
      <c r="V84" t="s">
        <v>1820</v>
      </c>
      <c r="W84" t="s">
        <v>1821</v>
      </c>
      <c r="X84" t="s">
        <v>1822</v>
      </c>
      <c r="Y84" t="s">
        <v>1823</v>
      </c>
      <c r="Z84" t="s">
        <v>1824</v>
      </c>
      <c r="AA84" t="s">
        <v>1825</v>
      </c>
      <c r="AB84" t="s">
        <v>1826</v>
      </c>
      <c r="AC84" t="s">
        <v>1827</v>
      </c>
      <c r="AD84" t="s">
        <v>1828</v>
      </c>
      <c r="AE84" t="s">
        <v>1829</v>
      </c>
      <c r="AF84" t="s">
        <v>74</v>
      </c>
      <c r="AG84">
        <v>42</v>
      </c>
      <c r="AH84">
        <v>31</v>
      </c>
      <c r="AI84">
        <v>37</v>
      </c>
      <c r="AJ84">
        <v>1</v>
      </c>
      <c r="AK84">
        <v>22</v>
      </c>
      <c r="AL84" t="s">
        <v>766</v>
      </c>
      <c r="AM84" t="s">
        <v>767</v>
      </c>
      <c r="AN84" t="s">
        <v>768</v>
      </c>
      <c r="AO84" t="s">
        <v>1830</v>
      </c>
      <c r="AP84" t="s">
        <v>1831</v>
      </c>
      <c r="AQ84" t="s">
        <v>74</v>
      </c>
      <c r="AR84" t="s">
        <v>1832</v>
      </c>
      <c r="AS84" t="s">
        <v>1833</v>
      </c>
      <c r="AT84" t="s">
        <v>74</v>
      </c>
      <c r="AU84">
        <v>2012</v>
      </c>
      <c r="AV84">
        <v>8</v>
      </c>
      <c r="AW84">
        <v>1</v>
      </c>
      <c r="AX84" t="s">
        <v>74</v>
      </c>
      <c r="AY84" t="s">
        <v>74</v>
      </c>
      <c r="AZ84" t="s">
        <v>74</v>
      </c>
      <c r="BA84" t="s">
        <v>74</v>
      </c>
      <c r="BB84">
        <v>135</v>
      </c>
      <c r="BC84">
        <v>147</v>
      </c>
      <c r="BD84" t="s">
        <v>74</v>
      </c>
      <c r="BE84" t="s">
        <v>1834</v>
      </c>
      <c r="BF84" t="str">
        <f>HYPERLINK("http://dx.doi.org/10.5194/cp-8-135-2012","http://dx.doi.org/10.5194/cp-8-135-2012")</f>
        <v>http://dx.doi.org/10.5194/cp-8-135-2012</v>
      </c>
      <c r="BG84" t="s">
        <v>74</v>
      </c>
      <c r="BH84" t="s">
        <v>74</v>
      </c>
      <c r="BI84">
        <v>13</v>
      </c>
      <c r="BJ84" t="s">
        <v>1835</v>
      </c>
      <c r="BK84" t="s">
        <v>100</v>
      </c>
      <c r="BL84" t="s">
        <v>1836</v>
      </c>
      <c r="BM84" t="s">
        <v>1837</v>
      </c>
      <c r="BN84" t="s">
        <v>74</v>
      </c>
      <c r="BO84" t="s">
        <v>1838</v>
      </c>
      <c r="BP84" t="s">
        <v>74</v>
      </c>
      <c r="BQ84" t="s">
        <v>74</v>
      </c>
      <c r="BR84" t="s">
        <v>102</v>
      </c>
      <c r="BS84" t="s">
        <v>1839</v>
      </c>
      <c r="BT84" t="str">
        <f>HYPERLINK("https%3A%2F%2Fwww.webofscience.com%2Fwos%2Fwoscc%2Ffull-record%2FWOS:000300878100009","View Full Record in Web of Science")</f>
        <v>View Full Record in Web of Science</v>
      </c>
    </row>
    <row r="85" spans="1:72" x14ac:dyDescent="0.15">
      <c r="A85" t="s">
        <v>72</v>
      </c>
      <c r="B85" t="s">
        <v>1840</v>
      </c>
      <c r="C85" t="s">
        <v>74</v>
      </c>
      <c r="D85" t="s">
        <v>74</v>
      </c>
      <c r="E85" t="s">
        <v>74</v>
      </c>
      <c r="F85" t="s">
        <v>1841</v>
      </c>
      <c r="G85" t="s">
        <v>74</v>
      </c>
      <c r="H85" t="s">
        <v>74</v>
      </c>
      <c r="I85" t="s">
        <v>1842</v>
      </c>
      <c r="J85" t="s">
        <v>1818</v>
      </c>
      <c r="K85" t="s">
        <v>74</v>
      </c>
      <c r="L85" t="s">
        <v>74</v>
      </c>
      <c r="M85" t="s">
        <v>78</v>
      </c>
      <c r="N85" t="s">
        <v>79</v>
      </c>
      <c r="O85" t="s">
        <v>74</v>
      </c>
      <c r="P85" t="s">
        <v>74</v>
      </c>
      <c r="Q85" t="s">
        <v>74</v>
      </c>
      <c r="R85" t="s">
        <v>74</v>
      </c>
      <c r="S85" t="s">
        <v>74</v>
      </c>
      <c r="T85" t="s">
        <v>74</v>
      </c>
      <c r="U85" t="s">
        <v>1843</v>
      </c>
      <c r="V85" t="s">
        <v>1844</v>
      </c>
      <c r="W85" t="s">
        <v>1845</v>
      </c>
      <c r="X85" t="s">
        <v>1846</v>
      </c>
      <c r="Y85" t="s">
        <v>1847</v>
      </c>
      <c r="Z85" t="s">
        <v>1848</v>
      </c>
      <c r="AA85" t="s">
        <v>1849</v>
      </c>
      <c r="AB85" t="s">
        <v>1850</v>
      </c>
      <c r="AC85" t="s">
        <v>1851</v>
      </c>
      <c r="AD85" t="s">
        <v>1852</v>
      </c>
      <c r="AE85" t="s">
        <v>1853</v>
      </c>
      <c r="AF85" t="s">
        <v>74</v>
      </c>
      <c r="AG85">
        <v>76</v>
      </c>
      <c r="AH85">
        <v>25</v>
      </c>
      <c r="AI85">
        <v>25</v>
      </c>
      <c r="AJ85">
        <v>1</v>
      </c>
      <c r="AK85">
        <v>42</v>
      </c>
      <c r="AL85" t="s">
        <v>766</v>
      </c>
      <c r="AM85" t="s">
        <v>767</v>
      </c>
      <c r="AN85" t="s">
        <v>768</v>
      </c>
      <c r="AO85" t="s">
        <v>1830</v>
      </c>
      <c r="AP85" t="s">
        <v>1831</v>
      </c>
      <c r="AQ85" t="s">
        <v>74</v>
      </c>
      <c r="AR85" t="s">
        <v>1832</v>
      </c>
      <c r="AS85" t="s">
        <v>1833</v>
      </c>
      <c r="AT85" t="s">
        <v>74</v>
      </c>
      <c r="AU85">
        <v>2012</v>
      </c>
      <c r="AV85">
        <v>8</v>
      </c>
      <c r="AW85">
        <v>1</v>
      </c>
      <c r="AX85" t="s">
        <v>74</v>
      </c>
      <c r="AY85" t="s">
        <v>74</v>
      </c>
      <c r="AZ85" t="s">
        <v>74</v>
      </c>
      <c r="BA85" t="s">
        <v>74</v>
      </c>
      <c r="BB85">
        <v>149</v>
      </c>
      <c r="BC85">
        <v>170</v>
      </c>
      <c r="BD85" t="s">
        <v>74</v>
      </c>
      <c r="BE85" t="s">
        <v>1854</v>
      </c>
      <c r="BF85" t="str">
        <f>HYPERLINK("http://dx.doi.org/10.5194/cp-8-149-2012","http://dx.doi.org/10.5194/cp-8-149-2012")</f>
        <v>http://dx.doi.org/10.5194/cp-8-149-2012</v>
      </c>
      <c r="BG85" t="s">
        <v>74</v>
      </c>
      <c r="BH85" t="s">
        <v>74</v>
      </c>
      <c r="BI85">
        <v>22</v>
      </c>
      <c r="BJ85" t="s">
        <v>1835</v>
      </c>
      <c r="BK85" t="s">
        <v>100</v>
      </c>
      <c r="BL85" t="s">
        <v>1836</v>
      </c>
      <c r="BM85" t="s">
        <v>1837</v>
      </c>
      <c r="BN85" t="s">
        <v>74</v>
      </c>
      <c r="BO85" t="s">
        <v>1392</v>
      </c>
      <c r="BP85" t="s">
        <v>74</v>
      </c>
      <c r="BQ85" t="s">
        <v>74</v>
      </c>
      <c r="BR85" t="s">
        <v>102</v>
      </c>
      <c r="BS85" t="s">
        <v>1855</v>
      </c>
      <c r="BT85" t="str">
        <f>HYPERLINK("https%3A%2F%2Fwww.webofscience.com%2Fwos%2Fwoscc%2Ffull-record%2FWOS:000300878100010","View Full Record in Web of Science")</f>
        <v>View Full Record in Web of Science</v>
      </c>
    </row>
    <row r="86" spans="1:72" x14ac:dyDescent="0.15">
      <c r="A86" t="s">
        <v>72</v>
      </c>
      <c r="B86" t="s">
        <v>1856</v>
      </c>
      <c r="C86" t="s">
        <v>74</v>
      </c>
      <c r="D86" t="s">
        <v>74</v>
      </c>
      <c r="E86" t="s">
        <v>74</v>
      </c>
      <c r="F86" t="s">
        <v>1857</v>
      </c>
      <c r="G86" t="s">
        <v>74</v>
      </c>
      <c r="H86" t="s">
        <v>74</v>
      </c>
      <c r="I86" t="s">
        <v>1858</v>
      </c>
      <c r="J86" t="s">
        <v>1818</v>
      </c>
      <c r="K86" t="s">
        <v>74</v>
      </c>
      <c r="L86" t="s">
        <v>74</v>
      </c>
      <c r="M86" t="s">
        <v>78</v>
      </c>
      <c r="N86" t="s">
        <v>79</v>
      </c>
      <c r="O86" t="s">
        <v>74</v>
      </c>
      <c r="P86" t="s">
        <v>74</v>
      </c>
      <c r="Q86" t="s">
        <v>74</v>
      </c>
      <c r="R86" t="s">
        <v>74</v>
      </c>
      <c r="S86" t="s">
        <v>74</v>
      </c>
      <c r="T86" t="s">
        <v>74</v>
      </c>
      <c r="U86" t="s">
        <v>1859</v>
      </c>
      <c r="V86" t="s">
        <v>1860</v>
      </c>
      <c r="W86" t="s">
        <v>1861</v>
      </c>
      <c r="X86" t="s">
        <v>1862</v>
      </c>
      <c r="Y86" t="s">
        <v>1863</v>
      </c>
      <c r="Z86" t="s">
        <v>1864</v>
      </c>
      <c r="AA86" t="s">
        <v>1865</v>
      </c>
      <c r="AB86" t="s">
        <v>1866</v>
      </c>
      <c r="AC86" t="s">
        <v>1867</v>
      </c>
      <c r="AD86" t="s">
        <v>1868</v>
      </c>
      <c r="AE86" t="s">
        <v>1869</v>
      </c>
      <c r="AF86" t="s">
        <v>74</v>
      </c>
      <c r="AG86">
        <v>54</v>
      </c>
      <c r="AH86">
        <v>29</v>
      </c>
      <c r="AI86">
        <v>32</v>
      </c>
      <c r="AJ86">
        <v>0</v>
      </c>
      <c r="AK86">
        <v>36</v>
      </c>
      <c r="AL86" t="s">
        <v>766</v>
      </c>
      <c r="AM86" t="s">
        <v>767</v>
      </c>
      <c r="AN86" t="s">
        <v>768</v>
      </c>
      <c r="AO86" t="s">
        <v>1830</v>
      </c>
      <c r="AP86" t="s">
        <v>1831</v>
      </c>
      <c r="AQ86" t="s">
        <v>74</v>
      </c>
      <c r="AR86" t="s">
        <v>1832</v>
      </c>
      <c r="AS86" t="s">
        <v>1833</v>
      </c>
      <c r="AT86" t="s">
        <v>74</v>
      </c>
      <c r="AU86">
        <v>2012</v>
      </c>
      <c r="AV86">
        <v>8</v>
      </c>
      <c r="AW86">
        <v>1</v>
      </c>
      <c r="AX86" t="s">
        <v>74</v>
      </c>
      <c r="AY86" t="s">
        <v>74</v>
      </c>
      <c r="AZ86" t="s">
        <v>74</v>
      </c>
      <c r="BA86" t="s">
        <v>74</v>
      </c>
      <c r="BB86">
        <v>191</v>
      </c>
      <c r="BC86">
        <v>203</v>
      </c>
      <c r="BD86" t="s">
        <v>74</v>
      </c>
      <c r="BE86" t="s">
        <v>1870</v>
      </c>
      <c r="BF86" t="str">
        <f>HYPERLINK("http://dx.doi.org/10.5194/cp-8-191-2012","http://dx.doi.org/10.5194/cp-8-191-2012")</f>
        <v>http://dx.doi.org/10.5194/cp-8-191-2012</v>
      </c>
      <c r="BG86" t="s">
        <v>74</v>
      </c>
      <c r="BH86" t="s">
        <v>74</v>
      </c>
      <c r="BI86">
        <v>13</v>
      </c>
      <c r="BJ86" t="s">
        <v>1835</v>
      </c>
      <c r="BK86" t="s">
        <v>100</v>
      </c>
      <c r="BL86" t="s">
        <v>1836</v>
      </c>
      <c r="BM86" t="s">
        <v>1837</v>
      </c>
      <c r="BN86" t="s">
        <v>74</v>
      </c>
      <c r="BO86" t="s">
        <v>1219</v>
      </c>
      <c r="BP86" t="s">
        <v>74</v>
      </c>
      <c r="BQ86" t="s">
        <v>74</v>
      </c>
      <c r="BR86" t="s">
        <v>102</v>
      </c>
      <c r="BS86" t="s">
        <v>1871</v>
      </c>
      <c r="BT86" t="str">
        <f>HYPERLINK("https%3A%2F%2Fwww.webofscience.com%2Fwos%2Fwoscc%2Ffull-record%2FWOS:000300878100012","View Full Record in Web of Science")</f>
        <v>View Full Record in Web of Science</v>
      </c>
    </row>
    <row r="87" spans="1:72" x14ac:dyDescent="0.15">
      <c r="A87" t="s">
        <v>72</v>
      </c>
      <c r="B87" t="s">
        <v>1872</v>
      </c>
      <c r="C87" t="s">
        <v>74</v>
      </c>
      <c r="D87" t="s">
        <v>74</v>
      </c>
      <c r="E87" t="s">
        <v>74</v>
      </c>
      <c r="F87" t="s">
        <v>1873</v>
      </c>
      <c r="G87" t="s">
        <v>74</v>
      </c>
      <c r="H87" t="s">
        <v>74</v>
      </c>
      <c r="I87" t="s">
        <v>1874</v>
      </c>
      <c r="J87" t="s">
        <v>1818</v>
      </c>
      <c r="K87" t="s">
        <v>74</v>
      </c>
      <c r="L87" t="s">
        <v>74</v>
      </c>
      <c r="M87" t="s">
        <v>78</v>
      </c>
      <c r="N87" t="s">
        <v>79</v>
      </c>
      <c r="O87" t="s">
        <v>74</v>
      </c>
      <c r="P87" t="s">
        <v>74</v>
      </c>
      <c r="Q87" t="s">
        <v>74</v>
      </c>
      <c r="R87" t="s">
        <v>74</v>
      </c>
      <c r="S87" t="s">
        <v>74</v>
      </c>
      <c r="T87" t="s">
        <v>74</v>
      </c>
      <c r="U87" t="s">
        <v>1875</v>
      </c>
      <c r="V87" t="s">
        <v>1876</v>
      </c>
      <c r="W87" t="s">
        <v>1877</v>
      </c>
      <c r="X87" t="s">
        <v>1878</v>
      </c>
      <c r="Y87" t="s">
        <v>1879</v>
      </c>
      <c r="Z87" t="s">
        <v>175</v>
      </c>
      <c r="AA87" t="s">
        <v>1880</v>
      </c>
      <c r="AB87" t="s">
        <v>1881</v>
      </c>
      <c r="AC87" t="s">
        <v>1882</v>
      </c>
      <c r="AD87" t="s">
        <v>1883</v>
      </c>
      <c r="AE87" t="s">
        <v>1884</v>
      </c>
      <c r="AF87" t="s">
        <v>74</v>
      </c>
      <c r="AG87">
        <v>60</v>
      </c>
      <c r="AH87">
        <v>36</v>
      </c>
      <c r="AI87">
        <v>40</v>
      </c>
      <c r="AJ87">
        <v>1</v>
      </c>
      <c r="AK87">
        <v>32</v>
      </c>
      <c r="AL87" t="s">
        <v>766</v>
      </c>
      <c r="AM87" t="s">
        <v>767</v>
      </c>
      <c r="AN87" t="s">
        <v>768</v>
      </c>
      <c r="AO87" t="s">
        <v>1830</v>
      </c>
      <c r="AP87" t="s">
        <v>1831</v>
      </c>
      <c r="AQ87" t="s">
        <v>74</v>
      </c>
      <c r="AR87" t="s">
        <v>1832</v>
      </c>
      <c r="AS87" t="s">
        <v>1833</v>
      </c>
      <c r="AT87" t="s">
        <v>74</v>
      </c>
      <c r="AU87">
        <v>2012</v>
      </c>
      <c r="AV87">
        <v>8</v>
      </c>
      <c r="AW87">
        <v>2</v>
      </c>
      <c r="AX87" t="s">
        <v>74</v>
      </c>
      <c r="AY87" t="s">
        <v>74</v>
      </c>
      <c r="AZ87" t="s">
        <v>74</v>
      </c>
      <c r="BA87" t="s">
        <v>74</v>
      </c>
      <c r="BB87">
        <v>519</v>
      </c>
      <c r="BC87">
        <v>534</v>
      </c>
      <c r="BD87" t="s">
        <v>74</v>
      </c>
      <c r="BE87" t="s">
        <v>1885</v>
      </c>
      <c r="BF87" t="str">
        <f>HYPERLINK("http://dx.doi.org/10.5194/cp-8-519-2012","http://dx.doi.org/10.5194/cp-8-519-2012")</f>
        <v>http://dx.doi.org/10.5194/cp-8-519-2012</v>
      </c>
      <c r="BG87" t="s">
        <v>74</v>
      </c>
      <c r="BH87" t="s">
        <v>74</v>
      </c>
      <c r="BI87">
        <v>16</v>
      </c>
      <c r="BJ87" t="s">
        <v>1835</v>
      </c>
      <c r="BK87" t="s">
        <v>100</v>
      </c>
      <c r="BL87" t="s">
        <v>1836</v>
      </c>
      <c r="BM87" t="s">
        <v>1886</v>
      </c>
      <c r="BN87" t="s">
        <v>74</v>
      </c>
      <c r="BO87" t="s">
        <v>1887</v>
      </c>
      <c r="BP87" t="s">
        <v>74</v>
      </c>
      <c r="BQ87" t="s">
        <v>74</v>
      </c>
      <c r="BR87" t="s">
        <v>102</v>
      </c>
      <c r="BS87" t="s">
        <v>1888</v>
      </c>
      <c r="BT87" t="str">
        <f>HYPERLINK("https%3A%2F%2Fwww.webofscience.com%2Fwos%2Fwoscc%2Ffull-record%2FWOS:000304059700009","View Full Record in Web of Science")</f>
        <v>View Full Record in Web of Science</v>
      </c>
    </row>
    <row r="88" spans="1:72" x14ac:dyDescent="0.15">
      <c r="A88" t="s">
        <v>72</v>
      </c>
      <c r="B88" t="s">
        <v>1889</v>
      </c>
      <c r="C88" t="s">
        <v>74</v>
      </c>
      <c r="D88" t="s">
        <v>74</v>
      </c>
      <c r="E88" t="s">
        <v>74</v>
      </c>
      <c r="F88" t="s">
        <v>1890</v>
      </c>
      <c r="G88" t="s">
        <v>74</v>
      </c>
      <c r="H88" t="s">
        <v>74</v>
      </c>
      <c r="I88" t="s">
        <v>1891</v>
      </c>
      <c r="J88" t="s">
        <v>1818</v>
      </c>
      <c r="K88" t="s">
        <v>74</v>
      </c>
      <c r="L88" t="s">
        <v>74</v>
      </c>
      <c r="M88" t="s">
        <v>78</v>
      </c>
      <c r="N88" t="s">
        <v>79</v>
      </c>
      <c r="O88" t="s">
        <v>74</v>
      </c>
      <c r="P88" t="s">
        <v>74</v>
      </c>
      <c r="Q88" t="s">
        <v>74</v>
      </c>
      <c r="R88" t="s">
        <v>74</v>
      </c>
      <c r="S88" t="s">
        <v>74</v>
      </c>
      <c r="T88" t="s">
        <v>74</v>
      </c>
      <c r="U88" t="s">
        <v>1892</v>
      </c>
      <c r="V88" t="s">
        <v>1893</v>
      </c>
      <c r="W88" t="s">
        <v>1894</v>
      </c>
      <c r="X88" t="s">
        <v>1895</v>
      </c>
      <c r="Y88" t="s">
        <v>1896</v>
      </c>
      <c r="Z88" t="s">
        <v>1897</v>
      </c>
      <c r="AA88" t="s">
        <v>1898</v>
      </c>
      <c r="AB88" t="s">
        <v>1899</v>
      </c>
      <c r="AC88" t="s">
        <v>1900</v>
      </c>
      <c r="AD88" t="s">
        <v>1901</v>
      </c>
      <c r="AE88" t="s">
        <v>1902</v>
      </c>
      <c r="AF88" t="s">
        <v>74</v>
      </c>
      <c r="AG88">
        <v>85</v>
      </c>
      <c r="AH88">
        <v>27</v>
      </c>
      <c r="AI88">
        <v>27</v>
      </c>
      <c r="AJ88">
        <v>0</v>
      </c>
      <c r="AK88">
        <v>29</v>
      </c>
      <c r="AL88" t="s">
        <v>766</v>
      </c>
      <c r="AM88" t="s">
        <v>767</v>
      </c>
      <c r="AN88" t="s">
        <v>768</v>
      </c>
      <c r="AO88" t="s">
        <v>1830</v>
      </c>
      <c r="AP88" t="s">
        <v>1831</v>
      </c>
      <c r="AQ88" t="s">
        <v>74</v>
      </c>
      <c r="AR88" t="s">
        <v>1832</v>
      </c>
      <c r="AS88" t="s">
        <v>1833</v>
      </c>
      <c r="AT88" t="s">
        <v>74</v>
      </c>
      <c r="AU88">
        <v>2012</v>
      </c>
      <c r="AV88">
        <v>8</v>
      </c>
      <c r="AW88">
        <v>2</v>
      </c>
      <c r="AX88" t="s">
        <v>74</v>
      </c>
      <c r="AY88" t="s">
        <v>74</v>
      </c>
      <c r="AZ88" t="s">
        <v>74</v>
      </c>
      <c r="BA88" t="s">
        <v>74</v>
      </c>
      <c r="BB88">
        <v>545</v>
      </c>
      <c r="BC88">
        <v>563</v>
      </c>
      <c r="BD88" t="s">
        <v>74</v>
      </c>
      <c r="BE88" t="s">
        <v>1903</v>
      </c>
      <c r="BF88" t="str">
        <f>HYPERLINK("http://dx.doi.org/10.5194/cp-8-545-2012","http://dx.doi.org/10.5194/cp-8-545-2012")</f>
        <v>http://dx.doi.org/10.5194/cp-8-545-2012</v>
      </c>
      <c r="BG88" t="s">
        <v>74</v>
      </c>
      <c r="BH88" t="s">
        <v>74</v>
      </c>
      <c r="BI88">
        <v>19</v>
      </c>
      <c r="BJ88" t="s">
        <v>1835</v>
      </c>
      <c r="BK88" t="s">
        <v>100</v>
      </c>
      <c r="BL88" t="s">
        <v>1836</v>
      </c>
      <c r="BM88" t="s">
        <v>1886</v>
      </c>
      <c r="BN88" t="s">
        <v>74</v>
      </c>
      <c r="BO88" t="s">
        <v>1108</v>
      </c>
      <c r="BP88" t="s">
        <v>74</v>
      </c>
      <c r="BQ88" t="s">
        <v>74</v>
      </c>
      <c r="BR88" t="s">
        <v>102</v>
      </c>
      <c r="BS88" t="s">
        <v>1904</v>
      </c>
      <c r="BT88" t="str">
        <f>HYPERLINK("https%3A%2F%2Fwww.webofscience.com%2Fwos%2Fwoscc%2Ffull-record%2FWOS:000304059700011","View Full Record in Web of Science")</f>
        <v>View Full Record in Web of Science</v>
      </c>
    </row>
    <row r="89" spans="1:72" x14ac:dyDescent="0.15">
      <c r="A89" t="s">
        <v>72</v>
      </c>
      <c r="B89" t="s">
        <v>1905</v>
      </c>
      <c r="C89" t="s">
        <v>74</v>
      </c>
      <c r="D89" t="s">
        <v>74</v>
      </c>
      <c r="E89" t="s">
        <v>74</v>
      </c>
      <c r="F89" t="s">
        <v>1906</v>
      </c>
      <c r="G89" t="s">
        <v>74</v>
      </c>
      <c r="H89" t="s">
        <v>74</v>
      </c>
      <c r="I89" t="s">
        <v>1907</v>
      </c>
      <c r="J89" t="s">
        <v>1818</v>
      </c>
      <c r="K89" t="s">
        <v>74</v>
      </c>
      <c r="L89" t="s">
        <v>74</v>
      </c>
      <c r="M89" t="s">
        <v>78</v>
      </c>
      <c r="N89" t="s">
        <v>79</v>
      </c>
      <c r="O89" t="s">
        <v>74</v>
      </c>
      <c r="P89" t="s">
        <v>74</v>
      </c>
      <c r="Q89" t="s">
        <v>74</v>
      </c>
      <c r="R89" t="s">
        <v>74</v>
      </c>
      <c r="S89" t="s">
        <v>74</v>
      </c>
      <c r="T89" t="s">
        <v>74</v>
      </c>
      <c r="U89" t="s">
        <v>1908</v>
      </c>
      <c r="V89" t="s">
        <v>1909</v>
      </c>
      <c r="W89" t="s">
        <v>1910</v>
      </c>
      <c r="X89" t="s">
        <v>1911</v>
      </c>
      <c r="Y89" t="s">
        <v>1912</v>
      </c>
      <c r="Z89" t="s">
        <v>1913</v>
      </c>
      <c r="AA89" t="s">
        <v>1914</v>
      </c>
      <c r="AB89" t="s">
        <v>1915</v>
      </c>
      <c r="AC89" t="s">
        <v>1916</v>
      </c>
      <c r="AD89" t="s">
        <v>1917</v>
      </c>
      <c r="AE89" t="s">
        <v>1918</v>
      </c>
      <c r="AF89" t="s">
        <v>74</v>
      </c>
      <c r="AG89">
        <v>59</v>
      </c>
      <c r="AH89">
        <v>133</v>
      </c>
      <c r="AI89">
        <v>142</v>
      </c>
      <c r="AJ89">
        <v>0</v>
      </c>
      <c r="AK89">
        <v>55</v>
      </c>
      <c r="AL89" t="s">
        <v>766</v>
      </c>
      <c r="AM89" t="s">
        <v>767</v>
      </c>
      <c r="AN89" t="s">
        <v>768</v>
      </c>
      <c r="AO89" t="s">
        <v>1830</v>
      </c>
      <c r="AP89" t="s">
        <v>1831</v>
      </c>
      <c r="AQ89" t="s">
        <v>74</v>
      </c>
      <c r="AR89" t="s">
        <v>1832</v>
      </c>
      <c r="AS89" t="s">
        <v>1833</v>
      </c>
      <c r="AT89" t="s">
        <v>74</v>
      </c>
      <c r="AU89">
        <v>2012</v>
      </c>
      <c r="AV89">
        <v>8</v>
      </c>
      <c r="AW89">
        <v>2</v>
      </c>
      <c r="AX89" t="s">
        <v>74</v>
      </c>
      <c r="AY89" t="s">
        <v>74</v>
      </c>
      <c r="AZ89" t="s">
        <v>74</v>
      </c>
      <c r="BA89" t="s">
        <v>74</v>
      </c>
      <c r="BB89">
        <v>609</v>
      </c>
      <c r="BC89">
        <v>623</v>
      </c>
      <c r="BD89" t="s">
        <v>74</v>
      </c>
      <c r="BE89" t="s">
        <v>1919</v>
      </c>
      <c r="BF89" t="str">
        <f>HYPERLINK("http://dx.doi.org/10.5194/cp-8-609-2012","http://dx.doi.org/10.5194/cp-8-609-2012")</f>
        <v>http://dx.doi.org/10.5194/cp-8-609-2012</v>
      </c>
      <c r="BG89" t="s">
        <v>74</v>
      </c>
      <c r="BH89" t="s">
        <v>74</v>
      </c>
      <c r="BI89">
        <v>15</v>
      </c>
      <c r="BJ89" t="s">
        <v>1835</v>
      </c>
      <c r="BK89" t="s">
        <v>100</v>
      </c>
      <c r="BL89" t="s">
        <v>1836</v>
      </c>
      <c r="BM89" t="s">
        <v>1886</v>
      </c>
      <c r="BN89" t="s">
        <v>74</v>
      </c>
      <c r="BO89" t="s">
        <v>1920</v>
      </c>
      <c r="BP89" t="s">
        <v>74</v>
      </c>
      <c r="BQ89" t="s">
        <v>74</v>
      </c>
      <c r="BR89" t="s">
        <v>102</v>
      </c>
      <c r="BS89" t="s">
        <v>1921</v>
      </c>
      <c r="BT89" t="str">
        <f>HYPERLINK("https%3A%2F%2Fwww.webofscience.com%2Fwos%2Fwoscc%2Ffull-record%2FWOS:000304059700015","View Full Record in Web of Science")</f>
        <v>View Full Record in Web of Science</v>
      </c>
    </row>
    <row r="90" spans="1:72" x14ac:dyDescent="0.15">
      <c r="A90" t="s">
        <v>72</v>
      </c>
      <c r="B90" t="s">
        <v>1922</v>
      </c>
      <c r="C90" t="s">
        <v>74</v>
      </c>
      <c r="D90" t="s">
        <v>74</v>
      </c>
      <c r="E90" t="s">
        <v>74</v>
      </c>
      <c r="F90" t="s">
        <v>1923</v>
      </c>
      <c r="G90" t="s">
        <v>74</v>
      </c>
      <c r="H90" t="s">
        <v>74</v>
      </c>
      <c r="I90" t="s">
        <v>1924</v>
      </c>
      <c r="J90" t="s">
        <v>1818</v>
      </c>
      <c r="K90" t="s">
        <v>74</v>
      </c>
      <c r="L90" t="s">
        <v>74</v>
      </c>
      <c r="M90" t="s">
        <v>78</v>
      </c>
      <c r="N90" t="s">
        <v>79</v>
      </c>
      <c r="O90" t="s">
        <v>74</v>
      </c>
      <c r="P90" t="s">
        <v>74</v>
      </c>
      <c r="Q90" t="s">
        <v>74</v>
      </c>
      <c r="R90" t="s">
        <v>74</v>
      </c>
      <c r="S90" t="s">
        <v>74</v>
      </c>
      <c r="T90" t="s">
        <v>74</v>
      </c>
      <c r="U90" t="s">
        <v>1925</v>
      </c>
      <c r="V90" t="s">
        <v>1926</v>
      </c>
      <c r="W90" t="s">
        <v>1927</v>
      </c>
      <c r="X90" t="s">
        <v>1928</v>
      </c>
      <c r="Y90" t="s">
        <v>1929</v>
      </c>
      <c r="Z90" t="s">
        <v>1930</v>
      </c>
      <c r="AA90" t="s">
        <v>1931</v>
      </c>
      <c r="AB90" t="s">
        <v>1932</v>
      </c>
      <c r="AC90" t="s">
        <v>1933</v>
      </c>
      <c r="AD90" t="s">
        <v>1934</v>
      </c>
      <c r="AE90" t="s">
        <v>1935</v>
      </c>
      <c r="AF90" t="s">
        <v>74</v>
      </c>
      <c r="AG90">
        <v>37</v>
      </c>
      <c r="AH90">
        <v>42</v>
      </c>
      <c r="AI90">
        <v>49</v>
      </c>
      <c r="AJ90">
        <v>1</v>
      </c>
      <c r="AK90">
        <v>49</v>
      </c>
      <c r="AL90" t="s">
        <v>766</v>
      </c>
      <c r="AM90" t="s">
        <v>767</v>
      </c>
      <c r="AN90" t="s">
        <v>768</v>
      </c>
      <c r="AO90" t="s">
        <v>1830</v>
      </c>
      <c r="AP90" t="s">
        <v>1831</v>
      </c>
      <c r="AQ90" t="s">
        <v>74</v>
      </c>
      <c r="AR90" t="s">
        <v>1832</v>
      </c>
      <c r="AS90" t="s">
        <v>1833</v>
      </c>
      <c r="AT90" t="s">
        <v>74</v>
      </c>
      <c r="AU90">
        <v>2012</v>
      </c>
      <c r="AV90">
        <v>8</v>
      </c>
      <c r="AW90">
        <v>2</v>
      </c>
      <c r="AX90" t="s">
        <v>74</v>
      </c>
      <c r="AY90" t="s">
        <v>74</v>
      </c>
      <c r="AZ90" t="s">
        <v>74</v>
      </c>
      <c r="BA90" t="s">
        <v>74</v>
      </c>
      <c r="BB90">
        <v>741</v>
      </c>
      <c r="BC90">
        <v>750</v>
      </c>
      <c r="BD90" t="s">
        <v>74</v>
      </c>
      <c r="BE90" t="s">
        <v>1936</v>
      </c>
      <c r="BF90" t="str">
        <f>HYPERLINK("http://dx.doi.org/10.5194/cp-8-741-2012","http://dx.doi.org/10.5194/cp-8-741-2012")</f>
        <v>http://dx.doi.org/10.5194/cp-8-741-2012</v>
      </c>
      <c r="BG90" t="s">
        <v>74</v>
      </c>
      <c r="BH90" t="s">
        <v>74</v>
      </c>
      <c r="BI90">
        <v>10</v>
      </c>
      <c r="BJ90" t="s">
        <v>1835</v>
      </c>
      <c r="BK90" t="s">
        <v>100</v>
      </c>
      <c r="BL90" t="s">
        <v>1836</v>
      </c>
      <c r="BM90" t="s">
        <v>1886</v>
      </c>
      <c r="BN90" t="s">
        <v>74</v>
      </c>
      <c r="BO90" t="s">
        <v>1237</v>
      </c>
      <c r="BP90" t="s">
        <v>74</v>
      </c>
      <c r="BQ90" t="s">
        <v>74</v>
      </c>
      <c r="BR90" t="s">
        <v>102</v>
      </c>
      <c r="BS90" t="s">
        <v>1937</v>
      </c>
      <c r="BT90" t="str">
        <f>HYPERLINK("https%3A%2F%2Fwww.webofscience.com%2Fwos%2Fwoscc%2Ffull-record%2FWOS:000304059700024","View Full Record in Web of Science")</f>
        <v>View Full Record in Web of Science</v>
      </c>
    </row>
    <row r="91" spans="1:72" x14ac:dyDescent="0.15">
      <c r="A91" t="s">
        <v>72</v>
      </c>
      <c r="B91" t="s">
        <v>1938</v>
      </c>
      <c r="C91" t="s">
        <v>74</v>
      </c>
      <c r="D91" t="s">
        <v>74</v>
      </c>
      <c r="E91" t="s">
        <v>74</v>
      </c>
      <c r="F91" t="s">
        <v>1939</v>
      </c>
      <c r="G91" t="s">
        <v>74</v>
      </c>
      <c r="H91" t="s">
        <v>74</v>
      </c>
      <c r="I91" t="s">
        <v>1940</v>
      </c>
      <c r="J91" t="s">
        <v>1818</v>
      </c>
      <c r="K91" t="s">
        <v>74</v>
      </c>
      <c r="L91" t="s">
        <v>74</v>
      </c>
      <c r="M91" t="s">
        <v>78</v>
      </c>
      <c r="N91" t="s">
        <v>79</v>
      </c>
      <c r="O91" t="s">
        <v>74</v>
      </c>
      <c r="P91" t="s">
        <v>74</v>
      </c>
      <c r="Q91" t="s">
        <v>74</v>
      </c>
      <c r="R91" t="s">
        <v>74</v>
      </c>
      <c r="S91" t="s">
        <v>74</v>
      </c>
      <c r="T91" t="s">
        <v>74</v>
      </c>
      <c r="U91" t="s">
        <v>1941</v>
      </c>
      <c r="V91" t="s">
        <v>1942</v>
      </c>
      <c r="W91" t="s">
        <v>1943</v>
      </c>
      <c r="X91" t="s">
        <v>1944</v>
      </c>
      <c r="Y91" t="s">
        <v>1945</v>
      </c>
      <c r="Z91" t="s">
        <v>1946</v>
      </c>
      <c r="AA91" t="s">
        <v>1947</v>
      </c>
      <c r="AB91" t="s">
        <v>1948</v>
      </c>
      <c r="AC91" t="s">
        <v>1949</v>
      </c>
      <c r="AD91" t="s">
        <v>1950</v>
      </c>
      <c r="AE91" t="s">
        <v>1951</v>
      </c>
      <c r="AF91" t="s">
        <v>74</v>
      </c>
      <c r="AG91">
        <v>37</v>
      </c>
      <c r="AH91">
        <v>67</v>
      </c>
      <c r="AI91">
        <v>71</v>
      </c>
      <c r="AJ91">
        <v>1</v>
      </c>
      <c r="AK91">
        <v>33</v>
      </c>
      <c r="AL91" t="s">
        <v>766</v>
      </c>
      <c r="AM91" t="s">
        <v>767</v>
      </c>
      <c r="AN91" t="s">
        <v>768</v>
      </c>
      <c r="AO91" t="s">
        <v>1830</v>
      </c>
      <c r="AP91" t="s">
        <v>1831</v>
      </c>
      <c r="AQ91" t="s">
        <v>74</v>
      </c>
      <c r="AR91" t="s">
        <v>1832</v>
      </c>
      <c r="AS91" t="s">
        <v>1833</v>
      </c>
      <c r="AT91" t="s">
        <v>74</v>
      </c>
      <c r="AU91">
        <v>2012</v>
      </c>
      <c r="AV91">
        <v>8</v>
      </c>
      <c r="AW91">
        <v>3</v>
      </c>
      <c r="AX91" t="s">
        <v>74</v>
      </c>
      <c r="AY91" t="s">
        <v>74</v>
      </c>
      <c r="AZ91" t="s">
        <v>74</v>
      </c>
      <c r="BA91" t="s">
        <v>74</v>
      </c>
      <c r="BB91">
        <v>877</v>
      </c>
      <c r="BC91">
        <v>887</v>
      </c>
      <c r="BD91" t="s">
        <v>74</v>
      </c>
      <c r="BE91" t="s">
        <v>1952</v>
      </c>
      <c r="BF91" t="str">
        <f>HYPERLINK("http://dx.doi.org/10.5194/cp-8-877-2012","http://dx.doi.org/10.5194/cp-8-877-2012")</f>
        <v>http://dx.doi.org/10.5194/cp-8-877-2012</v>
      </c>
      <c r="BG91" t="s">
        <v>74</v>
      </c>
      <c r="BH91" t="s">
        <v>74</v>
      </c>
      <c r="BI91">
        <v>11</v>
      </c>
      <c r="BJ91" t="s">
        <v>1835</v>
      </c>
      <c r="BK91" t="s">
        <v>100</v>
      </c>
      <c r="BL91" t="s">
        <v>1836</v>
      </c>
      <c r="BM91" t="s">
        <v>1953</v>
      </c>
      <c r="BN91" t="s">
        <v>74</v>
      </c>
      <c r="BO91" t="s">
        <v>1237</v>
      </c>
      <c r="BP91" t="s">
        <v>74</v>
      </c>
      <c r="BQ91" t="s">
        <v>74</v>
      </c>
      <c r="BR91" t="s">
        <v>102</v>
      </c>
      <c r="BS91" t="s">
        <v>1954</v>
      </c>
      <c r="BT91" t="str">
        <f>HYPERLINK("https%3A%2F%2Fwww.webofscience.com%2Fwos%2Fwoscc%2Ffull-record%2FWOS:000305830200001","View Full Record in Web of Science")</f>
        <v>View Full Record in Web of Science</v>
      </c>
    </row>
    <row r="92" spans="1:72" x14ac:dyDescent="0.15">
      <c r="A92" t="s">
        <v>72</v>
      </c>
      <c r="B92" t="s">
        <v>1955</v>
      </c>
      <c r="C92" t="s">
        <v>74</v>
      </c>
      <c r="D92" t="s">
        <v>74</v>
      </c>
      <c r="E92" t="s">
        <v>74</v>
      </c>
      <c r="F92" t="s">
        <v>1956</v>
      </c>
      <c r="G92" t="s">
        <v>74</v>
      </c>
      <c r="H92" t="s">
        <v>74</v>
      </c>
      <c r="I92" t="s">
        <v>1957</v>
      </c>
      <c r="J92" t="s">
        <v>1818</v>
      </c>
      <c r="K92" t="s">
        <v>74</v>
      </c>
      <c r="L92" t="s">
        <v>74</v>
      </c>
      <c r="M92" t="s">
        <v>78</v>
      </c>
      <c r="N92" t="s">
        <v>79</v>
      </c>
      <c r="O92" t="s">
        <v>74</v>
      </c>
      <c r="P92" t="s">
        <v>74</v>
      </c>
      <c r="Q92" t="s">
        <v>74</v>
      </c>
      <c r="R92" t="s">
        <v>74</v>
      </c>
      <c r="S92" t="s">
        <v>74</v>
      </c>
      <c r="T92" t="s">
        <v>74</v>
      </c>
      <c r="U92" t="s">
        <v>1958</v>
      </c>
      <c r="V92" t="s">
        <v>1959</v>
      </c>
      <c r="W92" t="s">
        <v>1960</v>
      </c>
      <c r="X92" t="s">
        <v>1961</v>
      </c>
      <c r="Y92" t="s">
        <v>1962</v>
      </c>
      <c r="Z92" t="s">
        <v>1963</v>
      </c>
      <c r="AA92" t="s">
        <v>1964</v>
      </c>
      <c r="AB92" t="s">
        <v>1965</v>
      </c>
      <c r="AC92" t="s">
        <v>1966</v>
      </c>
      <c r="AD92" t="s">
        <v>1967</v>
      </c>
      <c r="AE92" t="s">
        <v>1968</v>
      </c>
      <c r="AF92" t="s">
        <v>74</v>
      </c>
      <c r="AG92">
        <v>54</v>
      </c>
      <c r="AH92">
        <v>33</v>
      </c>
      <c r="AI92">
        <v>37</v>
      </c>
      <c r="AJ92">
        <v>1</v>
      </c>
      <c r="AK92">
        <v>43</v>
      </c>
      <c r="AL92" t="s">
        <v>766</v>
      </c>
      <c r="AM92" t="s">
        <v>767</v>
      </c>
      <c r="AN92" t="s">
        <v>768</v>
      </c>
      <c r="AO92" t="s">
        <v>1830</v>
      </c>
      <c r="AP92" t="s">
        <v>1831</v>
      </c>
      <c r="AQ92" t="s">
        <v>74</v>
      </c>
      <c r="AR92" t="s">
        <v>1832</v>
      </c>
      <c r="AS92" t="s">
        <v>1833</v>
      </c>
      <c r="AT92" t="s">
        <v>74</v>
      </c>
      <c r="AU92">
        <v>2012</v>
      </c>
      <c r="AV92">
        <v>8</v>
      </c>
      <c r="AW92">
        <v>3</v>
      </c>
      <c r="AX92" t="s">
        <v>74</v>
      </c>
      <c r="AY92" t="s">
        <v>74</v>
      </c>
      <c r="AZ92" t="s">
        <v>74</v>
      </c>
      <c r="BA92" t="s">
        <v>74</v>
      </c>
      <c r="BB92">
        <v>1031</v>
      </c>
      <c r="BC92">
        <v>1045</v>
      </c>
      <c r="BD92" t="s">
        <v>74</v>
      </c>
      <c r="BE92" t="s">
        <v>1969</v>
      </c>
      <c r="BF92" t="str">
        <f>HYPERLINK("http://dx.doi.org/10.5194/cp-8-1031-2012","http://dx.doi.org/10.5194/cp-8-1031-2012")</f>
        <v>http://dx.doi.org/10.5194/cp-8-1031-2012</v>
      </c>
      <c r="BG92" t="s">
        <v>74</v>
      </c>
      <c r="BH92" t="s">
        <v>74</v>
      </c>
      <c r="BI92">
        <v>15</v>
      </c>
      <c r="BJ92" t="s">
        <v>1835</v>
      </c>
      <c r="BK92" t="s">
        <v>100</v>
      </c>
      <c r="BL92" t="s">
        <v>1836</v>
      </c>
      <c r="BM92" t="s">
        <v>1953</v>
      </c>
      <c r="BN92" t="s">
        <v>74</v>
      </c>
      <c r="BO92" t="s">
        <v>1970</v>
      </c>
      <c r="BP92" t="s">
        <v>74</v>
      </c>
      <c r="BQ92" t="s">
        <v>74</v>
      </c>
      <c r="BR92" t="s">
        <v>102</v>
      </c>
      <c r="BS92" t="s">
        <v>1971</v>
      </c>
      <c r="BT92" t="str">
        <f>HYPERLINK("https%3A%2F%2Fwww.webofscience.com%2Fwos%2Fwoscc%2Ffull-record%2FWOS:000305830200012","View Full Record in Web of Science")</f>
        <v>View Full Record in Web of Science</v>
      </c>
    </row>
    <row r="93" spans="1:72" x14ac:dyDescent="0.15">
      <c r="A93" t="s">
        <v>72</v>
      </c>
      <c r="B93" t="s">
        <v>1972</v>
      </c>
      <c r="C93" t="s">
        <v>74</v>
      </c>
      <c r="D93" t="s">
        <v>74</v>
      </c>
      <c r="E93" t="s">
        <v>74</v>
      </c>
      <c r="F93" t="s">
        <v>1973</v>
      </c>
      <c r="G93" t="s">
        <v>74</v>
      </c>
      <c r="H93" t="s">
        <v>74</v>
      </c>
      <c r="I93" t="s">
        <v>1974</v>
      </c>
      <c r="J93" t="s">
        <v>1818</v>
      </c>
      <c r="K93" t="s">
        <v>74</v>
      </c>
      <c r="L93" t="s">
        <v>74</v>
      </c>
      <c r="M93" t="s">
        <v>78</v>
      </c>
      <c r="N93" t="s">
        <v>79</v>
      </c>
      <c r="O93" t="s">
        <v>74</v>
      </c>
      <c r="P93" t="s">
        <v>74</v>
      </c>
      <c r="Q93" t="s">
        <v>74</v>
      </c>
      <c r="R93" t="s">
        <v>74</v>
      </c>
      <c r="S93" t="s">
        <v>74</v>
      </c>
      <c r="T93" t="s">
        <v>74</v>
      </c>
      <c r="U93" t="s">
        <v>1975</v>
      </c>
      <c r="V93" t="s">
        <v>1976</v>
      </c>
      <c r="W93" t="s">
        <v>1977</v>
      </c>
      <c r="X93" t="s">
        <v>1978</v>
      </c>
      <c r="Y93" t="s">
        <v>1979</v>
      </c>
      <c r="Z93" t="s">
        <v>1980</v>
      </c>
      <c r="AA93" t="s">
        <v>1981</v>
      </c>
      <c r="AB93" t="s">
        <v>1982</v>
      </c>
      <c r="AC93" t="s">
        <v>1983</v>
      </c>
      <c r="AD93" t="s">
        <v>1984</v>
      </c>
      <c r="AE93" t="s">
        <v>1985</v>
      </c>
      <c r="AF93" t="s">
        <v>74</v>
      </c>
      <c r="AG93">
        <v>71</v>
      </c>
      <c r="AH93">
        <v>57</v>
      </c>
      <c r="AI93">
        <v>59</v>
      </c>
      <c r="AJ93">
        <v>0</v>
      </c>
      <c r="AK93">
        <v>60</v>
      </c>
      <c r="AL93" t="s">
        <v>766</v>
      </c>
      <c r="AM93" t="s">
        <v>767</v>
      </c>
      <c r="AN93" t="s">
        <v>768</v>
      </c>
      <c r="AO93" t="s">
        <v>1830</v>
      </c>
      <c r="AP93" t="s">
        <v>1831</v>
      </c>
      <c r="AQ93" t="s">
        <v>74</v>
      </c>
      <c r="AR93" t="s">
        <v>1832</v>
      </c>
      <c r="AS93" t="s">
        <v>1833</v>
      </c>
      <c r="AT93" t="s">
        <v>74</v>
      </c>
      <c r="AU93">
        <v>2012</v>
      </c>
      <c r="AV93">
        <v>8</v>
      </c>
      <c r="AW93">
        <v>4</v>
      </c>
      <c r="AX93" t="s">
        <v>74</v>
      </c>
      <c r="AY93" t="s">
        <v>74</v>
      </c>
      <c r="AZ93" t="s">
        <v>74</v>
      </c>
      <c r="BA93" t="s">
        <v>74</v>
      </c>
      <c r="BB93">
        <v>1223</v>
      </c>
      <c r="BC93">
        <v>1238</v>
      </c>
      <c r="BD93" t="s">
        <v>74</v>
      </c>
      <c r="BE93" t="s">
        <v>1986</v>
      </c>
      <c r="BF93" t="str">
        <f>HYPERLINK("http://dx.doi.org/10.5194/cp-8-1223-2012","http://dx.doi.org/10.5194/cp-8-1223-2012")</f>
        <v>http://dx.doi.org/10.5194/cp-8-1223-2012</v>
      </c>
      <c r="BG93" t="s">
        <v>74</v>
      </c>
      <c r="BH93" t="s">
        <v>74</v>
      </c>
      <c r="BI93">
        <v>16</v>
      </c>
      <c r="BJ93" t="s">
        <v>1835</v>
      </c>
      <c r="BK93" t="s">
        <v>100</v>
      </c>
      <c r="BL93" t="s">
        <v>1836</v>
      </c>
      <c r="BM93" t="s">
        <v>1987</v>
      </c>
      <c r="BN93" t="s">
        <v>74</v>
      </c>
      <c r="BO93" t="s">
        <v>1988</v>
      </c>
      <c r="BP93" t="s">
        <v>74</v>
      </c>
      <c r="BQ93" t="s">
        <v>74</v>
      </c>
      <c r="BR93" t="s">
        <v>102</v>
      </c>
      <c r="BS93" t="s">
        <v>1989</v>
      </c>
      <c r="BT93" t="str">
        <f>HYPERLINK("https%3A%2F%2Fwww.webofscience.com%2Fwos%2Fwoscc%2Ffull-record%2FWOS:000308244600008","View Full Record in Web of Science")</f>
        <v>View Full Record in Web of Science</v>
      </c>
    </row>
    <row r="94" spans="1:72" x14ac:dyDescent="0.15">
      <c r="A94" t="s">
        <v>72</v>
      </c>
      <c r="B94" t="s">
        <v>1990</v>
      </c>
      <c r="C94" t="s">
        <v>74</v>
      </c>
      <c r="D94" t="s">
        <v>74</v>
      </c>
      <c r="E94" t="s">
        <v>74</v>
      </c>
      <c r="F94" t="s">
        <v>1991</v>
      </c>
      <c r="G94" t="s">
        <v>74</v>
      </c>
      <c r="H94" t="s">
        <v>74</v>
      </c>
      <c r="I94" t="s">
        <v>1992</v>
      </c>
      <c r="J94" t="s">
        <v>1818</v>
      </c>
      <c r="K94" t="s">
        <v>74</v>
      </c>
      <c r="L94" t="s">
        <v>74</v>
      </c>
      <c r="M94" t="s">
        <v>78</v>
      </c>
      <c r="N94" t="s">
        <v>79</v>
      </c>
      <c r="O94" t="s">
        <v>74</v>
      </c>
      <c r="P94" t="s">
        <v>74</v>
      </c>
      <c r="Q94" t="s">
        <v>74</v>
      </c>
      <c r="R94" t="s">
        <v>74</v>
      </c>
      <c r="S94" t="s">
        <v>74</v>
      </c>
      <c r="T94" t="s">
        <v>74</v>
      </c>
      <c r="U94" t="s">
        <v>1993</v>
      </c>
      <c r="V94" t="s">
        <v>1994</v>
      </c>
      <c r="W94" t="s">
        <v>1995</v>
      </c>
      <c r="X94" t="s">
        <v>1996</v>
      </c>
      <c r="Y94" t="s">
        <v>1997</v>
      </c>
      <c r="Z94" t="s">
        <v>1998</v>
      </c>
      <c r="AA94" t="s">
        <v>1999</v>
      </c>
      <c r="AB94" t="s">
        <v>2000</v>
      </c>
      <c r="AC94" t="s">
        <v>2001</v>
      </c>
      <c r="AD94" t="s">
        <v>2002</v>
      </c>
      <c r="AE94" t="s">
        <v>2003</v>
      </c>
      <c r="AF94" t="s">
        <v>74</v>
      </c>
      <c r="AG94">
        <v>55</v>
      </c>
      <c r="AH94">
        <v>34</v>
      </c>
      <c r="AI94">
        <v>35</v>
      </c>
      <c r="AJ94">
        <v>0</v>
      </c>
      <c r="AK94">
        <v>16</v>
      </c>
      <c r="AL94" t="s">
        <v>766</v>
      </c>
      <c r="AM94" t="s">
        <v>767</v>
      </c>
      <c r="AN94" t="s">
        <v>768</v>
      </c>
      <c r="AO94" t="s">
        <v>1830</v>
      </c>
      <c r="AP94" t="s">
        <v>1831</v>
      </c>
      <c r="AQ94" t="s">
        <v>74</v>
      </c>
      <c r="AR94" t="s">
        <v>1832</v>
      </c>
      <c r="AS94" t="s">
        <v>1833</v>
      </c>
      <c r="AT94" t="s">
        <v>74</v>
      </c>
      <c r="AU94">
        <v>2012</v>
      </c>
      <c r="AV94">
        <v>8</v>
      </c>
      <c r="AW94">
        <v>4</v>
      </c>
      <c r="AX94" t="s">
        <v>74</v>
      </c>
      <c r="AY94" t="s">
        <v>74</v>
      </c>
      <c r="AZ94" t="s">
        <v>74</v>
      </c>
      <c r="BA94" t="s">
        <v>74</v>
      </c>
      <c r="BB94">
        <v>1287</v>
      </c>
      <c r="BC94">
        <v>1300</v>
      </c>
      <c r="BD94" t="s">
        <v>74</v>
      </c>
      <c r="BE94" t="s">
        <v>2004</v>
      </c>
      <c r="BF94" t="str">
        <f>HYPERLINK("http://dx.doi.org/10.5194/cp-8-1287-2012","http://dx.doi.org/10.5194/cp-8-1287-2012")</f>
        <v>http://dx.doi.org/10.5194/cp-8-1287-2012</v>
      </c>
      <c r="BG94" t="s">
        <v>74</v>
      </c>
      <c r="BH94" t="s">
        <v>74</v>
      </c>
      <c r="BI94">
        <v>14</v>
      </c>
      <c r="BJ94" t="s">
        <v>1835</v>
      </c>
      <c r="BK94" t="s">
        <v>100</v>
      </c>
      <c r="BL94" t="s">
        <v>1836</v>
      </c>
      <c r="BM94" t="s">
        <v>1987</v>
      </c>
      <c r="BN94" t="s">
        <v>74</v>
      </c>
      <c r="BO94" t="s">
        <v>1108</v>
      </c>
      <c r="BP94" t="s">
        <v>74</v>
      </c>
      <c r="BQ94" t="s">
        <v>74</v>
      </c>
      <c r="BR94" t="s">
        <v>102</v>
      </c>
      <c r="BS94" t="s">
        <v>2005</v>
      </c>
      <c r="BT94" t="str">
        <f>HYPERLINK("https%3A%2F%2Fwww.webofscience.com%2Fwos%2Fwoscc%2Ffull-record%2FWOS:000308244600011","View Full Record in Web of Science")</f>
        <v>View Full Record in Web of Science</v>
      </c>
    </row>
    <row r="95" spans="1:72" x14ac:dyDescent="0.15">
      <c r="A95" t="s">
        <v>72</v>
      </c>
      <c r="B95" t="s">
        <v>2006</v>
      </c>
      <c r="C95" t="s">
        <v>74</v>
      </c>
      <c r="D95" t="s">
        <v>74</v>
      </c>
      <c r="E95" t="s">
        <v>74</v>
      </c>
      <c r="F95" t="s">
        <v>2007</v>
      </c>
      <c r="G95" t="s">
        <v>74</v>
      </c>
      <c r="H95" t="s">
        <v>74</v>
      </c>
      <c r="I95" t="s">
        <v>2008</v>
      </c>
      <c r="J95" t="s">
        <v>1818</v>
      </c>
      <c r="K95" t="s">
        <v>74</v>
      </c>
      <c r="L95" t="s">
        <v>74</v>
      </c>
      <c r="M95" t="s">
        <v>78</v>
      </c>
      <c r="N95" t="s">
        <v>79</v>
      </c>
      <c r="O95" t="s">
        <v>74</v>
      </c>
      <c r="P95" t="s">
        <v>74</v>
      </c>
      <c r="Q95" t="s">
        <v>74</v>
      </c>
      <c r="R95" t="s">
        <v>74</v>
      </c>
      <c r="S95" t="s">
        <v>74</v>
      </c>
      <c r="T95" t="s">
        <v>74</v>
      </c>
      <c r="U95" t="s">
        <v>2009</v>
      </c>
      <c r="V95" t="s">
        <v>2010</v>
      </c>
      <c r="W95" t="s">
        <v>2011</v>
      </c>
      <c r="X95" t="s">
        <v>2012</v>
      </c>
      <c r="Y95" t="s">
        <v>2013</v>
      </c>
      <c r="Z95" t="s">
        <v>2014</v>
      </c>
      <c r="AA95" t="s">
        <v>2015</v>
      </c>
      <c r="AB95" t="s">
        <v>2016</v>
      </c>
      <c r="AC95" t="s">
        <v>2017</v>
      </c>
      <c r="AD95" t="s">
        <v>2018</v>
      </c>
      <c r="AE95" t="s">
        <v>2019</v>
      </c>
      <c r="AF95" t="s">
        <v>74</v>
      </c>
      <c r="AG95">
        <v>71</v>
      </c>
      <c r="AH95">
        <v>64</v>
      </c>
      <c r="AI95">
        <v>66</v>
      </c>
      <c r="AJ95">
        <v>0</v>
      </c>
      <c r="AK95">
        <v>55</v>
      </c>
      <c r="AL95" t="s">
        <v>766</v>
      </c>
      <c r="AM95" t="s">
        <v>767</v>
      </c>
      <c r="AN95" t="s">
        <v>768</v>
      </c>
      <c r="AO95" t="s">
        <v>1830</v>
      </c>
      <c r="AP95" t="s">
        <v>1831</v>
      </c>
      <c r="AQ95" t="s">
        <v>74</v>
      </c>
      <c r="AR95" t="s">
        <v>1832</v>
      </c>
      <c r="AS95" t="s">
        <v>1833</v>
      </c>
      <c r="AT95" t="s">
        <v>74</v>
      </c>
      <c r="AU95">
        <v>2012</v>
      </c>
      <c r="AV95">
        <v>8</v>
      </c>
      <c r="AW95">
        <v>5</v>
      </c>
      <c r="AX95" t="s">
        <v>74</v>
      </c>
      <c r="AY95" t="s">
        <v>74</v>
      </c>
      <c r="AZ95" t="s">
        <v>74</v>
      </c>
      <c r="BA95" t="s">
        <v>74</v>
      </c>
      <c r="BB95">
        <v>1473</v>
      </c>
      <c r="BC95">
        <v>1485</v>
      </c>
      <c r="BD95" t="s">
        <v>74</v>
      </c>
      <c r="BE95" t="s">
        <v>2020</v>
      </c>
      <c r="BF95" t="str">
        <f>HYPERLINK("http://dx.doi.org/10.5194/cp-8-1473-2012","http://dx.doi.org/10.5194/cp-8-1473-2012")</f>
        <v>http://dx.doi.org/10.5194/cp-8-1473-2012</v>
      </c>
      <c r="BG95" t="s">
        <v>74</v>
      </c>
      <c r="BH95" t="s">
        <v>74</v>
      </c>
      <c r="BI95">
        <v>13</v>
      </c>
      <c r="BJ95" t="s">
        <v>1835</v>
      </c>
      <c r="BK95" t="s">
        <v>100</v>
      </c>
      <c r="BL95" t="s">
        <v>1836</v>
      </c>
      <c r="BM95" t="s">
        <v>2021</v>
      </c>
      <c r="BN95" t="s">
        <v>74</v>
      </c>
      <c r="BO95" t="s">
        <v>1326</v>
      </c>
      <c r="BP95" t="s">
        <v>74</v>
      </c>
      <c r="BQ95" t="s">
        <v>74</v>
      </c>
      <c r="BR95" t="s">
        <v>102</v>
      </c>
      <c r="BS95" t="s">
        <v>2022</v>
      </c>
      <c r="BT95" t="str">
        <f>HYPERLINK("https%3A%2F%2Fwww.webofscience.com%2Fwos%2Fwoscc%2Ffull-record%2FWOS:000310470600007","View Full Record in Web of Science")</f>
        <v>View Full Record in Web of Science</v>
      </c>
    </row>
    <row r="96" spans="1:72" x14ac:dyDescent="0.15">
      <c r="A96" t="s">
        <v>72</v>
      </c>
      <c r="B96" t="s">
        <v>2023</v>
      </c>
      <c r="C96" t="s">
        <v>74</v>
      </c>
      <c r="D96" t="s">
        <v>74</v>
      </c>
      <c r="E96" t="s">
        <v>74</v>
      </c>
      <c r="F96" t="s">
        <v>2024</v>
      </c>
      <c r="G96" t="s">
        <v>74</v>
      </c>
      <c r="H96" t="s">
        <v>74</v>
      </c>
      <c r="I96" t="s">
        <v>2025</v>
      </c>
      <c r="J96" t="s">
        <v>1818</v>
      </c>
      <c r="K96" t="s">
        <v>74</v>
      </c>
      <c r="L96" t="s">
        <v>74</v>
      </c>
      <c r="M96" t="s">
        <v>78</v>
      </c>
      <c r="N96" t="s">
        <v>79</v>
      </c>
      <c r="O96" t="s">
        <v>74</v>
      </c>
      <c r="P96" t="s">
        <v>74</v>
      </c>
      <c r="Q96" t="s">
        <v>74</v>
      </c>
      <c r="R96" t="s">
        <v>74</v>
      </c>
      <c r="S96" t="s">
        <v>74</v>
      </c>
      <c r="T96" t="s">
        <v>74</v>
      </c>
      <c r="U96" t="s">
        <v>74</v>
      </c>
      <c r="V96" t="s">
        <v>2026</v>
      </c>
      <c r="W96" t="s">
        <v>2027</v>
      </c>
      <c r="X96" t="s">
        <v>2028</v>
      </c>
      <c r="Y96" t="s">
        <v>2029</v>
      </c>
      <c r="Z96" t="s">
        <v>2030</v>
      </c>
      <c r="AA96" t="s">
        <v>2031</v>
      </c>
      <c r="AB96" t="s">
        <v>2032</v>
      </c>
      <c r="AC96" t="s">
        <v>2033</v>
      </c>
      <c r="AD96" t="s">
        <v>2034</v>
      </c>
      <c r="AE96" t="s">
        <v>2035</v>
      </c>
      <c r="AF96" t="s">
        <v>74</v>
      </c>
      <c r="AG96">
        <v>15</v>
      </c>
      <c r="AH96">
        <v>9</v>
      </c>
      <c r="AI96">
        <v>9</v>
      </c>
      <c r="AJ96">
        <v>0</v>
      </c>
      <c r="AK96">
        <v>14</v>
      </c>
      <c r="AL96" t="s">
        <v>766</v>
      </c>
      <c r="AM96" t="s">
        <v>767</v>
      </c>
      <c r="AN96" t="s">
        <v>768</v>
      </c>
      <c r="AO96" t="s">
        <v>1830</v>
      </c>
      <c r="AP96" t="s">
        <v>74</v>
      </c>
      <c r="AQ96" t="s">
        <v>74</v>
      </c>
      <c r="AR96" t="s">
        <v>1832</v>
      </c>
      <c r="AS96" t="s">
        <v>1833</v>
      </c>
      <c r="AT96" t="s">
        <v>74</v>
      </c>
      <c r="AU96">
        <v>2012</v>
      </c>
      <c r="AV96">
        <v>8</v>
      </c>
      <c r="AW96">
        <v>6</v>
      </c>
      <c r="AX96" t="s">
        <v>74</v>
      </c>
      <c r="AY96" t="s">
        <v>74</v>
      </c>
      <c r="AZ96" t="s">
        <v>74</v>
      </c>
      <c r="BA96" t="s">
        <v>74</v>
      </c>
      <c r="BB96">
        <v>1869</v>
      </c>
      <c r="BC96">
        <v>1879</v>
      </c>
      <c r="BD96" t="s">
        <v>74</v>
      </c>
      <c r="BE96" t="s">
        <v>2036</v>
      </c>
      <c r="BF96" t="str">
        <f>HYPERLINK("http://dx.doi.org/10.5194/cp-8-1869-2012","http://dx.doi.org/10.5194/cp-8-1869-2012")</f>
        <v>http://dx.doi.org/10.5194/cp-8-1869-2012</v>
      </c>
      <c r="BG96" t="s">
        <v>74</v>
      </c>
      <c r="BH96" t="s">
        <v>74</v>
      </c>
      <c r="BI96">
        <v>11</v>
      </c>
      <c r="BJ96" t="s">
        <v>1835</v>
      </c>
      <c r="BK96" t="s">
        <v>100</v>
      </c>
      <c r="BL96" t="s">
        <v>1836</v>
      </c>
      <c r="BM96" t="s">
        <v>2037</v>
      </c>
      <c r="BN96" t="s">
        <v>74</v>
      </c>
      <c r="BO96" t="s">
        <v>1219</v>
      </c>
      <c r="BP96" t="s">
        <v>74</v>
      </c>
      <c r="BQ96" t="s">
        <v>74</v>
      </c>
      <c r="BR96" t="s">
        <v>102</v>
      </c>
      <c r="BS96" t="s">
        <v>2038</v>
      </c>
      <c r="BT96" t="str">
        <f>HYPERLINK("https%3A%2F%2Fwww.webofscience.com%2Fwos%2Fwoscc%2Ffull-record%2FWOS:000312668700006","View Full Record in Web of Science")</f>
        <v>View Full Record in Web of Science</v>
      </c>
    </row>
    <row r="97" spans="1:72" x14ac:dyDescent="0.15">
      <c r="A97" t="s">
        <v>72</v>
      </c>
      <c r="B97" t="s">
        <v>2039</v>
      </c>
      <c r="C97" t="s">
        <v>74</v>
      </c>
      <c r="D97" t="s">
        <v>74</v>
      </c>
      <c r="E97" t="s">
        <v>74</v>
      </c>
      <c r="F97" t="s">
        <v>2040</v>
      </c>
      <c r="G97" t="s">
        <v>74</v>
      </c>
      <c r="H97" t="s">
        <v>74</v>
      </c>
      <c r="I97" t="s">
        <v>2041</v>
      </c>
      <c r="J97" t="s">
        <v>2042</v>
      </c>
      <c r="K97" t="s">
        <v>74</v>
      </c>
      <c r="L97" t="s">
        <v>74</v>
      </c>
      <c r="M97" t="s">
        <v>78</v>
      </c>
      <c r="N97" t="s">
        <v>79</v>
      </c>
      <c r="O97" t="s">
        <v>74</v>
      </c>
      <c r="P97" t="s">
        <v>74</v>
      </c>
      <c r="Q97" t="s">
        <v>74</v>
      </c>
      <c r="R97" t="s">
        <v>74</v>
      </c>
      <c r="S97" t="s">
        <v>74</v>
      </c>
      <c r="T97" t="s">
        <v>2043</v>
      </c>
      <c r="U97" t="s">
        <v>2044</v>
      </c>
      <c r="V97" t="s">
        <v>2045</v>
      </c>
      <c r="W97" t="s">
        <v>2046</v>
      </c>
      <c r="X97" t="s">
        <v>2047</v>
      </c>
      <c r="Y97" t="s">
        <v>2048</v>
      </c>
      <c r="Z97" t="s">
        <v>2049</v>
      </c>
      <c r="AA97" t="s">
        <v>2050</v>
      </c>
      <c r="AB97" t="s">
        <v>2051</v>
      </c>
      <c r="AC97" t="s">
        <v>2052</v>
      </c>
      <c r="AD97" t="s">
        <v>2053</v>
      </c>
      <c r="AE97" t="s">
        <v>2054</v>
      </c>
      <c r="AF97" t="s">
        <v>74</v>
      </c>
      <c r="AG97">
        <v>62</v>
      </c>
      <c r="AH97">
        <v>17</v>
      </c>
      <c r="AI97">
        <v>18</v>
      </c>
      <c r="AJ97">
        <v>0</v>
      </c>
      <c r="AK97">
        <v>27</v>
      </c>
      <c r="AL97" t="s">
        <v>155</v>
      </c>
      <c r="AM97" t="s">
        <v>156</v>
      </c>
      <c r="AN97" t="s">
        <v>157</v>
      </c>
      <c r="AO97" t="s">
        <v>2055</v>
      </c>
      <c r="AP97" t="s">
        <v>2056</v>
      </c>
      <c r="AQ97" t="s">
        <v>74</v>
      </c>
      <c r="AR97" t="s">
        <v>2057</v>
      </c>
      <c r="AS97" t="s">
        <v>2058</v>
      </c>
      <c r="AT97" t="s">
        <v>162</v>
      </c>
      <c r="AU97">
        <v>2012</v>
      </c>
      <c r="AV97">
        <v>32</v>
      </c>
      <c r="AW97" t="s">
        <v>74</v>
      </c>
      <c r="AX97" t="s">
        <v>74</v>
      </c>
      <c r="AY97" t="s">
        <v>74</v>
      </c>
      <c r="AZ97" t="s">
        <v>74</v>
      </c>
      <c r="BA97" t="s">
        <v>74</v>
      </c>
      <c r="BB97">
        <v>96</v>
      </c>
      <c r="BC97">
        <v>109</v>
      </c>
      <c r="BD97" t="s">
        <v>74</v>
      </c>
      <c r="BE97" t="s">
        <v>2059</v>
      </c>
      <c r="BF97" t="str">
        <f>HYPERLINK("http://dx.doi.org/10.1016/j.csr.2011.10.017","http://dx.doi.org/10.1016/j.csr.2011.10.017")</f>
        <v>http://dx.doi.org/10.1016/j.csr.2011.10.017</v>
      </c>
      <c r="BG97" t="s">
        <v>74</v>
      </c>
      <c r="BH97" t="s">
        <v>74</v>
      </c>
      <c r="BI97">
        <v>14</v>
      </c>
      <c r="BJ97" t="s">
        <v>496</v>
      </c>
      <c r="BK97" t="s">
        <v>100</v>
      </c>
      <c r="BL97" t="s">
        <v>496</v>
      </c>
      <c r="BM97" t="s">
        <v>2060</v>
      </c>
      <c r="BN97" t="s">
        <v>74</v>
      </c>
      <c r="BO97" t="s">
        <v>342</v>
      </c>
      <c r="BP97" t="s">
        <v>74</v>
      </c>
      <c r="BQ97" t="s">
        <v>74</v>
      </c>
      <c r="BR97" t="s">
        <v>102</v>
      </c>
      <c r="BS97" t="s">
        <v>2061</v>
      </c>
      <c r="BT97" t="str">
        <f>HYPERLINK("https%3A%2F%2Fwww.webofscience.com%2Fwos%2Fwoscc%2Ffull-record%2FWOS:000299983300008","View Full Record in Web of Science")</f>
        <v>View Full Record in Web of Science</v>
      </c>
    </row>
    <row r="98" spans="1:72" x14ac:dyDescent="0.15">
      <c r="A98" t="s">
        <v>72</v>
      </c>
      <c r="B98" t="s">
        <v>2062</v>
      </c>
      <c r="C98" t="s">
        <v>74</v>
      </c>
      <c r="D98" t="s">
        <v>74</v>
      </c>
      <c r="E98" t="s">
        <v>74</v>
      </c>
      <c r="F98" t="s">
        <v>2063</v>
      </c>
      <c r="G98" t="s">
        <v>74</v>
      </c>
      <c r="H98" t="s">
        <v>74</v>
      </c>
      <c r="I98" t="s">
        <v>2064</v>
      </c>
      <c r="J98" t="s">
        <v>2065</v>
      </c>
      <c r="K98" t="s">
        <v>74</v>
      </c>
      <c r="L98" t="s">
        <v>74</v>
      </c>
      <c r="M98" t="s">
        <v>78</v>
      </c>
      <c r="N98" t="s">
        <v>79</v>
      </c>
      <c r="O98" t="s">
        <v>74</v>
      </c>
      <c r="P98" t="s">
        <v>74</v>
      </c>
      <c r="Q98" t="s">
        <v>74</v>
      </c>
      <c r="R98" t="s">
        <v>74</v>
      </c>
      <c r="S98" t="s">
        <v>74</v>
      </c>
      <c r="T98" t="s">
        <v>2066</v>
      </c>
      <c r="U98" t="s">
        <v>2067</v>
      </c>
      <c r="V98" t="s">
        <v>2068</v>
      </c>
      <c r="W98" t="s">
        <v>2069</v>
      </c>
      <c r="X98" t="s">
        <v>2070</v>
      </c>
      <c r="Y98" t="s">
        <v>2071</v>
      </c>
      <c r="Z98" t="s">
        <v>2072</v>
      </c>
      <c r="AA98" t="s">
        <v>2073</v>
      </c>
      <c r="AB98" t="s">
        <v>2074</v>
      </c>
      <c r="AC98" t="s">
        <v>2075</v>
      </c>
      <c r="AD98" t="s">
        <v>2076</v>
      </c>
      <c r="AE98" t="s">
        <v>2077</v>
      </c>
      <c r="AF98" t="s">
        <v>74</v>
      </c>
      <c r="AG98">
        <v>96</v>
      </c>
      <c r="AH98">
        <v>83</v>
      </c>
      <c r="AI98">
        <v>87</v>
      </c>
      <c r="AJ98">
        <v>0</v>
      </c>
      <c r="AK98">
        <v>27</v>
      </c>
      <c r="AL98" t="s">
        <v>250</v>
      </c>
      <c r="AM98" t="s">
        <v>413</v>
      </c>
      <c r="AN98" t="s">
        <v>514</v>
      </c>
      <c r="AO98" t="s">
        <v>2078</v>
      </c>
      <c r="AP98" t="s">
        <v>2079</v>
      </c>
      <c r="AQ98" t="s">
        <v>74</v>
      </c>
      <c r="AR98" t="s">
        <v>2080</v>
      </c>
      <c r="AS98" t="s">
        <v>2081</v>
      </c>
      <c r="AT98" t="s">
        <v>97</v>
      </c>
      <c r="AU98">
        <v>2012</v>
      </c>
      <c r="AV98">
        <v>163</v>
      </c>
      <c r="AW98">
        <v>1</v>
      </c>
      <c r="AX98" t="s">
        <v>74</v>
      </c>
      <c r="AY98" t="s">
        <v>74</v>
      </c>
      <c r="AZ98" t="s">
        <v>74</v>
      </c>
      <c r="BA98" t="s">
        <v>74</v>
      </c>
      <c r="BB98">
        <v>67</v>
      </c>
      <c r="BC98">
        <v>85</v>
      </c>
      <c r="BD98" t="s">
        <v>74</v>
      </c>
      <c r="BE98" t="s">
        <v>2082</v>
      </c>
      <c r="BF98" t="str">
        <f>HYPERLINK("http://dx.doi.org/10.1007/s00410-011-0659-7","http://dx.doi.org/10.1007/s00410-011-0659-7")</f>
        <v>http://dx.doi.org/10.1007/s00410-011-0659-7</v>
      </c>
      <c r="BG98" t="s">
        <v>74</v>
      </c>
      <c r="BH98" t="s">
        <v>74</v>
      </c>
      <c r="BI98">
        <v>19</v>
      </c>
      <c r="BJ98" t="s">
        <v>2083</v>
      </c>
      <c r="BK98" t="s">
        <v>100</v>
      </c>
      <c r="BL98" t="s">
        <v>2083</v>
      </c>
      <c r="BM98" t="s">
        <v>2084</v>
      </c>
      <c r="BN98" t="s">
        <v>74</v>
      </c>
      <c r="BO98" t="s">
        <v>74</v>
      </c>
      <c r="BP98" t="s">
        <v>74</v>
      </c>
      <c r="BQ98" t="s">
        <v>74</v>
      </c>
      <c r="BR98" t="s">
        <v>102</v>
      </c>
      <c r="BS98" t="s">
        <v>2085</v>
      </c>
      <c r="BT98" t="str">
        <f>HYPERLINK("https%3A%2F%2Fwww.webofscience.com%2Fwos%2Fwoscc%2Ffull-record%2FWOS:000299514200005","View Full Record in Web of Science")</f>
        <v>View Full Record in Web of Science</v>
      </c>
    </row>
    <row r="99" spans="1:72" x14ac:dyDescent="0.15">
      <c r="A99" t="s">
        <v>72</v>
      </c>
      <c r="B99" t="s">
        <v>2086</v>
      </c>
      <c r="C99" t="s">
        <v>74</v>
      </c>
      <c r="D99" t="s">
        <v>74</v>
      </c>
      <c r="E99" t="s">
        <v>74</v>
      </c>
      <c r="F99" t="s">
        <v>2087</v>
      </c>
      <c r="G99" t="s">
        <v>74</v>
      </c>
      <c r="H99" t="s">
        <v>74</v>
      </c>
      <c r="I99" t="s">
        <v>2088</v>
      </c>
      <c r="J99" t="s">
        <v>2089</v>
      </c>
      <c r="K99" t="s">
        <v>74</v>
      </c>
      <c r="L99" t="s">
        <v>74</v>
      </c>
      <c r="M99" t="s">
        <v>78</v>
      </c>
      <c r="N99" t="s">
        <v>79</v>
      </c>
      <c r="O99" t="s">
        <v>74</v>
      </c>
      <c r="P99" t="s">
        <v>74</v>
      </c>
      <c r="Q99" t="s">
        <v>74</v>
      </c>
      <c r="R99" t="s">
        <v>74</v>
      </c>
      <c r="S99" t="s">
        <v>74</v>
      </c>
      <c r="T99" t="s">
        <v>74</v>
      </c>
      <c r="U99" t="s">
        <v>2090</v>
      </c>
      <c r="V99" t="s">
        <v>2091</v>
      </c>
      <c r="W99" t="s">
        <v>2092</v>
      </c>
      <c r="X99" t="s">
        <v>2093</v>
      </c>
      <c r="Y99" t="s">
        <v>2094</v>
      </c>
      <c r="Z99" t="s">
        <v>2095</v>
      </c>
      <c r="AA99" t="s">
        <v>2096</v>
      </c>
      <c r="AB99" t="s">
        <v>2097</v>
      </c>
      <c r="AC99" t="s">
        <v>2098</v>
      </c>
      <c r="AD99" t="s">
        <v>2099</v>
      </c>
      <c r="AE99" t="s">
        <v>2100</v>
      </c>
      <c r="AF99" t="s">
        <v>74</v>
      </c>
      <c r="AG99">
        <v>30</v>
      </c>
      <c r="AH99">
        <v>70</v>
      </c>
      <c r="AI99">
        <v>78</v>
      </c>
      <c r="AJ99">
        <v>1</v>
      </c>
      <c r="AK99">
        <v>17</v>
      </c>
      <c r="AL99" t="s">
        <v>766</v>
      </c>
      <c r="AM99" t="s">
        <v>767</v>
      </c>
      <c r="AN99" t="s">
        <v>768</v>
      </c>
      <c r="AO99" t="s">
        <v>2101</v>
      </c>
      <c r="AP99" t="s">
        <v>2102</v>
      </c>
      <c r="AQ99" t="s">
        <v>74</v>
      </c>
      <c r="AR99" t="s">
        <v>2089</v>
      </c>
      <c r="AS99" t="s">
        <v>2103</v>
      </c>
      <c r="AT99" t="s">
        <v>74</v>
      </c>
      <c r="AU99">
        <v>2012</v>
      </c>
      <c r="AV99">
        <v>6</v>
      </c>
      <c r="AW99">
        <v>1</v>
      </c>
      <c r="AX99" t="s">
        <v>74</v>
      </c>
      <c r="AY99" t="s">
        <v>74</v>
      </c>
      <c r="AZ99" t="s">
        <v>74</v>
      </c>
      <c r="BA99" t="s">
        <v>74</v>
      </c>
      <c r="BB99">
        <v>101</v>
      </c>
      <c r="BC99">
        <v>112</v>
      </c>
      <c r="BD99" t="s">
        <v>74</v>
      </c>
      <c r="BE99" t="s">
        <v>2104</v>
      </c>
      <c r="BF99" t="str">
        <f>HYPERLINK("http://dx.doi.org/10.5194/tc-6-101-2012","http://dx.doi.org/10.5194/tc-6-101-2012")</f>
        <v>http://dx.doi.org/10.5194/tc-6-101-2012</v>
      </c>
      <c r="BG99" t="s">
        <v>74</v>
      </c>
      <c r="BH99" t="s">
        <v>74</v>
      </c>
      <c r="BI99">
        <v>12</v>
      </c>
      <c r="BJ99" t="s">
        <v>226</v>
      </c>
      <c r="BK99" t="s">
        <v>100</v>
      </c>
      <c r="BL99" t="s">
        <v>227</v>
      </c>
      <c r="BM99" t="s">
        <v>2105</v>
      </c>
      <c r="BN99" t="s">
        <v>74</v>
      </c>
      <c r="BO99" t="s">
        <v>1237</v>
      </c>
      <c r="BP99" t="s">
        <v>74</v>
      </c>
      <c r="BQ99" t="s">
        <v>74</v>
      </c>
      <c r="BR99" t="s">
        <v>102</v>
      </c>
      <c r="BS99" t="s">
        <v>2106</v>
      </c>
      <c r="BT99" t="str">
        <f>HYPERLINK("https%3A%2F%2Fwww.webofscience.com%2Fwos%2Fwoscc%2Ffull-record%2FWOS:000300226700007","View Full Record in Web of Science")</f>
        <v>View Full Record in Web of Science</v>
      </c>
    </row>
    <row r="100" spans="1:72" x14ac:dyDescent="0.15">
      <c r="A100" t="s">
        <v>72</v>
      </c>
      <c r="B100" t="s">
        <v>2107</v>
      </c>
      <c r="C100" t="s">
        <v>74</v>
      </c>
      <c r="D100" t="s">
        <v>74</v>
      </c>
      <c r="E100" t="s">
        <v>74</v>
      </c>
      <c r="F100" t="s">
        <v>2108</v>
      </c>
      <c r="G100" t="s">
        <v>74</v>
      </c>
      <c r="H100" t="s">
        <v>74</v>
      </c>
      <c r="I100" t="s">
        <v>2109</v>
      </c>
      <c r="J100" t="s">
        <v>2089</v>
      </c>
      <c r="K100" t="s">
        <v>74</v>
      </c>
      <c r="L100" t="s">
        <v>74</v>
      </c>
      <c r="M100" t="s">
        <v>78</v>
      </c>
      <c r="N100" t="s">
        <v>79</v>
      </c>
      <c r="O100" t="s">
        <v>74</v>
      </c>
      <c r="P100" t="s">
        <v>74</v>
      </c>
      <c r="Q100" t="s">
        <v>74</v>
      </c>
      <c r="R100" t="s">
        <v>74</v>
      </c>
      <c r="S100" t="s">
        <v>74</v>
      </c>
      <c r="T100" t="s">
        <v>74</v>
      </c>
      <c r="U100" t="s">
        <v>2110</v>
      </c>
      <c r="V100" t="s">
        <v>2111</v>
      </c>
      <c r="W100" t="s">
        <v>2112</v>
      </c>
      <c r="X100" t="s">
        <v>2113</v>
      </c>
      <c r="Y100" t="s">
        <v>2114</v>
      </c>
      <c r="Z100" t="s">
        <v>2115</v>
      </c>
      <c r="AA100" t="s">
        <v>2116</v>
      </c>
      <c r="AB100" t="s">
        <v>2117</v>
      </c>
      <c r="AC100" t="s">
        <v>2118</v>
      </c>
      <c r="AD100" t="s">
        <v>2119</v>
      </c>
      <c r="AE100" t="s">
        <v>2120</v>
      </c>
      <c r="AF100" t="s">
        <v>74</v>
      </c>
      <c r="AG100">
        <v>40</v>
      </c>
      <c r="AH100">
        <v>61</v>
      </c>
      <c r="AI100">
        <v>63</v>
      </c>
      <c r="AJ100">
        <v>0</v>
      </c>
      <c r="AK100">
        <v>14</v>
      </c>
      <c r="AL100" t="s">
        <v>766</v>
      </c>
      <c r="AM100" t="s">
        <v>767</v>
      </c>
      <c r="AN100" t="s">
        <v>768</v>
      </c>
      <c r="AO100" t="s">
        <v>2101</v>
      </c>
      <c r="AP100" t="s">
        <v>74</v>
      </c>
      <c r="AQ100" t="s">
        <v>74</v>
      </c>
      <c r="AR100" t="s">
        <v>2089</v>
      </c>
      <c r="AS100" t="s">
        <v>2103</v>
      </c>
      <c r="AT100" t="s">
        <v>74</v>
      </c>
      <c r="AU100">
        <v>2012</v>
      </c>
      <c r="AV100">
        <v>6</v>
      </c>
      <c r="AW100">
        <v>1</v>
      </c>
      <c r="AX100" t="s">
        <v>74</v>
      </c>
      <c r="AY100" t="s">
        <v>74</v>
      </c>
      <c r="AZ100" t="s">
        <v>74</v>
      </c>
      <c r="BA100" t="s">
        <v>74</v>
      </c>
      <c r="BB100">
        <v>113</v>
      </c>
      <c r="BC100">
        <v>123</v>
      </c>
      <c r="BD100" t="s">
        <v>74</v>
      </c>
      <c r="BE100" t="s">
        <v>2121</v>
      </c>
      <c r="BF100" t="str">
        <f>HYPERLINK("http://dx.doi.org/10.5194/tc-6-113-2012","http://dx.doi.org/10.5194/tc-6-113-2012")</f>
        <v>http://dx.doi.org/10.5194/tc-6-113-2012</v>
      </c>
      <c r="BG100" t="s">
        <v>74</v>
      </c>
      <c r="BH100" t="s">
        <v>74</v>
      </c>
      <c r="BI100">
        <v>11</v>
      </c>
      <c r="BJ100" t="s">
        <v>226</v>
      </c>
      <c r="BK100" t="s">
        <v>100</v>
      </c>
      <c r="BL100" t="s">
        <v>227</v>
      </c>
      <c r="BM100" t="s">
        <v>2105</v>
      </c>
      <c r="BN100" t="s">
        <v>74</v>
      </c>
      <c r="BO100" t="s">
        <v>1219</v>
      </c>
      <c r="BP100" t="s">
        <v>74</v>
      </c>
      <c r="BQ100" t="s">
        <v>74</v>
      </c>
      <c r="BR100" t="s">
        <v>102</v>
      </c>
      <c r="BS100" t="s">
        <v>2122</v>
      </c>
      <c r="BT100" t="str">
        <f>HYPERLINK("https%3A%2F%2Fwww.webofscience.com%2Fwos%2Fwoscc%2Ffull-record%2FWOS:000300226700008","View Full Record in Web of Science")</f>
        <v>View Full Record in Web of Science</v>
      </c>
    </row>
    <row r="101" spans="1:72" x14ac:dyDescent="0.15">
      <c r="A101" t="s">
        <v>72</v>
      </c>
      <c r="B101" t="s">
        <v>2123</v>
      </c>
      <c r="C101" t="s">
        <v>74</v>
      </c>
      <c r="D101" t="s">
        <v>74</v>
      </c>
      <c r="E101" t="s">
        <v>74</v>
      </c>
      <c r="F101" t="s">
        <v>2124</v>
      </c>
      <c r="G101" t="s">
        <v>74</v>
      </c>
      <c r="H101" t="s">
        <v>74</v>
      </c>
      <c r="I101" t="s">
        <v>2125</v>
      </c>
      <c r="J101" t="s">
        <v>2089</v>
      </c>
      <c r="K101" t="s">
        <v>74</v>
      </c>
      <c r="L101" t="s">
        <v>74</v>
      </c>
      <c r="M101" t="s">
        <v>78</v>
      </c>
      <c r="N101" t="s">
        <v>79</v>
      </c>
      <c r="O101" t="s">
        <v>74</v>
      </c>
      <c r="P101" t="s">
        <v>74</v>
      </c>
      <c r="Q101" t="s">
        <v>74</v>
      </c>
      <c r="R101" t="s">
        <v>74</v>
      </c>
      <c r="S101" t="s">
        <v>74</v>
      </c>
      <c r="T101" t="s">
        <v>74</v>
      </c>
      <c r="U101" t="s">
        <v>2126</v>
      </c>
      <c r="V101" t="s">
        <v>2127</v>
      </c>
      <c r="W101" t="s">
        <v>2128</v>
      </c>
      <c r="X101" t="s">
        <v>2129</v>
      </c>
      <c r="Y101" t="s">
        <v>2130</v>
      </c>
      <c r="Z101" t="s">
        <v>2131</v>
      </c>
      <c r="AA101" t="s">
        <v>2132</v>
      </c>
      <c r="AB101" t="s">
        <v>2133</v>
      </c>
      <c r="AC101" t="s">
        <v>74</v>
      </c>
      <c r="AD101" t="s">
        <v>74</v>
      </c>
      <c r="AE101" t="s">
        <v>74</v>
      </c>
      <c r="AF101" t="s">
        <v>74</v>
      </c>
      <c r="AG101">
        <v>65</v>
      </c>
      <c r="AH101">
        <v>404</v>
      </c>
      <c r="AI101">
        <v>442</v>
      </c>
      <c r="AJ101">
        <v>26</v>
      </c>
      <c r="AK101">
        <v>173</v>
      </c>
      <c r="AL101" t="s">
        <v>766</v>
      </c>
      <c r="AM101" t="s">
        <v>767</v>
      </c>
      <c r="AN101" t="s">
        <v>768</v>
      </c>
      <c r="AO101" t="s">
        <v>2101</v>
      </c>
      <c r="AP101" t="s">
        <v>2102</v>
      </c>
      <c r="AQ101" t="s">
        <v>74</v>
      </c>
      <c r="AR101" t="s">
        <v>2089</v>
      </c>
      <c r="AS101" t="s">
        <v>2103</v>
      </c>
      <c r="AT101" t="s">
        <v>74</v>
      </c>
      <c r="AU101">
        <v>2012</v>
      </c>
      <c r="AV101">
        <v>6</v>
      </c>
      <c r="AW101">
        <v>1</v>
      </c>
      <c r="AX101" t="s">
        <v>74</v>
      </c>
      <c r="AY101" t="s">
        <v>74</v>
      </c>
      <c r="AZ101" t="s">
        <v>74</v>
      </c>
      <c r="BA101" t="s">
        <v>74</v>
      </c>
      <c r="BB101">
        <v>221</v>
      </c>
      <c r="BC101">
        <v>233</v>
      </c>
      <c r="BD101" t="s">
        <v>74</v>
      </c>
      <c r="BE101" t="s">
        <v>2134</v>
      </c>
      <c r="BF101" t="str">
        <f>HYPERLINK("http://dx.doi.org/10.5194/tc-6-221-2012","http://dx.doi.org/10.5194/tc-6-221-2012")</f>
        <v>http://dx.doi.org/10.5194/tc-6-221-2012</v>
      </c>
      <c r="BG101" t="s">
        <v>74</v>
      </c>
      <c r="BH101" t="s">
        <v>74</v>
      </c>
      <c r="BI101">
        <v>13</v>
      </c>
      <c r="BJ101" t="s">
        <v>226</v>
      </c>
      <c r="BK101" t="s">
        <v>100</v>
      </c>
      <c r="BL101" t="s">
        <v>227</v>
      </c>
      <c r="BM101" t="s">
        <v>2135</v>
      </c>
      <c r="BN101" t="s">
        <v>74</v>
      </c>
      <c r="BO101" t="s">
        <v>2136</v>
      </c>
      <c r="BP101" t="s">
        <v>74</v>
      </c>
      <c r="BQ101" t="s">
        <v>74</v>
      </c>
      <c r="BR101" t="s">
        <v>102</v>
      </c>
      <c r="BS101" t="s">
        <v>2137</v>
      </c>
      <c r="BT101" t="str">
        <f>HYPERLINK("https%3A%2F%2Fwww.webofscience.com%2Fwos%2Fwoscc%2Ffull-record%2FWOS:000306558200002","View Full Record in Web of Science")</f>
        <v>View Full Record in Web of Science</v>
      </c>
    </row>
    <row r="102" spans="1:72" x14ac:dyDescent="0.15">
      <c r="A102" t="s">
        <v>72</v>
      </c>
      <c r="B102" t="s">
        <v>2138</v>
      </c>
      <c r="C102" t="s">
        <v>74</v>
      </c>
      <c r="D102" t="s">
        <v>74</v>
      </c>
      <c r="E102" t="s">
        <v>74</v>
      </c>
      <c r="F102" t="s">
        <v>2139</v>
      </c>
      <c r="G102" t="s">
        <v>74</v>
      </c>
      <c r="H102" t="s">
        <v>74</v>
      </c>
      <c r="I102" t="s">
        <v>2140</v>
      </c>
      <c r="J102" t="s">
        <v>2089</v>
      </c>
      <c r="K102" t="s">
        <v>74</v>
      </c>
      <c r="L102" t="s">
        <v>74</v>
      </c>
      <c r="M102" t="s">
        <v>78</v>
      </c>
      <c r="N102" t="s">
        <v>79</v>
      </c>
      <c r="O102" t="s">
        <v>74</v>
      </c>
      <c r="P102" t="s">
        <v>74</v>
      </c>
      <c r="Q102" t="s">
        <v>74</v>
      </c>
      <c r="R102" t="s">
        <v>74</v>
      </c>
      <c r="S102" t="s">
        <v>74</v>
      </c>
      <c r="T102" t="s">
        <v>74</v>
      </c>
      <c r="U102" t="s">
        <v>2141</v>
      </c>
      <c r="V102" t="s">
        <v>2142</v>
      </c>
      <c r="W102" t="s">
        <v>2143</v>
      </c>
      <c r="X102" t="s">
        <v>2144</v>
      </c>
      <c r="Y102" t="s">
        <v>2145</v>
      </c>
      <c r="Z102" t="s">
        <v>2146</v>
      </c>
      <c r="AA102" t="s">
        <v>2147</v>
      </c>
      <c r="AB102" t="s">
        <v>2148</v>
      </c>
      <c r="AC102" t="s">
        <v>2149</v>
      </c>
      <c r="AD102" t="s">
        <v>2150</v>
      </c>
      <c r="AE102" t="s">
        <v>2151</v>
      </c>
      <c r="AF102" t="s">
        <v>74</v>
      </c>
      <c r="AG102">
        <v>27</v>
      </c>
      <c r="AH102">
        <v>66</v>
      </c>
      <c r="AI102">
        <v>73</v>
      </c>
      <c r="AJ102">
        <v>0</v>
      </c>
      <c r="AK102">
        <v>14</v>
      </c>
      <c r="AL102" t="s">
        <v>766</v>
      </c>
      <c r="AM102" t="s">
        <v>767</v>
      </c>
      <c r="AN102" t="s">
        <v>768</v>
      </c>
      <c r="AO102" t="s">
        <v>2101</v>
      </c>
      <c r="AP102" t="s">
        <v>74</v>
      </c>
      <c r="AQ102" t="s">
        <v>74</v>
      </c>
      <c r="AR102" t="s">
        <v>2089</v>
      </c>
      <c r="AS102" t="s">
        <v>2103</v>
      </c>
      <c r="AT102" t="s">
        <v>74</v>
      </c>
      <c r="AU102">
        <v>2012</v>
      </c>
      <c r="AV102">
        <v>6</v>
      </c>
      <c r="AW102">
        <v>2</v>
      </c>
      <c r="AX102" t="s">
        <v>74</v>
      </c>
      <c r="AY102" t="s">
        <v>74</v>
      </c>
      <c r="AZ102" t="s">
        <v>74</v>
      </c>
      <c r="BA102" t="s">
        <v>74</v>
      </c>
      <c r="BB102">
        <v>353</v>
      </c>
      <c r="BC102">
        <v>363</v>
      </c>
      <c r="BD102" t="s">
        <v>74</v>
      </c>
      <c r="BE102" t="s">
        <v>2152</v>
      </c>
      <c r="BF102" t="str">
        <f>HYPERLINK("http://dx.doi.org/10.5194/tc-6-353-2012","http://dx.doi.org/10.5194/tc-6-353-2012")</f>
        <v>http://dx.doi.org/10.5194/tc-6-353-2012</v>
      </c>
      <c r="BG102" t="s">
        <v>74</v>
      </c>
      <c r="BH102" t="s">
        <v>74</v>
      </c>
      <c r="BI102">
        <v>11</v>
      </c>
      <c r="BJ102" t="s">
        <v>226</v>
      </c>
      <c r="BK102" t="s">
        <v>100</v>
      </c>
      <c r="BL102" t="s">
        <v>227</v>
      </c>
      <c r="BM102" t="s">
        <v>2153</v>
      </c>
      <c r="BN102" t="s">
        <v>74</v>
      </c>
      <c r="BO102" t="s">
        <v>1392</v>
      </c>
      <c r="BP102" t="s">
        <v>74</v>
      </c>
      <c r="BQ102" t="s">
        <v>74</v>
      </c>
      <c r="BR102" t="s">
        <v>102</v>
      </c>
      <c r="BS102" t="s">
        <v>2154</v>
      </c>
      <c r="BT102" t="str">
        <f>HYPERLINK("https%3A%2F%2Fwww.webofscience.com%2Fwos%2Fwoscc%2Ffull-record%2FWOS:000304062100009","View Full Record in Web of Science")</f>
        <v>View Full Record in Web of Science</v>
      </c>
    </row>
    <row r="103" spans="1:72" x14ac:dyDescent="0.15">
      <c r="A103" t="s">
        <v>72</v>
      </c>
      <c r="B103" t="s">
        <v>2155</v>
      </c>
      <c r="C103" t="s">
        <v>74</v>
      </c>
      <c r="D103" t="s">
        <v>74</v>
      </c>
      <c r="E103" t="s">
        <v>74</v>
      </c>
      <c r="F103" t="s">
        <v>2156</v>
      </c>
      <c r="G103" t="s">
        <v>74</v>
      </c>
      <c r="H103" t="s">
        <v>74</v>
      </c>
      <c r="I103" t="s">
        <v>2157</v>
      </c>
      <c r="J103" t="s">
        <v>2089</v>
      </c>
      <c r="K103" t="s">
        <v>74</v>
      </c>
      <c r="L103" t="s">
        <v>74</v>
      </c>
      <c r="M103" t="s">
        <v>78</v>
      </c>
      <c r="N103" t="s">
        <v>79</v>
      </c>
      <c r="O103" t="s">
        <v>74</v>
      </c>
      <c r="P103" t="s">
        <v>74</v>
      </c>
      <c r="Q103" t="s">
        <v>74</v>
      </c>
      <c r="R103" t="s">
        <v>74</v>
      </c>
      <c r="S103" t="s">
        <v>74</v>
      </c>
      <c r="T103" t="s">
        <v>74</v>
      </c>
      <c r="U103" t="s">
        <v>2158</v>
      </c>
      <c r="V103" t="s">
        <v>2159</v>
      </c>
      <c r="W103" t="s">
        <v>2160</v>
      </c>
      <c r="X103" t="s">
        <v>2161</v>
      </c>
      <c r="Y103" t="s">
        <v>2162</v>
      </c>
      <c r="Z103" t="s">
        <v>2163</v>
      </c>
      <c r="AA103" t="s">
        <v>2164</v>
      </c>
      <c r="AB103" t="s">
        <v>2165</v>
      </c>
      <c r="AC103" t="s">
        <v>2166</v>
      </c>
      <c r="AD103" t="s">
        <v>2167</v>
      </c>
      <c r="AE103" t="s">
        <v>2168</v>
      </c>
      <c r="AF103" t="s">
        <v>74</v>
      </c>
      <c r="AG103">
        <v>29</v>
      </c>
      <c r="AH103">
        <v>43</v>
      </c>
      <c r="AI103">
        <v>48</v>
      </c>
      <c r="AJ103">
        <v>0</v>
      </c>
      <c r="AK103">
        <v>18</v>
      </c>
      <c r="AL103" t="s">
        <v>766</v>
      </c>
      <c r="AM103" t="s">
        <v>767</v>
      </c>
      <c r="AN103" t="s">
        <v>768</v>
      </c>
      <c r="AO103" t="s">
        <v>2101</v>
      </c>
      <c r="AP103" t="s">
        <v>74</v>
      </c>
      <c r="AQ103" t="s">
        <v>74</v>
      </c>
      <c r="AR103" t="s">
        <v>2089</v>
      </c>
      <c r="AS103" t="s">
        <v>2103</v>
      </c>
      <c r="AT103" t="s">
        <v>74</v>
      </c>
      <c r="AU103">
        <v>2012</v>
      </c>
      <c r="AV103">
        <v>6</v>
      </c>
      <c r="AW103">
        <v>2</v>
      </c>
      <c r="AX103" t="s">
        <v>74</v>
      </c>
      <c r="AY103" t="s">
        <v>74</v>
      </c>
      <c r="AZ103" t="s">
        <v>74</v>
      </c>
      <c r="BA103" t="s">
        <v>74</v>
      </c>
      <c r="BB103">
        <v>383</v>
      </c>
      <c r="BC103">
        <v>391</v>
      </c>
      <c r="BD103" t="s">
        <v>74</v>
      </c>
      <c r="BE103" t="s">
        <v>2169</v>
      </c>
      <c r="BF103" t="str">
        <f>HYPERLINK("http://dx.doi.org/10.5194/tc-6-383-2012","http://dx.doi.org/10.5194/tc-6-383-2012")</f>
        <v>http://dx.doi.org/10.5194/tc-6-383-2012</v>
      </c>
      <c r="BG103" t="s">
        <v>74</v>
      </c>
      <c r="BH103" t="s">
        <v>74</v>
      </c>
      <c r="BI103">
        <v>9</v>
      </c>
      <c r="BJ103" t="s">
        <v>226</v>
      </c>
      <c r="BK103" t="s">
        <v>100</v>
      </c>
      <c r="BL103" t="s">
        <v>227</v>
      </c>
      <c r="BM103" t="s">
        <v>2153</v>
      </c>
      <c r="BN103" t="s">
        <v>74</v>
      </c>
      <c r="BO103" t="s">
        <v>1219</v>
      </c>
      <c r="BP103" t="s">
        <v>74</v>
      </c>
      <c r="BQ103" t="s">
        <v>74</v>
      </c>
      <c r="BR103" t="s">
        <v>102</v>
      </c>
      <c r="BS103" t="s">
        <v>2170</v>
      </c>
      <c r="BT103" t="str">
        <f>HYPERLINK("https%3A%2F%2Fwww.webofscience.com%2Fwos%2Fwoscc%2Ffull-record%2FWOS:000304062100011","View Full Record in Web of Science")</f>
        <v>View Full Record in Web of Science</v>
      </c>
    </row>
    <row r="104" spans="1:72" x14ac:dyDescent="0.15">
      <c r="A104" t="s">
        <v>72</v>
      </c>
      <c r="B104" t="s">
        <v>2171</v>
      </c>
      <c r="C104" t="s">
        <v>74</v>
      </c>
      <c r="D104" t="s">
        <v>74</v>
      </c>
      <c r="E104" t="s">
        <v>74</v>
      </c>
      <c r="F104" t="s">
        <v>2172</v>
      </c>
      <c r="G104" t="s">
        <v>74</v>
      </c>
      <c r="H104" t="s">
        <v>74</v>
      </c>
      <c r="I104" t="s">
        <v>2173</v>
      </c>
      <c r="J104" t="s">
        <v>2089</v>
      </c>
      <c r="K104" t="s">
        <v>74</v>
      </c>
      <c r="L104" t="s">
        <v>74</v>
      </c>
      <c r="M104" t="s">
        <v>78</v>
      </c>
      <c r="N104" t="s">
        <v>79</v>
      </c>
      <c r="O104" t="s">
        <v>74</v>
      </c>
      <c r="P104" t="s">
        <v>74</v>
      </c>
      <c r="Q104" t="s">
        <v>74</v>
      </c>
      <c r="R104" t="s">
        <v>74</v>
      </c>
      <c r="S104" t="s">
        <v>74</v>
      </c>
      <c r="T104" t="s">
        <v>74</v>
      </c>
      <c r="U104" t="s">
        <v>2174</v>
      </c>
      <c r="V104" t="s">
        <v>2175</v>
      </c>
      <c r="W104" t="s">
        <v>2176</v>
      </c>
      <c r="X104" t="s">
        <v>527</v>
      </c>
      <c r="Y104" t="s">
        <v>2177</v>
      </c>
      <c r="Z104" t="s">
        <v>2178</v>
      </c>
      <c r="AA104" t="s">
        <v>74</v>
      </c>
      <c r="AB104" t="s">
        <v>74</v>
      </c>
      <c r="AC104" t="s">
        <v>2179</v>
      </c>
      <c r="AD104" t="s">
        <v>586</v>
      </c>
      <c r="AE104" t="s">
        <v>74</v>
      </c>
      <c r="AF104" t="s">
        <v>74</v>
      </c>
      <c r="AG104">
        <v>50</v>
      </c>
      <c r="AH104">
        <v>12</v>
      </c>
      <c r="AI104">
        <v>14</v>
      </c>
      <c r="AJ104">
        <v>0</v>
      </c>
      <c r="AK104">
        <v>16</v>
      </c>
      <c r="AL104" t="s">
        <v>766</v>
      </c>
      <c r="AM104" t="s">
        <v>767</v>
      </c>
      <c r="AN104" t="s">
        <v>768</v>
      </c>
      <c r="AO104" t="s">
        <v>2101</v>
      </c>
      <c r="AP104" t="s">
        <v>2102</v>
      </c>
      <c r="AQ104" t="s">
        <v>74</v>
      </c>
      <c r="AR104" t="s">
        <v>2089</v>
      </c>
      <c r="AS104" t="s">
        <v>2103</v>
      </c>
      <c r="AT104" t="s">
        <v>74</v>
      </c>
      <c r="AU104">
        <v>2012</v>
      </c>
      <c r="AV104">
        <v>6</v>
      </c>
      <c r="AW104">
        <v>2</v>
      </c>
      <c r="AX104" t="s">
        <v>74</v>
      </c>
      <c r="AY104" t="s">
        <v>74</v>
      </c>
      <c r="AZ104" t="s">
        <v>74</v>
      </c>
      <c r="BA104" t="s">
        <v>74</v>
      </c>
      <c r="BB104">
        <v>479</v>
      </c>
      <c r="BC104">
        <v>491</v>
      </c>
      <c r="BD104" t="s">
        <v>74</v>
      </c>
      <c r="BE104" t="s">
        <v>2180</v>
      </c>
      <c r="BF104" t="str">
        <f>HYPERLINK("http://dx.doi.org/10.5194/tc-6-479-2012","http://dx.doi.org/10.5194/tc-6-479-2012")</f>
        <v>http://dx.doi.org/10.5194/tc-6-479-2012</v>
      </c>
      <c r="BG104" t="s">
        <v>74</v>
      </c>
      <c r="BH104" t="s">
        <v>74</v>
      </c>
      <c r="BI104">
        <v>13</v>
      </c>
      <c r="BJ104" t="s">
        <v>226</v>
      </c>
      <c r="BK104" t="s">
        <v>100</v>
      </c>
      <c r="BL104" t="s">
        <v>227</v>
      </c>
      <c r="BM104" t="s">
        <v>2153</v>
      </c>
      <c r="BN104" t="s">
        <v>74</v>
      </c>
      <c r="BO104" t="s">
        <v>2181</v>
      </c>
      <c r="BP104" t="s">
        <v>74</v>
      </c>
      <c r="BQ104" t="s">
        <v>74</v>
      </c>
      <c r="BR104" t="s">
        <v>102</v>
      </c>
      <c r="BS104" t="s">
        <v>2182</v>
      </c>
      <c r="BT104" t="str">
        <f>HYPERLINK("https%3A%2F%2Fwww.webofscience.com%2Fwos%2Fwoscc%2Ffull-record%2FWOS:000304062100018","View Full Record in Web of Science")</f>
        <v>View Full Record in Web of Science</v>
      </c>
    </row>
    <row r="105" spans="1:72" x14ac:dyDescent="0.15">
      <c r="A105" t="s">
        <v>72</v>
      </c>
      <c r="B105" t="s">
        <v>2183</v>
      </c>
      <c r="C105" t="s">
        <v>74</v>
      </c>
      <c r="D105" t="s">
        <v>74</v>
      </c>
      <c r="E105" t="s">
        <v>74</v>
      </c>
      <c r="F105" t="s">
        <v>2184</v>
      </c>
      <c r="G105" t="s">
        <v>74</v>
      </c>
      <c r="H105" t="s">
        <v>74</v>
      </c>
      <c r="I105" t="s">
        <v>2185</v>
      </c>
      <c r="J105" t="s">
        <v>2089</v>
      </c>
      <c r="K105" t="s">
        <v>74</v>
      </c>
      <c r="L105" t="s">
        <v>74</v>
      </c>
      <c r="M105" t="s">
        <v>78</v>
      </c>
      <c r="N105" t="s">
        <v>79</v>
      </c>
      <c r="O105" t="s">
        <v>74</v>
      </c>
      <c r="P105" t="s">
        <v>74</v>
      </c>
      <c r="Q105" t="s">
        <v>74</v>
      </c>
      <c r="R105" t="s">
        <v>74</v>
      </c>
      <c r="S105" t="s">
        <v>74</v>
      </c>
      <c r="T105" t="s">
        <v>74</v>
      </c>
      <c r="U105" t="s">
        <v>2186</v>
      </c>
      <c r="V105" t="s">
        <v>2187</v>
      </c>
      <c r="W105" t="s">
        <v>2188</v>
      </c>
      <c r="X105" t="s">
        <v>2189</v>
      </c>
      <c r="Y105" t="s">
        <v>2190</v>
      </c>
      <c r="Z105" t="s">
        <v>2191</v>
      </c>
      <c r="AA105" t="s">
        <v>2192</v>
      </c>
      <c r="AB105" t="s">
        <v>2193</v>
      </c>
      <c r="AC105" t="s">
        <v>2194</v>
      </c>
      <c r="AD105" t="s">
        <v>2195</v>
      </c>
      <c r="AE105" t="s">
        <v>2196</v>
      </c>
      <c r="AF105" t="s">
        <v>74</v>
      </c>
      <c r="AG105">
        <v>37</v>
      </c>
      <c r="AH105">
        <v>155</v>
      </c>
      <c r="AI105">
        <v>169</v>
      </c>
      <c r="AJ105">
        <v>0</v>
      </c>
      <c r="AK105">
        <v>25</v>
      </c>
      <c r="AL105" t="s">
        <v>766</v>
      </c>
      <c r="AM105" t="s">
        <v>767</v>
      </c>
      <c r="AN105" t="s">
        <v>768</v>
      </c>
      <c r="AO105" t="s">
        <v>2101</v>
      </c>
      <c r="AP105" t="s">
        <v>2102</v>
      </c>
      <c r="AQ105" t="s">
        <v>74</v>
      </c>
      <c r="AR105" t="s">
        <v>2089</v>
      </c>
      <c r="AS105" t="s">
        <v>2103</v>
      </c>
      <c r="AT105" t="s">
        <v>74</v>
      </c>
      <c r="AU105">
        <v>2012</v>
      </c>
      <c r="AV105">
        <v>6</v>
      </c>
      <c r="AW105">
        <v>3</v>
      </c>
      <c r="AX105" t="s">
        <v>74</v>
      </c>
      <c r="AY105" t="s">
        <v>74</v>
      </c>
      <c r="AZ105" t="s">
        <v>74</v>
      </c>
      <c r="BA105" t="s">
        <v>74</v>
      </c>
      <c r="BB105">
        <v>573</v>
      </c>
      <c r="BC105">
        <v>588</v>
      </c>
      <c r="BD105" t="s">
        <v>74</v>
      </c>
      <c r="BE105" t="s">
        <v>2197</v>
      </c>
      <c r="BF105" t="str">
        <f>HYPERLINK("http://dx.doi.org/10.5194/tc-6-573-2012","http://dx.doi.org/10.5194/tc-6-573-2012")</f>
        <v>http://dx.doi.org/10.5194/tc-6-573-2012</v>
      </c>
      <c r="BG105" t="s">
        <v>74</v>
      </c>
      <c r="BH105" t="s">
        <v>74</v>
      </c>
      <c r="BI105">
        <v>16</v>
      </c>
      <c r="BJ105" t="s">
        <v>226</v>
      </c>
      <c r="BK105" t="s">
        <v>100</v>
      </c>
      <c r="BL105" t="s">
        <v>227</v>
      </c>
      <c r="BM105" t="s">
        <v>2198</v>
      </c>
      <c r="BN105" t="s">
        <v>74</v>
      </c>
      <c r="BO105" t="s">
        <v>2199</v>
      </c>
      <c r="BP105" t="s">
        <v>74</v>
      </c>
      <c r="BQ105" t="s">
        <v>74</v>
      </c>
      <c r="BR105" t="s">
        <v>102</v>
      </c>
      <c r="BS105" t="s">
        <v>2200</v>
      </c>
      <c r="BT105" t="str">
        <f>HYPERLINK("https%3A%2F%2Fwww.webofscience.com%2Fwos%2Fwoscc%2Ffull-record%2FWOS:000304676600004","View Full Record in Web of Science")</f>
        <v>View Full Record in Web of Science</v>
      </c>
    </row>
    <row r="106" spans="1:72" x14ac:dyDescent="0.15">
      <c r="A106" t="s">
        <v>72</v>
      </c>
      <c r="B106" t="s">
        <v>2201</v>
      </c>
      <c r="C106" t="s">
        <v>74</v>
      </c>
      <c r="D106" t="s">
        <v>74</v>
      </c>
      <c r="E106" t="s">
        <v>74</v>
      </c>
      <c r="F106" t="s">
        <v>2202</v>
      </c>
      <c r="G106" t="s">
        <v>74</v>
      </c>
      <c r="H106" t="s">
        <v>74</v>
      </c>
      <c r="I106" t="s">
        <v>2203</v>
      </c>
      <c r="J106" t="s">
        <v>2089</v>
      </c>
      <c r="K106" t="s">
        <v>74</v>
      </c>
      <c r="L106" t="s">
        <v>74</v>
      </c>
      <c r="M106" t="s">
        <v>78</v>
      </c>
      <c r="N106" t="s">
        <v>79</v>
      </c>
      <c r="O106" t="s">
        <v>74</v>
      </c>
      <c r="P106" t="s">
        <v>74</v>
      </c>
      <c r="Q106" t="s">
        <v>74</v>
      </c>
      <c r="R106" t="s">
        <v>74</v>
      </c>
      <c r="S106" t="s">
        <v>74</v>
      </c>
      <c r="T106" t="s">
        <v>74</v>
      </c>
      <c r="U106" t="s">
        <v>2204</v>
      </c>
      <c r="V106" t="s">
        <v>2205</v>
      </c>
      <c r="W106" t="s">
        <v>2206</v>
      </c>
      <c r="X106" t="s">
        <v>2207</v>
      </c>
      <c r="Y106" t="s">
        <v>2208</v>
      </c>
      <c r="Z106" t="s">
        <v>2209</v>
      </c>
      <c r="AA106" t="s">
        <v>2210</v>
      </c>
      <c r="AB106" t="s">
        <v>2211</v>
      </c>
      <c r="AC106" t="s">
        <v>2212</v>
      </c>
      <c r="AD106" t="s">
        <v>2213</v>
      </c>
      <c r="AE106" t="s">
        <v>2214</v>
      </c>
      <c r="AF106" t="s">
        <v>74</v>
      </c>
      <c r="AG106">
        <v>102</v>
      </c>
      <c r="AH106">
        <v>49</v>
      </c>
      <c r="AI106">
        <v>56</v>
      </c>
      <c r="AJ106">
        <v>0</v>
      </c>
      <c r="AK106">
        <v>25</v>
      </c>
      <c r="AL106" t="s">
        <v>766</v>
      </c>
      <c r="AM106" t="s">
        <v>767</v>
      </c>
      <c r="AN106" t="s">
        <v>768</v>
      </c>
      <c r="AO106" t="s">
        <v>2101</v>
      </c>
      <c r="AP106" t="s">
        <v>2102</v>
      </c>
      <c r="AQ106" t="s">
        <v>74</v>
      </c>
      <c r="AR106" t="s">
        <v>2089</v>
      </c>
      <c r="AS106" t="s">
        <v>2103</v>
      </c>
      <c r="AT106" t="s">
        <v>74</v>
      </c>
      <c r="AU106">
        <v>2012</v>
      </c>
      <c r="AV106">
        <v>6</v>
      </c>
      <c r="AW106">
        <v>3</v>
      </c>
      <c r="AX106" t="s">
        <v>74</v>
      </c>
      <c r="AY106" t="s">
        <v>74</v>
      </c>
      <c r="AZ106" t="s">
        <v>74</v>
      </c>
      <c r="BA106" t="s">
        <v>74</v>
      </c>
      <c r="BB106">
        <v>589</v>
      </c>
      <c r="BC106">
        <v>606</v>
      </c>
      <c r="BD106" t="s">
        <v>74</v>
      </c>
      <c r="BE106" t="s">
        <v>2215</v>
      </c>
      <c r="BF106" t="str">
        <f>HYPERLINK("http://dx.doi.org/10.5194/tc-6-589-2012","http://dx.doi.org/10.5194/tc-6-589-2012")</f>
        <v>http://dx.doi.org/10.5194/tc-6-589-2012</v>
      </c>
      <c r="BG106" t="s">
        <v>74</v>
      </c>
      <c r="BH106" t="s">
        <v>74</v>
      </c>
      <c r="BI106">
        <v>18</v>
      </c>
      <c r="BJ106" t="s">
        <v>226</v>
      </c>
      <c r="BK106" t="s">
        <v>100</v>
      </c>
      <c r="BL106" t="s">
        <v>227</v>
      </c>
      <c r="BM106" t="s">
        <v>2198</v>
      </c>
      <c r="BN106" t="s">
        <v>74</v>
      </c>
      <c r="BO106" t="s">
        <v>1237</v>
      </c>
      <c r="BP106" t="s">
        <v>74</v>
      </c>
      <c r="BQ106" t="s">
        <v>74</v>
      </c>
      <c r="BR106" t="s">
        <v>102</v>
      </c>
      <c r="BS106" t="s">
        <v>2216</v>
      </c>
      <c r="BT106" t="str">
        <f>HYPERLINK("https%3A%2F%2Fwww.webofscience.com%2Fwos%2Fwoscc%2Ffull-record%2FWOS:000304676600005","View Full Record in Web of Science")</f>
        <v>View Full Record in Web of Science</v>
      </c>
    </row>
    <row r="107" spans="1:72" x14ac:dyDescent="0.15">
      <c r="A107" t="s">
        <v>72</v>
      </c>
      <c r="B107" t="s">
        <v>2217</v>
      </c>
      <c r="C107" t="s">
        <v>74</v>
      </c>
      <c r="D107" t="s">
        <v>74</v>
      </c>
      <c r="E107" t="s">
        <v>74</v>
      </c>
      <c r="F107" t="s">
        <v>2218</v>
      </c>
      <c r="G107" t="s">
        <v>74</v>
      </c>
      <c r="H107" t="s">
        <v>74</v>
      </c>
      <c r="I107" t="s">
        <v>2219</v>
      </c>
      <c r="J107" t="s">
        <v>2089</v>
      </c>
      <c r="K107" t="s">
        <v>74</v>
      </c>
      <c r="L107" t="s">
        <v>74</v>
      </c>
      <c r="M107" t="s">
        <v>78</v>
      </c>
      <c r="N107" t="s">
        <v>79</v>
      </c>
      <c r="O107" t="s">
        <v>74</v>
      </c>
      <c r="P107" t="s">
        <v>74</v>
      </c>
      <c r="Q107" t="s">
        <v>74</v>
      </c>
      <c r="R107" t="s">
        <v>74</v>
      </c>
      <c r="S107" t="s">
        <v>74</v>
      </c>
      <c r="T107" t="s">
        <v>74</v>
      </c>
      <c r="U107" t="s">
        <v>2220</v>
      </c>
      <c r="V107" t="s">
        <v>2221</v>
      </c>
      <c r="W107" t="s">
        <v>2222</v>
      </c>
      <c r="X107" t="s">
        <v>2223</v>
      </c>
      <c r="Y107" t="s">
        <v>2224</v>
      </c>
      <c r="Z107" t="s">
        <v>2225</v>
      </c>
      <c r="AA107" t="s">
        <v>2226</v>
      </c>
      <c r="AB107" t="s">
        <v>2227</v>
      </c>
      <c r="AC107" t="s">
        <v>2228</v>
      </c>
      <c r="AD107" t="s">
        <v>2229</v>
      </c>
      <c r="AE107" t="s">
        <v>2230</v>
      </c>
      <c r="AF107" t="s">
        <v>74</v>
      </c>
      <c r="AG107">
        <v>35</v>
      </c>
      <c r="AH107">
        <v>392</v>
      </c>
      <c r="AI107">
        <v>429</v>
      </c>
      <c r="AJ107">
        <v>4</v>
      </c>
      <c r="AK107">
        <v>118</v>
      </c>
      <c r="AL107" t="s">
        <v>766</v>
      </c>
      <c r="AM107" t="s">
        <v>767</v>
      </c>
      <c r="AN107" t="s">
        <v>768</v>
      </c>
      <c r="AO107" t="s">
        <v>2101</v>
      </c>
      <c r="AP107" t="s">
        <v>74</v>
      </c>
      <c r="AQ107" t="s">
        <v>74</v>
      </c>
      <c r="AR107" t="s">
        <v>2089</v>
      </c>
      <c r="AS107" t="s">
        <v>2103</v>
      </c>
      <c r="AT107" t="s">
        <v>74</v>
      </c>
      <c r="AU107">
        <v>2012</v>
      </c>
      <c r="AV107">
        <v>6</v>
      </c>
      <c r="AW107">
        <v>4</v>
      </c>
      <c r="AX107" t="s">
        <v>74</v>
      </c>
      <c r="AY107" t="s">
        <v>74</v>
      </c>
      <c r="AZ107" t="s">
        <v>74</v>
      </c>
      <c r="BA107" t="s">
        <v>74</v>
      </c>
      <c r="BB107">
        <v>871</v>
      </c>
      <c r="BC107">
        <v>880</v>
      </c>
      <c r="BD107" t="s">
        <v>74</v>
      </c>
      <c r="BE107" t="s">
        <v>2231</v>
      </c>
      <c r="BF107" t="str">
        <f>HYPERLINK("http://dx.doi.org/10.5194/tc-6-871-2012","http://dx.doi.org/10.5194/tc-6-871-2012")</f>
        <v>http://dx.doi.org/10.5194/tc-6-871-2012</v>
      </c>
      <c r="BG107" t="s">
        <v>74</v>
      </c>
      <c r="BH107" t="s">
        <v>74</v>
      </c>
      <c r="BI107">
        <v>10</v>
      </c>
      <c r="BJ107" t="s">
        <v>226</v>
      </c>
      <c r="BK107" t="s">
        <v>100</v>
      </c>
      <c r="BL107" t="s">
        <v>227</v>
      </c>
      <c r="BM107" t="s">
        <v>2232</v>
      </c>
      <c r="BN107" t="s">
        <v>74</v>
      </c>
      <c r="BO107" t="s">
        <v>1237</v>
      </c>
      <c r="BP107" t="s">
        <v>74</v>
      </c>
      <c r="BQ107" t="s">
        <v>74</v>
      </c>
      <c r="BR107" t="s">
        <v>102</v>
      </c>
      <c r="BS107" t="s">
        <v>2233</v>
      </c>
      <c r="BT107" t="str">
        <f>HYPERLINK("https%3A%2F%2Fwww.webofscience.com%2Fwos%2Fwoscc%2Ffull-record%2FWOS:000308246500011","View Full Record in Web of Science")</f>
        <v>View Full Record in Web of Science</v>
      </c>
    </row>
    <row r="108" spans="1:72" x14ac:dyDescent="0.15">
      <c r="A108" t="s">
        <v>72</v>
      </c>
      <c r="B108" t="s">
        <v>2234</v>
      </c>
      <c r="C108" t="s">
        <v>74</v>
      </c>
      <c r="D108" t="s">
        <v>74</v>
      </c>
      <c r="E108" t="s">
        <v>74</v>
      </c>
      <c r="F108" t="s">
        <v>2235</v>
      </c>
      <c r="G108" t="s">
        <v>74</v>
      </c>
      <c r="H108" t="s">
        <v>74</v>
      </c>
      <c r="I108" t="s">
        <v>2236</v>
      </c>
      <c r="J108" t="s">
        <v>2089</v>
      </c>
      <c r="K108" t="s">
        <v>74</v>
      </c>
      <c r="L108" t="s">
        <v>74</v>
      </c>
      <c r="M108" t="s">
        <v>78</v>
      </c>
      <c r="N108" t="s">
        <v>79</v>
      </c>
      <c r="O108" t="s">
        <v>74</v>
      </c>
      <c r="P108" t="s">
        <v>74</v>
      </c>
      <c r="Q108" t="s">
        <v>74</v>
      </c>
      <c r="R108" t="s">
        <v>74</v>
      </c>
      <c r="S108" t="s">
        <v>74</v>
      </c>
      <c r="T108" t="s">
        <v>74</v>
      </c>
      <c r="U108" t="s">
        <v>2237</v>
      </c>
      <c r="V108" t="s">
        <v>2238</v>
      </c>
      <c r="W108" t="s">
        <v>2239</v>
      </c>
      <c r="X108" t="s">
        <v>2240</v>
      </c>
      <c r="Y108" t="s">
        <v>2241</v>
      </c>
      <c r="Z108" t="s">
        <v>2242</v>
      </c>
      <c r="AA108" t="s">
        <v>2243</v>
      </c>
      <c r="AB108" t="s">
        <v>2244</v>
      </c>
      <c r="AC108" t="s">
        <v>2245</v>
      </c>
      <c r="AD108" t="s">
        <v>2246</v>
      </c>
      <c r="AE108" t="s">
        <v>2247</v>
      </c>
      <c r="AF108" t="s">
        <v>74</v>
      </c>
      <c r="AG108">
        <v>32</v>
      </c>
      <c r="AH108">
        <v>79</v>
      </c>
      <c r="AI108">
        <v>90</v>
      </c>
      <c r="AJ108">
        <v>0</v>
      </c>
      <c r="AK108">
        <v>45</v>
      </c>
      <c r="AL108" t="s">
        <v>766</v>
      </c>
      <c r="AM108" t="s">
        <v>767</v>
      </c>
      <c r="AN108" t="s">
        <v>768</v>
      </c>
      <c r="AO108" t="s">
        <v>2101</v>
      </c>
      <c r="AP108" t="s">
        <v>74</v>
      </c>
      <c r="AQ108" t="s">
        <v>74</v>
      </c>
      <c r="AR108" t="s">
        <v>2089</v>
      </c>
      <c r="AS108" t="s">
        <v>2103</v>
      </c>
      <c r="AT108" t="s">
        <v>74</v>
      </c>
      <c r="AU108">
        <v>2012</v>
      </c>
      <c r="AV108">
        <v>6</v>
      </c>
      <c r="AW108">
        <v>4</v>
      </c>
      <c r="AX108" t="s">
        <v>74</v>
      </c>
      <c r="AY108" t="s">
        <v>74</v>
      </c>
      <c r="AZ108" t="s">
        <v>74</v>
      </c>
      <c r="BA108" t="s">
        <v>74</v>
      </c>
      <c r="BB108">
        <v>901</v>
      </c>
      <c r="BC108">
        <v>908</v>
      </c>
      <c r="BD108" t="s">
        <v>74</v>
      </c>
      <c r="BE108" t="s">
        <v>2248</v>
      </c>
      <c r="BF108" t="str">
        <f>HYPERLINK("http://dx.doi.org/10.5194/tc-6-901-2012","http://dx.doi.org/10.5194/tc-6-901-2012")</f>
        <v>http://dx.doi.org/10.5194/tc-6-901-2012</v>
      </c>
      <c r="BG108" t="s">
        <v>74</v>
      </c>
      <c r="BH108" t="s">
        <v>74</v>
      </c>
      <c r="BI108">
        <v>8</v>
      </c>
      <c r="BJ108" t="s">
        <v>226</v>
      </c>
      <c r="BK108" t="s">
        <v>100</v>
      </c>
      <c r="BL108" t="s">
        <v>227</v>
      </c>
      <c r="BM108" t="s">
        <v>2232</v>
      </c>
      <c r="BN108" t="s">
        <v>74</v>
      </c>
      <c r="BO108" t="s">
        <v>1237</v>
      </c>
      <c r="BP108" t="s">
        <v>74</v>
      </c>
      <c r="BQ108" t="s">
        <v>74</v>
      </c>
      <c r="BR108" t="s">
        <v>102</v>
      </c>
      <c r="BS108" t="s">
        <v>2249</v>
      </c>
      <c r="BT108" t="str">
        <f>HYPERLINK("https%3A%2F%2Fwww.webofscience.com%2Fwos%2Fwoscc%2Ffull-record%2FWOS:000308246500014","View Full Record in Web of Science")</f>
        <v>View Full Record in Web of Science</v>
      </c>
    </row>
    <row r="109" spans="1:72" x14ac:dyDescent="0.15">
      <c r="A109" t="s">
        <v>72</v>
      </c>
      <c r="B109" t="s">
        <v>2250</v>
      </c>
      <c r="C109" t="s">
        <v>74</v>
      </c>
      <c r="D109" t="s">
        <v>74</v>
      </c>
      <c r="E109" t="s">
        <v>74</v>
      </c>
      <c r="F109" t="s">
        <v>2251</v>
      </c>
      <c r="G109" t="s">
        <v>74</v>
      </c>
      <c r="H109" t="s">
        <v>74</v>
      </c>
      <c r="I109" t="s">
        <v>2252</v>
      </c>
      <c r="J109" t="s">
        <v>2089</v>
      </c>
      <c r="K109" t="s">
        <v>74</v>
      </c>
      <c r="L109" t="s">
        <v>74</v>
      </c>
      <c r="M109" t="s">
        <v>78</v>
      </c>
      <c r="N109" t="s">
        <v>79</v>
      </c>
      <c r="O109" t="s">
        <v>74</v>
      </c>
      <c r="P109" t="s">
        <v>74</v>
      </c>
      <c r="Q109" t="s">
        <v>74</v>
      </c>
      <c r="R109" t="s">
        <v>74</v>
      </c>
      <c r="S109" t="s">
        <v>74</v>
      </c>
      <c r="T109" t="s">
        <v>74</v>
      </c>
      <c r="U109" t="s">
        <v>2253</v>
      </c>
      <c r="V109" t="s">
        <v>2254</v>
      </c>
      <c r="W109" t="s">
        <v>2255</v>
      </c>
      <c r="X109" t="s">
        <v>2256</v>
      </c>
      <c r="Y109" t="s">
        <v>2257</v>
      </c>
      <c r="Z109" t="s">
        <v>2258</v>
      </c>
      <c r="AA109" t="s">
        <v>74</v>
      </c>
      <c r="AB109" t="s">
        <v>74</v>
      </c>
      <c r="AC109" t="s">
        <v>2259</v>
      </c>
      <c r="AD109" t="s">
        <v>2260</v>
      </c>
      <c r="AE109" t="s">
        <v>2261</v>
      </c>
      <c r="AF109" t="s">
        <v>74</v>
      </c>
      <c r="AG109">
        <v>70</v>
      </c>
      <c r="AH109">
        <v>86</v>
      </c>
      <c r="AI109">
        <v>97</v>
      </c>
      <c r="AJ109">
        <v>0</v>
      </c>
      <c r="AK109">
        <v>20</v>
      </c>
      <c r="AL109" t="s">
        <v>766</v>
      </c>
      <c r="AM109" t="s">
        <v>767</v>
      </c>
      <c r="AN109" t="s">
        <v>768</v>
      </c>
      <c r="AO109" t="s">
        <v>2101</v>
      </c>
      <c r="AP109" t="s">
        <v>2102</v>
      </c>
      <c r="AQ109" t="s">
        <v>74</v>
      </c>
      <c r="AR109" t="s">
        <v>2089</v>
      </c>
      <c r="AS109" t="s">
        <v>2103</v>
      </c>
      <c r="AT109" t="s">
        <v>74</v>
      </c>
      <c r="AU109">
        <v>2012</v>
      </c>
      <c r="AV109">
        <v>6</v>
      </c>
      <c r="AW109">
        <v>5</v>
      </c>
      <c r="AX109" t="s">
        <v>74</v>
      </c>
      <c r="AY109" t="s">
        <v>74</v>
      </c>
      <c r="AZ109" t="s">
        <v>74</v>
      </c>
      <c r="BA109" t="s">
        <v>74</v>
      </c>
      <c r="BB109">
        <v>953</v>
      </c>
      <c r="BC109">
        <v>971</v>
      </c>
      <c r="BD109" t="s">
        <v>74</v>
      </c>
      <c r="BE109" t="s">
        <v>2262</v>
      </c>
      <c r="BF109" t="str">
        <f>HYPERLINK("http://dx.doi.org/10.5194/tc-6-953-2012","http://dx.doi.org/10.5194/tc-6-953-2012")</f>
        <v>http://dx.doi.org/10.5194/tc-6-953-2012</v>
      </c>
      <c r="BG109" t="s">
        <v>74</v>
      </c>
      <c r="BH109" t="s">
        <v>74</v>
      </c>
      <c r="BI109">
        <v>19</v>
      </c>
      <c r="BJ109" t="s">
        <v>226</v>
      </c>
      <c r="BK109" t="s">
        <v>100</v>
      </c>
      <c r="BL109" t="s">
        <v>227</v>
      </c>
      <c r="BM109" t="s">
        <v>2263</v>
      </c>
      <c r="BN109" t="s">
        <v>74</v>
      </c>
      <c r="BO109" t="s">
        <v>1108</v>
      </c>
      <c r="BP109" t="s">
        <v>74</v>
      </c>
      <c r="BQ109" t="s">
        <v>74</v>
      </c>
      <c r="BR109" t="s">
        <v>102</v>
      </c>
      <c r="BS109" t="s">
        <v>2264</v>
      </c>
      <c r="BT109" t="str">
        <f>HYPERLINK("https%3A%2F%2Fwww.webofscience.com%2Fwos%2Fwoscc%2Ffull-record%2FWOS:000310465500003","View Full Record in Web of Science")</f>
        <v>View Full Record in Web of Science</v>
      </c>
    </row>
    <row r="110" spans="1:72" x14ac:dyDescent="0.15">
      <c r="A110" t="s">
        <v>72</v>
      </c>
      <c r="B110" t="s">
        <v>2265</v>
      </c>
      <c r="C110" t="s">
        <v>74</v>
      </c>
      <c r="D110" t="s">
        <v>74</v>
      </c>
      <c r="E110" t="s">
        <v>74</v>
      </c>
      <c r="F110" t="s">
        <v>2266</v>
      </c>
      <c r="G110" t="s">
        <v>74</v>
      </c>
      <c r="H110" t="s">
        <v>74</v>
      </c>
      <c r="I110" t="s">
        <v>2267</v>
      </c>
      <c r="J110" t="s">
        <v>2089</v>
      </c>
      <c r="K110" t="s">
        <v>74</v>
      </c>
      <c r="L110" t="s">
        <v>74</v>
      </c>
      <c r="M110" t="s">
        <v>78</v>
      </c>
      <c r="N110" t="s">
        <v>79</v>
      </c>
      <c r="O110" t="s">
        <v>74</v>
      </c>
      <c r="P110" t="s">
        <v>74</v>
      </c>
      <c r="Q110" t="s">
        <v>74</v>
      </c>
      <c r="R110" t="s">
        <v>74</v>
      </c>
      <c r="S110" t="s">
        <v>74</v>
      </c>
      <c r="T110" t="s">
        <v>74</v>
      </c>
      <c r="U110" t="s">
        <v>2268</v>
      </c>
      <c r="V110" t="s">
        <v>2269</v>
      </c>
      <c r="W110" t="s">
        <v>2270</v>
      </c>
      <c r="X110" t="s">
        <v>2271</v>
      </c>
      <c r="Y110" t="s">
        <v>2272</v>
      </c>
      <c r="Z110" t="s">
        <v>2273</v>
      </c>
      <c r="AA110" t="s">
        <v>2274</v>
      </c>
      <c r="AB110" t="s">
        <v>2275</v>
      </c>
      <c r="AC110" t="s">
        <v>2276</v>
      </c>
      <c r="AD110" t="s">
        <v>2276</v>
      </c>
      <c r="AE110" t="s">
        <v>2277</v>
      </c>
      <c r="AF110" t="s">
        <v>74</v>
      </c>
      <c r="AG110">
        <v>47</v>
      </c>
      <c r="AH110">
        <v>41</v>
      </c>
      <c r="AI110">
        <v>44</v>
      </c>
      <c r="AJ110">
        <v>0</v>
      </c>
      <c r="AK110">
        <v>33</v>
      </c>
      <c r="AL110" t="s">
        <v>766</v>
      </c>
      <c r="AM110" t="s">
        <v>767</v>
      </c>
      <c r="AN110" t="s">
        <v>768</v>
      </c>
      <c r="AO110" t="s">
        <v>2101</v>
      </c>
      <c r="AP110" t="s">
        <v>2102</v>
      </c>
      <c r="AQ110" t="s">
        <v>74</v>
      </c>
      <c r="AR110" t="s">
        <v>2089</v>
      </c>
      <c r="AS110" t="s">
        <v>2103</v>
      </c>
      <c r="AT110" t="s">
        <v>74</v>
      </c>
      <c r="AU110">
        <v>2012</v>
      </c>
      <c r="AV110">
        <v>6</v>
      </c>
      <c r="AW110">
        <v>5</v>
      </c>
      <c r="AX110" t="s">
        <v>74</v>
      </c>
      <c r="AY110" t="s">
        <v>74</v>
      </c>
      <c r="AZ110" t="s">
        <v>74</v>
      </c>
      <c r="BA110" t="s">
        <v>74</v>
      </c>
      <c r="BB110">
        <v>1019</v>
      </c>
      <c r="BC110">
        <v>1030</v>
      </c>
      <c r="BD110" t="s">
        <v>74</v>
      </c>
      <c r="BE110" t="s">
        <v>2278</v>
      </c>
      <c r="BF110" t="str">
        <f>HYPERLINK("http://dx.doi.org/10.5194/tc-6-1019-2012","http://dx.doi.org/10.5194/tc-6-1019-2012")</f>
        <v>http://dx.doi.org/10.5194/tc-6-1019-2012</v>
      </c>
      <c r="BG110" t="s">
        <v>74</v>
      </c>
      <c r="BH110" t="s">
        <v>74</v>
      </c>
      <c r="BI110">
        <v>12</v>
      </c>
      <c r="BJ110" t="s">
        <v>226</v>
      </c>
      <c r="BK110" t="s">
        <v>100</v>
      </c>
      <c r="BL110" t="s">
        <v>227</v>
      </c>
      <c r="BM110" t="s">
        <v>2263</v>
      </c>
      <c r="BN110" t="s">
        <v>74</v>
      </c>
      <c r="BO110" t="s">
        <v>1237</v>
      </c>
      <c r="BP110" t="s">
        <v>74</v>
      </c>
      <c r="BQ110" t="s">
        <v>74</v>
      </c>
      <c r="BR110" t="s">
        <v>102</v>
      </c>
      <c r="BS110" t="s">
        <v>2279</v>
      </c>
      <c r="BT110" t="str">
        <f>HYPERLINK("https%3A%2F%2Fwww.webofscience.com%2Fwos%2Fwoscc%2Ffull-record%2FWOS:000310465500007","View Full Record in Web of Science")</f>
        <v>View Full Record in Web of Science</v>
      </c>
    </row>
    <row r="111" spans="1:72" x14ac:dyDescent="0.15">
      <c r="A111" t="s">
        <v>72</v>
      </c>
      <c r="B111" t="s">
        <v>2280</v>
      </c>
      <c r="C111" t="s">
        <v>74</v>
      </c>
      <c r="D111" t="s">
        <v>74</v>
      </c>
      <c r="E111" t="s">
        <v>74</v>
      </c>
      <c r="F111" t="s">
        <v>2281</v>
      </c>
      <c r="G111" t="s">
        <v>74</v>
      </c>
      <c r="H111" t="s">
        <v>74</v>
      </c>
      <c r="I111" t="s">
        <v>2282</v>
      </c>
      <c r="J111" t="s">
        <v>2089</v>
      </c>
      <c r="K111" t="s">
        <v>74</v>
      </c>
      <c r="L111" t="s">
        <v>74</v>
      </c>
      <c r="M111" t="s">
        <v>78</v>
      </c>
      <c r="N111" t="s">
        <v>79</v>
      </c>
      <c r="O111" t="s">
        <v>74</v>
      </c>
      <c r="P111" t="s">
        <v>74</v>
      </c>
      <c r="Q111" t="s">
        <v>74</v>
      </c>
      <c r="R111" t="s">
        <v>74</v>
      </c>
      <c r="S111" t="s">
        <v>74</v>
      </c>
      <c r="T111" t="s">
        <v>74</v>
      </c>
      <c r="U111" t="s">
        <v>2283</v>
      </c>
      <c r="V111" t="s">
        <v>2284</v>
      </c>
      <c r="W111" t="s">
        <v>2285</v>
      </c>
      <c r="X111" t="s">
        <v>2286</v>
      </c>
      <c r="Y111" t="s">
        <v>2287</v>
      </c>
      <c r="Z111" t="s">
        <v>2288</v>
      </c>
      <c r="AA111" t="s">
        <v>74</v>
      </c>
      <c r="AB111" t="s">
        <v>2289</v>
      </c>
      <c r="AC111" t="s">
        <v>2290</v>
      </c>
      <c r="AD111" t="s">
        <v>2291</v>
      </c>
      <c r="AE111" t="s">
        <v>2292</v>
      </c>
      <c r="AF111" t="s">
        <v>74</v>
      </c>
      <c r="AG111">
        <v>59</v>
      </c>
      <c r="AH111">
        <v>52</v>
      </c>
      <c r="AI111">
        <v>55</v>
      </c>
      <c r="AJ111">
        <v>0</v>
      </c>
      <c r="AK111">
        <v>36</v>
      </c>
      <c r="AL111" t="s">
        <v>766</v>
      </c>
      <c r="AM111" t="s">
        <v>767</v>
      </c>
      <c r="AN111" t="s">
        <v>768</v>
      </c>
      <c r="AO111" t="s">
        <v>2101</v>
      </c>
      <c r="AP111" t="s">
        <v>2102</v>
      </c>
      <c r="AQ111" t="s">
        <v>74</v>
      </c>
      <c r="AR111" t="s">
        <v>2089</v>
      </c>
      <c r="AS111" t="s">
        <v>2103</v>
      </c>
      <c r="AT111" t="s">
        <v>74</v>
      </c>
      <c r="AU111">
        <v>2012</v>
      </c>
      <c r="AV111">
        <v>6</v>
      </c>
      <c r="AW111">
        <v>5</v>
      </c>
      <c r="AX111" t="s">
        <v>74</v>
      </c>
      <c r="AY111" t="s">
        <v>74</v>
      </c>
      <c r="AZ111" t="s">
        <v>74</v>
      </c>
      <c r="BA111" t="s">
        <v>74</v>
      </c>
      <c r="BB111">
        <v>1031</v>
      </c>
      <c r="BC111">
        <v>1048</v>
      </c>
      <c r="BD111" t="s">
        <v>74</v>
      </c>
      <c r="BE111" t="s">
        <v>2293</v>
      </c>
      <c r="BF111" t="str">
        <f>HYPERLINK("http://dx.doi.org/10.5194/tc-6-1031-2012","http://dx.doi.org/10.5194/tc-6-1031-2012")</f>
        <v>http://dx.doi.org/10.5194/tc-6-1031-2012</v>
      </c>
      <c r="BG111" t="s">
        <v>74</v>
      </c>
      <c r="BH111" t="s">
        <v>74</v>
      </c>
      <c r="BI111">
        <v>18</v>
      </c>
      <c r="BJ111" t="s">
        <v>226</v>
      </c>
      <c r="BK111" t="s">
        <v>100</v>
      </c>
      <c r="BL111" t="s">
        <v>227</v>
      </c>
      <c r="BM111" t="s">
        <v>2263</v>
      </c>
      <c r="BN111" t="s">
        <v>74</v>
      </c>
      <c r="BO111" t="s">
        <v>1326</v>
      </c>
      <c r="BP111" t="s">
        <v>74</v>
      </c>
      <c r="BQ111" t="s">
        <v>74</v>
      </c>
      <c r="BR111" t="s">
        <v>102</v>
      </c>
      <c r="BS111" t="s">
        <v>2294</v>
      </c>
      <c r="BT111" t="str">
        <f>HYPERLINK("https%3A%2F%2Fwww.webofscience.com%2Fwos%2Fwoscc%2Ffull-record%2FWOS:000310465500008","View Full Record in Web of Science")</f>
        <v>View Full Record in Web of Science</v>
      </c>
    </row>
    <row r="112" spans="1:72" x14ac:dyDescent="0.15">
      <c r="A112" t="s">
        <v>72</v>
      </c>
      <c r="B112" t="s">
        <v>2295</v>
      </c>
      <c r="C112" t="s">
        <v>74</v>
      </c>
      <c r="D112" t="s">
        <v>74</v>
      </c>
      <c r="E112" t="s">
        <v>74</v>
      </c>
      <c r="F112" t="s">
        <v>2296</v>
      </c>
      <c r="G112" t="s">
        <v>74</v>
      </c>
      <c r="H112" t="s">
        <v>74</v>
      </c>
      <c r="I112" t="s">
        <v>2297</v>
      </c>
      <c r="J112" t="s">
        <v>2089</v>
      </c>
      <c r="K112" t="s">
        <v>74</v>
      </c>
      <c r="L112" t="s">
        <v>74</v>
      </c>
      <c r="M112" t="s">
        <v>78</v>
      </c>
      <c r="N112" t="s">
        <v>79</v>
      </c>
      <c r="O112" t="s">
        <v>74</v>
      </c>
      <c r="P112" t="s">
        <v>74</v>
      </c>
      <c r="Q112" t="s">
        <v>74</v>
      </c>
      <c r="R112" t="s">
        <v>74</v>
      </c>
      <c r="S112" t="s">
        <v>74</v>
      </c>
      <c r="T112" t="s">
        <v>74</v>
      </c>
      <c r="U112" t="s">
        <v>2298</v>
      </c>
      <c r="V112" t="s">
        <v>2299</v>
      </c>
      <c r="W112" t="s">
        <v>2300</v>
      </c>
      <c r="X112" t="s">
        <v>2301</v>
      </c>
      <c r="Y112" t="s">
        <v>2302</v>
      </c>
      <c r="Z112" t="s">
        <v>2303</v>
      </c>
      <c r="AA112" t="s">
        <v>2304</v>
      </c>
      <c r="AB112" t="s">
        <v>2305</v>
      </c>
      <c r="AC112" t="s">
        <v>2306</v>
      </c>
      <c r="AD112" t="s">
        <v>2307</v>
      </c>
      <c r="AE112" t="s">
        <v>2308</v>
      </c>
      <c r="AF112" t="s">
        <v>74</v>
      </c>
      <c r="AG112">
        <v>58</v>
      </c>
      <c r="AH112">
        <v>38</v>
      </c>
      <c r="AI112">
        <v>42</v>
      </c>
      <c r="AJ112">
        <v>0</v>
      </c>
      <c r="AK112">
        <v>17</v>
      </c>
      <c r="AL112" t="s">
        <v>766</v>
      </c>
      <c r="AM112" t="s">
        <v>767</v>
      </c>
      <c r="AN112" t="s">
        <v>768</v>
      </c>
      <c r="AO112" t="s">
        <v>2101</v>
      </c>
      <c r="AP112" t="s">
        <v>74</v>
      </c>
      <c r="AQ112" t="s">
        <v>74</v>
      </c>
      <c r="AR112" t="s">
        <v>2089</v>
      </c>
      <c r="AS112" t="s">
        <v>2103</v>
      </c>
      <c r="AT112" t="s">
        <v>74</v>
      </c>
      <c r="AU112">
        <v>2012</v>
      </c>
      <c r="AV112">
        <v>6</v>
      </c>
      <c r="AW112">
        <v>5</v>
      </c>
      <c r="AX112" t="s">
        <v>74</v>
      </c>
      <c r="AY112" t="s">
        <v>74</v>
      </c>
      <c r="AZ112" t="s">
        <v>74</v>
      </c>
      <c r="BA112" t="s">
        <v>74</v>
      </c>
      <c r="BB112">
        <v>1203</v>
      </c>
      <c r="BC112">
        <v>1219</v>
      </c>
      <c r="BD112" t="s">
        <v>74</v>
      </c>
      <c r="BE112" t="s">
        <v>2309</v>
      </c>
      <c r="BF112" t="str">
        <f>HYPERLINK("http://dx.doi.org/10.5194/tc-6-1203-2012","http://dx.doi.org/10.5194/tc-6-1203-2012")</f>
        <v>http://dx.doi.org/10.5194/tc-6-1203-2012</v>
      </c>
      <c r="BG112" t="s">
        <v>74</v>
      </c>
      <c r="BH112" t="s">
        <v>74</v>
      </c>
      <c r="BI112">
        <v>17</v>
      </c>
      <c r="BJ112" t="s">
        <v>226</v>
      </c>
      <c r="BK112" t="s">
        <v>100</v>
      </c>
      <c r="BL112" t="s">
        <v>227</v>
      </c>
      <c r="BM112" t="s">
        <v>2263</v>
      </c>
      <c r="BN112" t="s">
        <v>74</v>
      </c>
      <c r="BO112" t="s">
        <v>1108</v>
      </c>
      <c r="BP112" t="s">
        <v>74</v>
      </c>
      <c r="BQ112" t="s">
        <v>74</v>
      </c>
      <c r="BR112" t="s">
        <v>102</v>
      </c>
      <c r="BS112" t="s">
        <v>2310</v>
      </c>
      <c r="BT112" t="str">
        <f>HYPERLINK("https%3A%2F%2Fwww.webofscience.com%2Fwos%2Fwoscc%2Ffull-record%2FWOS:000310465500020","View Full Record in Web of Science")</f>
        <v>View Full Record in Web of Science</v>
      </c>
    </row>
    <row r="113" spans="1:72" x14ac:dyDescent="0.15">
      <c r="A113" t="s">
        <v>72</v>
      </c>
      <c r="B113" t="s">
        <v>2311</v>
      </c>
      <c r="C113" t="s">
        <v>74</v>
      </c>
      <c r="D113" t="s">
        <v>74</v>
      </c>
      <c r="E113" t="s">
        <v>74</v>
      </c>
      <c r="F113" t="s">
        <v>2312</v>
      </c>
      <c r="G113" t="s">
        <v>74</v>
      </c>
      <c r="H113" t="s">
        <v>74</v>
      </c>
      <c r="I113" t="s">
        <v>2313</v>
      </c>
      <c r="J113" t="s">
        <v>2089</v>
      </c>
      <c r="K113" t="s">
        <v>74</v>
      </c>
      <c r="L113" t="s">
        <v>74</v>
      </c>
      <c r="M113" t="s">
        <v>78</v>
      </c>
      <c r="N113" t="s">
        <v>79</v>
      </c>
      <c r="O113" t="s">
        <v>74</v>
      </c>
      <c r="P113" t="s">
        <v>74</v>
      </c>
      <c r="Q113" t="s">
        <v>74</v>
      </c>
      <c r="R113" t="s">
        <v>74</v>
      </c>
      <c r="S113" t="s">
        <v>74</v>
      </c>
      <c r="T113" t="s">
        <v>74</v>
      </c>
      <c r="U113" t="s">
        <v>2314</v>
      </c>
      <c r="V113" t="s">
        <v>2315</v>
      </c>
      <c r="W113" t="s">
        <v>2316</v>
      </c>
      <c r="X113" t="s">
        <v>527</v>
      </c>
      <c r="Y113" t="s">
        <v>2317</v>
      </c>
      <c r="Z113" t="s">
        <v>2318</v>
      </c>
      <c r="AA113" t="s">
        <v>2319</v>
      </c>
      <c r="AB113" t="s">
        <v>2320</v>
      </c>
      <c r="AC113" t="s">
        <v>2321</v>
      </c>
      <c r="AD113" t="s">
        <v>586</v>
      </c>
      <c r="AE113" t="s">
        <v>74</v>
      </c>
      <c r="AF113" t="s">
        <v>74</v>
      </c>
      <c r="AG113">
        <v>37</v>
      </c>
      <c r="AH113">
        <v>33</v>
      </c>
      <c r="AI113">
        <v>34</v>
      </c>
      <c r="AJ113">
        <v>0</v>
      </c>
      <c r="AK113">
        <v>13</v>
      </c>
      <c r="AL113" t="s">
        <v>766</v>
      </c>
      <c r="AM113" t="s">
        <v>767</v>
      </c>
      <c r="AN113" t="s">
        <v>768</v>
      </c>
      <c r="AO113" t="s">
        <v>2101</v>
      </c>
      <c r="AP113" t="s">
        <v>2102</v>
      </c>
      <c r="AQ113" t="s">
        <v>74</v>
      </c>
      <c r="AR113" t="s">
        <v>2089</v>
      </c>
      <c r="AS113" t="s">
        <v>2103</v>
      </c>
      <c r="AT113" t="s">
        <v>74</v>
      </c>
      <c r="AU113">
        <v>2012</v>
      </c>
      <c r="AV113">
        <v>6</v>
      </c>
      <c r="AW113">
        <v>5</v>
      </c>
      <c r="AX113" t="s">
        <v>74</v>
      </c>
      <c r="AY113" t="s">
        <v>74</v>
      </c>
      <c r="AZ113" t="s">
        <v>74</v>
      </c>
      <c r="BA113" t="s">
        <v>74</v>
      </c>
      <c r="BB113">
        <v>1221</v>
      </c>
      <c r="BC113">
        <v>1229</v>
      </c>
      <c r="BD113" t="s">
        <v>74</v>
      </c>
      <c r="BE113" t="s">
        <v>2322</v>
      </c>
      <c r="BF113" t="str">
        <f>HYPERLINK("http://dx.doi.org/10.5194/tc-6-1221-2012","http://dx.doi.org/10.5194/tc-6-1221-2012")</f>
        <v>http://dx.doi.org/10.5194/tc-6-1221-2012</v>
      </c>
      <c r="BG113" t="s">
        <v>74</v>
      </c>
      <c r="BH113" t="s">
        <v>74</v>
      </c>
      <c r="BI113">
        <v>9</v>
      </c>
      <c r="BJ113" t="s">
        <v>226</v>
      </c>
      <c r="BK113" t="s">
        <v>100</v>
      </c>
      <c r="BL113" t="s">
        <v>227</v>
      </c>
      <c r="BM113" t="s">
        <v>2263</v>
      </c>
      <c r="BN113" t="s">
        <v>74</v>
      </c>
      <c r="BO113" t="s">
        <v>2181</v>
      </c>
      <c r="BP113" t="s">
        <v>74</v>
      </c>
      <c r="BQ113" t="s">
        <v>74</v>
      </c>
      <c r="BR113" t="s">
        <v>102</v>
      </c>
      <c r="BS113" t="s">
        <v>2323</v>
      </c>
      <c r="BT113" t="str">
        <f>HYPERLINK("https%3A%2F%2Fwww.webofscience.com%2Fwos%2Fwoscc%2Ffull-record%2FWOS:000310465500021","View Full Record in Web of Science")</f>
        <v>View Full Record in Web of Science</v>
      </c>
    </row>
    <row r="114" spans="1:72" x14ac:dyDescent="0.15">
      <c r="A114" t="s">
        <v>72</v>
      </c>
      <c r="B114" t="s">
        <v>2324</v>
      </c>
      <c r="C114" t="s">
        <v>74</v>
      </c>
      <c r="D114" t="s">
        <v>74</v>
      </c>
      <c r="E114" t="s">
        <v>74</v>
      </c>
      <c r="F114" t="s">
        <v>2325</v>
      </c>
      <c r="G114" t="s">
        <v>74</v>
      </c>
      <c r="H114" t="s">
        <v>74</v>
      </c>
      <c r="I114" t="s">
        <v>2326</v>
      </c>
      <c r="J114" t="s">
        <v>2089</v>
      </c>
      <c r="K114" t="s">
        <v>74</v>
      </c>
      <c r="L114" t="s">
        <v>74</v>
      </c>
      <c r="M114" t="s">
        <v>78</v>
      </c>
      <c r="N114" t="s">
        <v>79</v>
      </c>
      <c r="O114" t="s">
        <v>74</v>
      </c>
      <c r="P114" t="s">
        <v>74</v>
      </c>
      <c r="Q114" t="s">
        <v>74</v>
      </c>
      <c r="R114" t="s">
        <v>74</v>
      </c>
      <c r="S114" t="s">
        <v>74</v>
      </c>
      <c r="T114" t="s">
        <v>74</v>
      </c>
      <c r="U114" t="s">
        <v>2327</v>
      </c>
      <c r="V114" t="s">
        <v>2328</v>
      </c>
      <c r="W114" t="s">
        <v>2329</v>
      </c>
      <c r="X114" t="s">
        <v>2330</v>
      </c>
      <c r="Y114" t="s">
        <v>2331</v>
      </c>
      <c r="Z114" t="s">
        <v>2332</v>
      </c>
      <c r="AA114" t="s">
        <v>2333</v>
      </c>
      <c r="AB114" t="s">
        <v>2334</v>
      </c>
      <c r="AC114" t="s">
        <v>2335</v>
      </c>
      <c r="AD114" t="s">
        <v>2336</v>
      </c>
      <c r="AE114" t="s">
        <v>2337</v>
      </c>
      <c r="AF114" t="s">
        <v>74</v>
      </c>
      <c r="AG114">
        <v>35</v>
      </c>
      <c r="AH114">
        <v>47</v>
      </c>
      <c r="AI114">
        <v>47</v>
      </c>
      <c r="AJ114">
        <v>0</v>
      </c>
      <c r="AK114">
        <v>20</v>
      </c>
      <c r="AL114" t="s">
        <v>766</v>
      </c>
      <c r="AM114" t="s">
        <v>767</v>
      </c>
      <c r="AN114" t="s">
        <v>768</v>
      </c>
      <c r="AO114" t="s">
        <v>2101</v>
      </c>
      <c r="AP114" t="s">
        <v>2102</v>
      </c>
      <c r="AQ114" t="s">
        <v>74</v>
      </c>
      <c r="AR114" t="s">
        <v>2089</v>
      </c>
      <c r="AS114" t="s">
        <v>2103</v>
      </c>
      <c r="AT114" t="s">
        <v>74</v>
      </c>
      <c r="AU114">
        <v>2012</v>
      </c>
      <c r="AV114">
        <v>6</v>
      </c>
      <c r="AW114">
        <v>6</v>
      </c>
      <c r="AX114" t="s">
        <v>74</v>
      </c>
      <c r="AY114" t="s">
        <v>74</v>
      </c>
      <c r="AZ114" t="s">
        <v>74</v>
      </c>
      <c r="BA114" t="s">
        <v>74</v>
      </c>
      <c r="BB114">
        <v>1369</v>
      </c>
      <c r="BC114">
        <v>1381</v>
      </c>
      <c r="BD114" t="s">
        <v>74</v>
      </c>
      <c r="BE114" t="s">
        <v>2338</v>
      </c>
      <c r="BF114" t="str">
        <f>HYPERLINK("http://dx.doi.org/10.5194/tc-6-1369-2012","http://dx.doi.org/10.5194/tc-6-1369-2012")</f>
        <v>http://dx.doi.org/10.5194/tc-6-1369-2012</v>
      </c>
      <c r="BG114" t="s">
        <v>74</v>
      </c>
      <c r="BH114" t="s">
        <v>74</v>
      </c>
      <c r="BI114">
        <v>13</v>
      </c>
      <c r="BJ114" t="s">
        <v>226</v>
      </c>
      <c r="BK114" t="s">
        <v>100</v>
      </c>
      <c r="BL114" t="s">
        <v>227</v>
      </c>
      <c r="BM114" t="s">
        <v>2339</v>
      </c>
      <c r="BN114" t="s">
        <v>74</v>
      </c>
      <c r="BO114" t="s">
        <v>1392</v>
      </c>
      <c r="BP114" t="s">
        <v>74</v>
      </c>
      <c r="BQ114" t="s">
        <v>74</v>
      </c>
      <c r="BR114" t="s">
        <v>102</v>
      </c>
      <c r="BS114" t="s">
        <v>2340</v>
      </c>
      <c r="BT114" t="str">
        <f>HYPERLINK("https%3A%2F%2Fwww.webofscience.com%2Fwos%2Fwoscc%2Ffull-record%2FWOS:000312698800011","View Full Record in Web of Science")</f>
        <v>View Full Record in Web of Science</v>
      </c>
    </row>
    <row r="115" spans="1:72" x14ac:dyDescent="0.15">
      <c r="A115" t="s">
        <v>72</v>
      </c>
      <c r="B115" t="s">
        <v>2341</v>
      </c>
      <c r="C115" t="s">
        <v>74</v>
      </c>
      <c r="D115" t="s">
        <v>74</v>
      </c>
      <c r="E115" t="s">
        <v>74</v>
      </c>
      <c r="F115" t="s">
        <v>2342</v>
      </c>
      <c r="G115" t="s">
        <v>74</v>
      </c>
      <c r="H115" t="s">
        <v>74</v>
      </c>
      <c r="I115" t="s">
        <v>2343</v>
      </c>
      <c r="J115" t="s">
        <v>2089</v>
      </c>
      <c r="K115" t="s">
        <v>74</v>
      </c>
      <c r="L115" t="s">
        <v>74</v>
      </c>
      <c r="M115" t="s">
        <v>78</v>
      </c>
      <c r="N115" t="s">
        <v>79</v>
      </c>
      <c r="O115" t="s">
        <v>74</v>
      </c>
      <c r="P115" t="s">
        <v>74</v>
      </c>
      <c r="Q115" t="s">
        <v>74</v>
      </c>
      <c r="R115" t="s">
        <v>74</v>
      </c>
      <c r="S115" t="s">
        <v>74</v>
      </c>
      <c r="T115" t="s">
        <v>74</v>
      </c>
      <c r="U115" t="s">
        <v>2344</v>
      </c>
      <c r="V115" t="s">
        <v>2345</v>
      </c>
      <c r="W115" t="s">
        <v>2346</v>
      </c>
      <c r="X115" t="s">
        <v>2347</v>
      </c>
      <c r="Y115" t="s">
        <v>2348</v>
      </c>
      <c r="Z115" t="s">
        <v>2349</v>
      </c>
      <c r="AA115" t="s">
        <v>2350</v>
      </c>
      <c r="AB115" t="s">
        <v>2351</v>
      </c>
      <c r="AC115" t="s">
        <v>2352</v>
      </c>
      <c r="AD115" t="s">
        <v>2353</v>
      </c>
      <c r="AE115" t="s">
        <v>2354</v>
      </c>
      <c r="AF115" t="s">
        <v>74</v>
      </c>
      <c r="AG115">
        <v>26</v>
      </c>
      <c r="AH115">
        <v>178</v>
      </c>
      <c r="AI115">
        <v>195</v>
      </c>
      <c r="AJ115">
        <v>0</v>
      </c>
      <c r="AK115">
        <v>24</v>
      </c>
      <c r="AL115" t="s">
        <v>766</v>
      </c>
      <c r="AM115" t="s">
        <v>767</v>
      </c>
      <c r="AN115" t="s">
        <v>768</v>
      </c>
      <c r="AO115" t="s">
        <v>2101</v>
      </c>
      <c r="AP115" t="s">
        <v>74</v>
      </c>
      <c r="AQ115" t="s">
        <v>74</v>
      </c>
      <c r="AR115" t="s">
        <v>2089</v>
      </c>
      <c r="AS115" t="s">
        <v>2103</v>
      </c>
      <c r="AT115" t="s">
        <v>74</v>
      </c>
      <c r="AU115">
        <v>2012</v>
      </c>
      <c r="AV115">
        <v>6</v>
      </c>
      <c r="AW115">
        <v>6</v>
      </c>
      <c r="AX115" t="s">
        <v>74</v>
      </c>
      <c r="AY115" t="s">
        <v>74</v>
      </c>
      <c r="AZ115" t="s">
        <v>74</v>
      </c>
      <c r="BA115" t="s">
        <v>74</v>
      </c>
      <c r="BB115">
        <v>1497</v>
      </c>
      <c r="BC115">
        <v>1505</v>
      </c>
      <c r="BD115" t="s">
        <v>74</v>
      </c>
      <c r="BE115" t="s">
        <v>2355</v>
      </c>
      <c r="BF115" t="str">
        <f>HYPERLINK("http://dx.doi.org/10.5194/tc-6-1497-2012","http://dx.doi.org/10.5194/tc-6-1497-2012")</f>
        <v>http://dx.doi.org/10.5194/tc-6-1497-2012</v>
      </c>
      <c r="BG115" t="s">
        <v>74</v>
      </c>
      <c r="BH115" t="s">
        <v>74</v>
      </c>
      <c r="BI115">
        <v>9</v>
      </c>
      <c r="BJ115" t="s">
        <v>226</v>
      </c>
      <c r="BK115" t="s">
        <v>100</v>
      </c>
      <c r="BL115" t="s">
        <v>227</v>
      </c>
      <c r="BM115" t="s">
        <v>2339</v>
      </c>
      <c r="BN115" t="s">
        <v>74</v>
      </c>
      <c r="BO115" t="s">
        <v>1392</v>
      </c>
      <c r="BP115" t="s">
        <v>74</v>
      </c>
      <c r="BQ115" t="s">
        <v>74</v>
      </c>
      <c r="BR115" t="s">
        <v>102</v>
      </c>
      <c r="BS115" t="s">
        <v>2356</v>
      </c>
      <c r="BT115" t="str">
        <f>HYPERLINK("https%3A%2F%2Fwww.webofscience.com%2Fwos%2Fwoscc%2Ffull-record%2FWOS:000312698800019","View Full Record in Web of Science")</f>
        <v>View Full Record in Web of Science</v>
      </c>
    </row>
    <row r="116" spans="1:72" x14ac:dyDescent="0.15">
      <c r="A116" t="s">
        <v>72</v>
      </c>
      <c r="B116" t="s">
        <v>2357</v>
      </c>
      <c r="C116" t="s">
        <v>74</v>
      </c>
      <c r="D116" t="s">
        <v>74</v>
      </c>
      <c r="E116" t="s">
        <v>74</v>
      </c>
      <c r="F116" t="s">
        <v>2358</v>
      </c>
      <c r="G116" t="s">
        <v>74</v>
      </c>
      <c r="H116" t="s">
        <v>74</v>
      </c>
      <c r="I116" t="s">
        <v>2359</v>
      </c>
      <c r="J116" t="s">
        <v>2089</v>
      </c>
      <c r="K116" t="s">
        <v>74</v>
      </c>
      <c r="L116" t="s">
        <v>74</v>
      </c>
      <c r="M116" t="s">
        <v>78</v>
      </c>
      <c r="N116" t="s">
        <v>79</v>
      </c>
      <c r="O116" t="s">
        <v>74</v>
      </c>
      <c r="P116" t="s">
        <v>74</v>
      </c>
      <c r="Q116" t="s">
        <v>74</v>
      </c>
      <c r="R116" t="s">
        <v>74</v>
      </c>
      <c r="S116" t="s">
        <v>74</v>
      </c>
      <c r="T116" t="s">
        <v>74</v>
      </c>
      <c r="U116" t="s">
        <v>2360</v>
      </c>
      <c r="V116" t="s">
        <v>2361</v>
      </c>
      <c r="W116" t="s">
        <v>2362</v>
      </c>
      <c r="X116" t="s">
        <v>2363</v>
      </c>
      <c r="Y116" t="s">
        <v>2364</v>
      </c>
      <c r="Z116" t="s">
        <v>2365</v>
      </c>
      <c r="AA116" t="s">
        <v>2366</v>
      </c>
      <c r="AB116" t="s">
        <v>2367</v>
      </c>
      <c r="AC116" t="s">
        <v>2368</v>
      </c>
      <c r="AD116" t="s">
        <v>2369</v>
      </c>
      <c r="AE116" t="s">
        <v>2370</v>
      </c>
      <c r="AF116" t="s">
        <v>74</v>
      </c>
      <c r="AG116">
        <v>48</v>
      </c>
      <c r="AH116">
        <v>173</v>
      </c>
      <c r="AI116">
        <v>182</v>
      </c>
      <c r="AJ116">
        <v>0</v>
      </c>
      <c r="AK116">
        <v>44</v>
      </c>
      <c r="AL116" t="s">
        <v>766</v>
      </c>
      <c r="AM116" t="s">
        <v>767</v>
      </c>
      <c r="AN116" t="s">
        <v>768</v>
      </c>
      <c r="AO116" t="s">
        <v>2101</v>
      </c>
      <c r="AP116" t="s">
        <v>2102</v>
      </c>
      <c r="AQ116" t="s">
        <v>74</v>
      </c>
      <c r="AR116" t="s">
        <v>2089</v>
      </c>
      <c r="AS116" t="s">
        <v>2103</v>
      </c>
      <c r="AT116" t="s">
        <v>74</v>
      </c>
      <c r="AU116">
        <v>2012</v>
      </c>
      <c r="AV116">
        <v>6</v>
      </c>
      <c r="AW116">
        <v>6</v>
      </c>
      <c r="AX116" t="s">
        <v>74</v>
      </c>
      <c r="AY116" t="s">
        <v>74</v>
      </c>
      <c r="AZ116" t="s">
        <v>74</v>
      </c>
      <c r="BA116" t="s">
        <v>74</v>
      </c>
      <c r="BB116">
        <v>1561</v>
      </c>
      <c r="BC116">
        <v>1576</v>
      </c>
      <c r="BD116" t="s">
        <v>74</v>
      </c>
      <c r="BE116" t="s">
        <v>2371</v>
      </c>
      <c r="BF116" t="str">
        <f>HYPERLINK("http://dx.doi.org/10.5194/tc-6-1561-2012","http://dx.doi.org/10.5194/tc-6-1561-2012")</f>
        <v>http://dx.doi.org/10.5194/tc-6-1561-2012</v>
      </c>
      <c r="BG116" t="s">
        <v>74</v>
      </c>
      <c r="BH116" t="s">
        <v>74</v>
      </c>
      <c r="BI116">
        <v>16</v>
      </c>
      <c r="BJ116" t="s">
        <v>226</v>
      </c>
      <c r="BK116" t="s">
        <v>100</v>
      </c>
      <c r="BL116" t="s">
        <v>227</v>
      </c>
      <c r="BM116" t="s">
        <v>2339</v>
      </c>
      <c r="BN116" t="s">
        <v>74</v>
      </c>
      <c r="BO116" t="s">
        <v>1326</v>
      </c>
      <c r="BP116" t="s">
        <v>74</v>
      </c>
      <c r="BQ116" t="s">
        <v>74</v>
      </c>
      <c r="BR116" t="s">
        <v>102</v>
      </c>
      <c r="BS116" t="s">
        <v>2372</v>
      </c>
      <c r="BT116" t="str">
        <f>HYPERLINK("https%3A%2F%2Fwww.webofscience.com%2Fwos%2Fwoscc%2Ffull-record%2FWOS:000312698800024","View Full Record in Web of Science")</f>
        <v>View Full Record in Web of Science</v>
      </c>
    </row>
    <row r="117" spans="1:72" x14ac:dyDescent="0.15">
      <c r="A117" t="s">
        <v>72</v>
      </c>
      <c r="B117" t="s">
        <v>2373</v>
      </c>
      <c r="C117" t="s">
        <v>74</v>
      </c>
      <c r="D117" t="s">
        <v>74</v>
      </c>
      <c r="E117" t="s">
        <v>74</v>
      </c>
      <c r="F117" t="s">
        <v>2374</v>
      </c>
      <c r="G117" t="s">
        <v>74</v>
      </c>
      <c r="H117" t="s">
        <v>74</v>
      </c>
      <c r="I117" t="s">
        <v>2375</v>
      </c>
      <c r="J117" t="s">
        <v>2376</v>
      </c>
      <c r="K117" t="s">
        <v>74</v>
      </c>
      <c r="L117" t="s">
        <v>74</v>
      </c>
      <c r="M117" t="s">
        <v>78</v>
      </c>
      <c r="N117" t="s">
        <v>810</v>
      </c>
      <c r="O117" t="s">
        <v>74</v>
      </c>
      <c r="P117" t="s">
        <v>74</v>
      </c>
      <c r="Q117" t="s">
        <v>74</v>
      </c>
      <c r="R117" t="s">
        <v>74</v>
      </c>
      <c r="S117" t="s">
        <v>74</v>
      </c>
      <c r="T117" t="s">
        <v>2377</v>
      </c>
      <c r="U117" t="s">
        <v>2378</v>
      </c>
      <c r="V117" t="s">
        <v>2379</v>
      </c>
      <c r="W117" t="s">
        <v>2380</v>
      </c>
      <c r="X117" t="s">
        <v>2381</v>
      </c>
      <c r="Y117" t="s">
        <v>2382</v>
      </c>
      <c r="Z117" t="s">
        <v>2383</v>
      </c>
      <c r="AA117" t="s">
        <v>2384</v>
      </c>
      <c r="AB117" t="s">
        <v>2385</v>
      </c>
      <c r="AC117" t="s">
        <v>2386</v>
      </c>
      <c r="AD117" t="s">
        <v>1007</v>
      </c>
      <c r="AE117" t="s">
        <v>74</v>
      </c>
      <c r="AF117" t="s">
        <v>74</v>
      </c>
      <c r="AG117">
        <v>99</v>
      </c>
      <c r="AH117">
        <v>27</v>
      </c>
      <c r="AI117">
        <v>27</v>
      </c>
      <c r="AJ117">
        <v>0</v>
      </c>
      <c r="AK117">
        <v>74</v>
      </c>
      <c r="AL117" t="s">
        <v>155</v>
      </c>
      <c r="AM117" t="s">
        <v>156</v>
      </c>
      <c r="AN117" t="s">
        <v>157</v>
      </c>
      <c r="AO117" t="s">
        <v>2387</v>
      </c>
      <c r="AP117" t="s">
        <v>2388</v>
      </c>
      <c r="AQ117" t="s">
        <v>74</v>
      </c>
      <c r="AR117" t="s">
        <v>2389</v>
      </c>
      <c r="AS117" t="s">
        <v>2390</v>
      </c>
      <c r="AT117" t="s">
        <v>97</v>
      </c>
      <c r="AU117">
        <v>2012</v>
      </c>
      <c r="AV117">
        <v>59</v>
      </c>
      <c r="AW117" t="s">
        <v>74</v>
      </c>
      <c r="AX117" t="s">
        <v>74</v>
      </c>
      <c r="AY117" t="s">
        <v>74</v>
      </c>
      <c r="AZ117" t="s">
        <v>74</v>
      </c>
      <c r="BA117" t="s">
        <v>74</v>
      </c>
      <c r="BB117">
        <v>1</v>
      </c>
      <c r="BC117">
        <v>13</v>
      </c>
      <c r="BD117" t="s">
        <v>74</v>
      </c>
      <c r="BE117" t="s">
        <v>2391</v>
      </c>
      <c r="BF117" t="str">
        <f>HYPERLINK("http://dx.doi.org/10.1016/j.dsr2.2011.10.001","http://dx.doi.org/10.1016/j.dsr2.2011.10.001")</f>
        <v>http://dx.doi.org/10.1016/j.dsr2.2011.10.001</v>
      </c>
      <c r="BG117" t="s">
        <v>74</v>
      </c>
      <c r="BH117" t="s">
        <v>74</v>
      </c>
      <c r="BI117">
        <v>13</v>
      </c>
      <c r="BJ117" t="s">
        <v>496</v>
      </c>
      <c r="BK117" t="s">
        <v>100</v>
      </c>
      <c r="BL117" t="s">
        <v>496</v>
      </c>
      <c r="BM117" t="s">
        <v>2392</v>
      </c>
      <c r="BN117" t="s">
        <v>74</v>
      </c>
      <c r="BO117" t="s">
        <v>74</v>
      </c>
      <c r="BP117" t="s">
        <v>74</v>
      </c>
      <c r="BQ117" t="s">
        <v>74</v>
      </c>
      <c r="BR117" t="s">
        <v>102</v>
      </c>
      <c r="BS117" t="s">
        <v>2393</v>
      </c>
      <c r="BT117" t="str">
        <f>HYPERLINK("https%3A%2F%2Fwww.webofscience.com%2Fwos%2Fwoscc%2Ffull-record%2FWOS:000300810700001","View Full Record in Web of Science")</f>
        <v>View Full Record in Web of Science</v>
      </c>
    </row>
    <row r="118" spans="1:72" x14ac:dyDescent="0.15">
      <c r="A118" t="s">
        <v>72</v>
      </c>
      <c r="B118" t="s">
        <v>2394</v>
      </c>
      <c r="C118" t="s">
        <v>74</v>
      </c>
      <c r="D118" t="s">
        <v>74</v>
      </c>
      <c r="E118" t="s">
        <v>74</v>
      </c>
      <c r="F118" t="s">
        <v>2395</v>
      </c>
      <c r="G118" t="s">
        <v>74</v>
      </c>
      <c r="H118" t="s">
        <v>74</v>
      </c>
      <c r="I118" t="s">
        <v>2396</v>
      </c>
      <c r="J118" t="s">
        <v>2376</v>
      </c>
      <c r="K118" t="s">
        <v>74</v>
      </c>
      <c r="L118" t="s">
        <v>74</v>
      </c>
      <c r="M118" t="s">
        <v>78</v>
      </c>
      <c r="N118" t="s">
        <v>79</v>
      </c>
      <c r="O118" t="s">
        <v>74</v>
      </c>
      <c r="P118" t="s">
        <v>74</v>
      </c>
      <c r="Q118" t="s">
        <v>74</v>
      </c>
      <c r="R118" t="s">
        <v>74</v>
      </c>
      <c r="S118" t="s">
        <v>74</v>
      </c>
      <c r="T118" t="s">
        <v>2397</v>
      </c>
      <c r="U118" t="s">
        <v>2398</v>
      </c>
      <c r="V118" t="s">
        <v>2399</v>
      </c>
      <c r="W118" t="s">
        <v>2400</v>
      </c>
      <c r="X118" t="s">
        <v>527</v>
      </c>
      <c r="Y118" t="s">
        <v>2401</v>
      </c>
      <c r="Z118" t="s">
        <v>2402</v>
      </c>
      <c r="AA118" t="s">
        <v>2403</v>
      </c>
      <c r="AB118" t="s">
        <v>2404</v>
      </c>
      <c r="AC118" t="s">
        <v>2405</v>
      </c>
      <c r="AD118" t="s">
        <v>2406</v>
      </c>
      <c r="AE118" t="s">
        <v>2407</v>
      </c>
      <c r="AF118" t="s">
        <v>74</v>
      </c>
      <c r="AG118">
        <v>46</v>
      </c>
      <c r="AH118">
        <v>66</v>
      </c>
      <c r="AI118">
        <v>68</v>
      </c>
      <c r="AJ118">
        <v>0</v>
      </c>
      <c r="AK118">
        <v>20</v>
      </c>
      <c r="AL118" t="s">
        <v>155</v>
      </c>
      <c r="AM118" t="s">
        <v>156</v>
      </c>
      <c r="AN118" t="s">
        <v>157</v>
      </c>
      <c r="AO118" t="s">
        <v>2387</v>
      </c>
      <c r="AP118" t="s">
        <v>74</v>
      </c>
      <c r="AQ118" t="s">
        <v>74</v>
      </c>
      <c r="AR118" t="s">
        <v>2389</v>
      </c>
      <c r="AS118" t="s">
        <v>2390</v>
      </c>
      <c r="AT118" t="s">
        <v>97</v>
      </c>
      <c r="AU118">
        <v>2012</v>
      </c>
      <c r="AV118">
        <v>59</v>
      </c>
      <c r="AW118" t="s">
        <v>74</v>
      </c>
      <c r="AX118" t="s">
        <v>74</v>
      </c>
      <c r="AY118" t="s">
        <v>74</v>
      </c>
      <c r="AZ118" t="s">
        <v>74</v>
      </c>
      <c r="BA118" t="s">
        <v>74</v>
      </c>
      <c r="BB118">
        <v>14</v>
      </c>
      <c r="BC118">
        <v>24</v>
      </c>
      <c r="BD118" t="s">
        <v>74</v>
      </c>
      <c r="BE118" t="s">
        <v>2408</v>
      </c>
      <c r="BF118" t="str">
        <f>HYPERLINK("http://dx.doi.org/10.1016/j.dsr2.2011.08.012","http://dx.doi.org/10.1016/j.dsr2.2011.08.012")</f>
        <v>http://dx.doi.org/10.1016/j.dsr2.2011.08.012</v>
      </c>
      <c r="BG118" t="s">
        <v>74</v>
      </c>
      <c r="BH118" t="s">
        <v>74</v>
      </c>
      <c r="BI118">
        <v>11</v>
      </c>
      <c r="BJ118" t="s">
        <v>496</v>
      </c>
      <c r="BK118" t="s">
        <v>100</v>
      </c>
      <c r="BL118" t="s">
        <v>496</v>
      </c>
      <c r="BM118" t="s">
        <v>2392</v>
      </c>
      <c r="BN118" t="s">
        <v>74</v>
      </c>
      <c r="BO118" t="s">
        <v>74</v>
      </c>
      <c r="BP118" t="s">
        <v>74</v>
      </c>
      <c r="BQ118" t="s">
        <v>74</v>
      </c>
      <c r="BR118" t="s">
        <v>102</v>
      </c>
      <c r="BS118" t="s">
        <v>2409</v>
      </c>
      <c r="BT118" t="str">
        <f>HYPERLINK("https%3A%2F%2Fwww.webofscience.com%2Fwos%2Fwoscc%2Ffull-record%2FWOS:000300810700002","View Full Record in Web of Science")</f>
        <v>View Full Record in Web of Science</v>
      </c>
    </row>
    <row r="119" spans="1:72" x14ac:dyDescent="0.15">
      <c r="A119" t="s">
        <v>72</v>
      </c>
      <c r="B119" t="s">
        <v>2410</v>
      </c>
      <c r="C119" t="s">
        <v>74</v>
      </c>
      <c r="D119" t="s">
        <v>74</v>
      </c>
      <c r="E119" t="s">
        <v>74</v>
      </c>
      <c r="F119" t="s">
        <v>2411</v>
      </c>
      <c r="G119" t="s">
        <v>74</v>
      </c>
      <c r="H119" t="s">
        <v>74</v>
      </c>
      <c r="I119" t="s">
        <v>2412</v>
      </c>
      <c r="J119" t="s">
        <v>2376</v>
      </c>
      <c r="K119" t="s">
        <v>74</v>
      </c>
      <c r="L119" t="s">
        <v>74</v>
      </c>
      <c r="M119" t="s">
        <v>78</v>
      </c>
      <c r="N119" t="s">
        <v>79</v>
      </c>
      <c r="O119" t="s">
        <v>74</v>
      </c>
      <c r="P119" t="s">
        <v>74</v>
      </c>
      <c r="Q119" t="s">
        <v>74</v>
      </c>
      <c r="R119" t="s">
        <v>74</v>
      </c>
      <c r="S119" t="s">
        <v>74</v>
      </c>
      <c r="T119" t="s">
        <v>2413</v>
      </c>
      <c r="U119" t="s">
        <v>2414</v>
      </c>
      <c r="V119" t="s">
        <v>2415</v>
      </c>
      <c r="W119" t="s">
        <v>2416</v>
      </c>
      <c r="X119" t="s">
        <v>2417</v>
      </c>
      <c r="Y119" t="s">
        <v>2418</v>
      </c>
      <c r="Z119" t="s">
        <v>2419</v>
      </c>
      <c r="AA119" t="s">
        <v>2420</v>
      </c>
      <c r="AB119" t="s">
        <v>2421</v>
      </c>
      <c r="AC119" t="s">
        <v>2422</v>
      </c>
      <c r="AD119" t="s">
        <v>2423</v>
      </c>
      <c r="AE119" t="s">
        <v>2424</v>
      </c>
      <c r="AF119" t="s">
        <v>74</v>
      </c>
      <c r="AG119">
        <v>90</v>
      </c>
      <c r="AH119">
        <v>30</v>
      </c>
      <c r="AI119">
        <v>30</v>
      </c>
      <c r="AJ119">
        <v>0</v>
      </c>
      <c r="AK119">
        <v>22</v>
      </c>
      <c r="AL119" t="s">
        <v>155</v>
      </c>
      <c r="AM119" t="s">
        <v>156</v>
      </c>
      <c r="AN119" t="s">
        <v>157</v>
      </c>
      <c r="AO119" t="s">
        <v>2387</v>
      </c>
      <c r="AP119" t="s">
        <v>2388</v>
      </c>
      <c r="AQ119" t="s">
        <v>74</v>
      </c>
      <c r="AR119" t="s">
        <v>2389</v>
      </c>
      <c r="AS119" t="s">
        <v>2390</v>
      </c>
      <c r="AT119" t="s">
        <v>97</v>
      </c>
      <c r="AU119">
        <v>2012</v>
      </c>
      <c r="AV119">
        <v>59</v>
      </c>
      <c r="AW119" t="s">
        <v>74</v>
      </c>
      <c r="AX119" t="s">
        <v>74</v>
      </c>
      <c r="AY119" t="s">
        <v>74</v>
      </c>
      <c r="AZ119" t="s">
        <v>74</v>
      </c>
      <c r="BA119" t="s">
        <v>74</v>
      </c>
      <c r="BB119">
        <v>25</v>
      </c>
      <c r="BC119">
        <v>35</v>
      </c>
      <c r="BD119" t="s">
        <v>74</v>
      </c>
      <c r="BE119" t="s">
        <v>2425</v>
      </c>
      <c r="BF119" t="str">
        <f>HYPERLINK("http://dx.doi.org/10.1016/j.dsr2.2011.08.001","http://dx.doi.org/10.1016/j.dsr2.2011.08.001")</f>
        <v>http://dx.doi.org/10.1016/j.dsr2.2011.08.001</v>
      </c>
      <c r="BG119" t="s">
        <v>74</v>
      </c>
      <c r="BH119" t="s">
        <v>74</v>
      </c>
      <c r="BI119">
        <v>11</v>
      </c>
      <c r="BJ119" t="s">
        <v>496</v>
      </c>
      <c r="BK119" t="s">
        <v>100</v>
      </c>
      <c r="BL119" t="s">
        <v>496</v>
      </c>
      <c r="BM119" t="s">
        <v>2392</v>
      </c>
      <c r="BN119" t="s">
        <v>74</v>
      </c>
      <c r="BO119" t="s">
        <v>74</v>
      </c>
      <c r="BP119" t="s">
        <v>74</v>
      </c>
      <c r="BQ119" t="s">
        <v>74</v>
      </c>
      <c r="BR119" t="s">
        <v>102</v>
      </c>
      <c r="BS119" t="s">
        <v>2426</v>
      </c>
      <c r="BT119" t="str">
        <f>HYPERLINK("https%3A%2F%2Fwww.webofscience.com%2Fwos%2Fwoscc%2Ffull-record%2FWOS:000300810700003","View Full Record in Web of Science")</f>
        <v>View Full Record in Web of Science</v>
      </c>
    </row>
    <row r="120" spans="1:72" x14ac:dyDescent="0.15">
      <c r="A120" t="s">
        <v>72</v>
      </c>
      <c r="B120" t="s">
        <v>2427</v>
      </c>
      <c r="C120" t="s">
        <v>74</v>
      </c>
      <c r="D120" t="s">
        <v>74</v>
      </c>
      <c r="E120" t="s">
        <v>74</v>
      </c>
      <c r="F120" t="s">
        <v>2428</v>
      </c>
      <c r="G120" t="s">
        <v>74</v>
      </c>
      <c r="H120" t="s">
        <v>74</v>
      </c>
      <c r="I120" t="s">
        <v>2429</v>
      </c>
      <c r="J120" t="s">
        <v>2376</v>
      </c>
      <c r="K120" t="s">
        <v>74</v>
      </c>
      <c r="L120" t="s">
        <v>74</v>
      </c>
      <c r="M120" t="s">
        <v>78</v>
      </c>
      <c r="N120" t="s">
        <v>79</v>
      </c>
      <c r="O120" t="s">
        <v>74</v>
      </c>
      <c r="P120" t="s">
        <v>74</v>
      </c>
      <c r="Q120" t="s">
        <v>74</v>
      </c>
      <c r="R120" t="s">
        <v>74</v>
      </c>
      <c r="S120" t="s">
        <v>74</v>
      </c>
      <c r="T120" t="s">
        <v>2430</v>
      </c>
      <c r="U120" t="s">
        <v>2431</v>
      </c>
      <c r="V120" t="s">
        <v>2432</v>
      </c>
      <c r="W120" t="s">
        <v>2433</v>
      </c>
      <c r="X120" t="s">
        <v>2434</v>
      </c>
      <c r="Y120" t="s">
        <v>2435</v>
      </c>
      <c r="Z120" t="s">
        <v>2436</v>
      </c>
      <c r="AA120" t="s">
        <v>2437</v>
      </c>
      <c r="AB120" t="s">
        <v>2438</v>
      </c>
      <c r="AC120" t="s">
        <v>2439</v>
      </c>
      <c r="AD120" t="s">
        <v>2440</v>
      </c>
      <c r="AE120" t="s">
        <v>2441</v>
      </c>
      <c r="AF120" t="s">
        <v>74</v>
      </c>
      <c r="AG120">
        <v>39</v>
      </c>
      <c r="AH120">
        <v>16</v>
      </c>
      <c r="AI120">
        <v>16</v>
      </c>
      <c r="AJ120">
        <v>1</v>
      </c>
      <c r="AK120">
        <v>30</v>
      </c>
      <c r="AL120" t="s">
        <v>155</v>
      </c>
      <c r="AM120" t="s">
        <v>156</v>
      </c>
      <c r="AN120" t="s">
        <v>157</v>
      </c>
      <c r="AO120" t="s">
        <v>2387</v>
      </c>
      <c r="AP120" t="s">
        <v>2388</v>
      </c>
      <c r="AQ120" t="s">
        <v>74</v>
      </c>
      <c r="AR120" t="s">
        <v>2389</v>
      </c>
      <c r="AS120" t="s">
        <v>2390</v>
      </c>
      <c r="AT120" t="s">
        <v>97</v>
      </c>
      <c r="AU120">
        <v>2012</v>
      </c>
      <c r="AV120">
        <v>59</v>
      </c>
      <c r="AW120" t="s">
        <v>74</v>
      </c>
      <c r="AX120" t="s">
        <v>74</v>
      </c>
      <c r="AY120" t="s">
        <v>74</v>
      </c>
      <c r="AZ120" t="s">
        <v>74</v>
      </c>
      <c r="BA120" t="s">
        <v>74</v>
      </c>
      <c r="BB120">
        <v>36</v>
      </c>
      <c r="BC120">
        <v>46</v>
      </c>
      <c r="BD120" t="s">
        <v>74</v>
      </c>
      <c r="BE120" t="s">
        <v>2442</v>
      </c>
      <c r="BF120" t="str">
        <f>HYPERLINK("http://dx.doi.org/10.1016/j.dsr2.2011.08.006","http://dx.doi.org/10.1016/j.dsr2.2011.08.006")</f>
        <v>http://dx.doi.org/10.1016/j.dsr2.2011.08.006</v>
      </c>
      <c r="BG120" t="s">
        <v>74</v>
      </c>
      <c r="BH120" t="s">
        <v>74</v>
      </c>
      <c r="BI120">
        <v>11</v>
      </c>
      <c r="BJ120" t="s">
        <v>496</v>
      </c>
      <c r="BK120" t="s">
        <v>100</v>
      </c>
      <c r="BL120" t="s">
        <v>496</v>
      </c>
      <c r="BM120" t="s">
        <v>2392</v>
      </c>
      <c r="BN120" t="s">
        <v>74</v>
      </c>
      <c r="BO120" t="s">
        <v>74</v>
      </c>
      <c r="BP120" t="s">
        <v>74</v>
      </c>
      <c r="BQ120" t="s">
        <v>74</v>
      </c>
      <c r="BR120" t="s">
        <v>102</v>
      </c>
      <c r="BS120" t="s">
        <v>2443</v>
      </c>
      <c r="BT120" t="str">
        <f>HYPERLINK("https%3A%2F%2Fwww.webofscience.com%2Fwos%2Fwoscc%2Ffull-record%2FWOS:000300810700004","View Full Record in Web of Science")</f>
        <v>View Full Record in Web of Science</v>
      </c>
    </row>
    <row r="121" spans="1:72" x14ac:dyDescent="0.15">
      <c r="A121" t="s">
        <v>72</v>
      </c>
      <c r="B121" t="s">
        <v>2444</v>
      </c>
      <c r="C121" t="s">
        <v>74</v>
      </c>
      <c r="D121" t="s">
        <v>74</v>
      </c>
      <c r="E121" t="s">
        <v>74</v>
      </c>
      <c r="F121" t="s">
        <v>2445</v>
      </c>
      <c r="G121" t="s">
        <v>74</v>
      </c>
      <c r="H121" t="s">
        <v>74</v>
      </c>
      <c r="I121" t="s">
        <v>2446</v>
      </c>
      <c r="J121" t="s">
        <v>2376</v>
      </c>
      <c r="K121" t="s">
        <v>74</v>
      </c>
      <c r="L121" t="s">
        <v>74</v>
      </c>
      <c r="M121" t="s">
        <v>78</v>
      </c>
      <c r="N121" t="s">
        <v>79</v>
      </c>
      <c r="O121" t="s">
        <v>74</v>
      </c>
      <c r="P121" t="s">
        <v>74</v>
      </c>
      <c r="Q121" t="s">
        <v>74</v>
      </c>
      <c r="R121" t="s">
        <v>74</v>
      </c>
      <c r="S121" t="s">
        <v>74</v>
      </c>
      <c r="T121" t="s">
        <v>2447</v>
      </c>
      <c r="U121" t="s">
        <v>2448</v>
      </c>
      <c r="V121" t="s">
        <v>2449</v>
      </c>
      <c r="W121" t="s">
        <v>2450</v>
      </c>
      <c r="X121" t="s">
        <v>527</v>
      </c>
      <c r="Y121" t="s">
        <v>2451</v>
      </c>
      <c r="Z121" t="s">
        <v>2452</v>
      </c>
      <c r="AA121" t="s">
        <v>2403</v>
      </c>
      <c r="AB121" t="s">
        <v>74</v>
      </c>
      <c r="AC121" t="s">
        <v>2453</v>
      </c>
      <c r="AD121" t="s">
        <v>1007</v>
      </c>
      <c r="AE121" t="s">
        <v>74</v>
      </c>
      <c r="AF121" t="s">
        <v>74</v>
      </c>
      <c r="AG121">
        <v>62</v>
      </c>
      <c r="AH121">
        <v>34</v>
      </c>
      <c r="AI121">
        <v>35</v>
      </c>
      <c r="AJ121">
        <v>0</v>
      </c>
      <c r="AK121">
        <v>23</v>
      </c>
      <c r="AL121" t="s">
        <v>155</v>
      </c>
      <c r="AM121" t="s">
        <v>156</v>
      </c>
      <c r="AN121" t="s">
        <v>157</v>
      </c>
      <c r="AO121" t="s">
        <v>2387</v>
      </c>
      <c r="AP121" t="s">
        <v>74</v>
      </c>
      <c r="AQ121" t="s">
        <v>74</v>
      </c>
      <c r="AR121" t="s">
        <v>2389</v>
      </c>
      <c r="AS121" t="s">
        <v>2390</v>
      </c>
      <c r="AT121" t="s">
        <v>97</v>
      </c>
      <c r="AU121">
        <v>2012</v>
      </c>
      <c r="AV121">
        <v>59</v>
      </c>
      <c r="AW121" t="s">
        <v>74</v>
      </c>
      <c r="AX121" t="s">
        <v>74</v>
      </c>
      <c r="AY121" t="s">
        <v>74</v>
      </c>
      <c r="AZ121" t="s">
        <v>74</v>
      </c>
      <c r="BA121" t="s">
        <v>74</v>
      </c>
      <c r="BB121">
        <v>47</v>
      </c>
      <c r="BC121">
        <v>56</v>
      </c>
      <c r="BD121" t="s">
        <v>74</v>
      </c>
      <c r="BE121" t="s">
        <v>2454</v>
      </c>
      <c r="BF121" t="str">
        <f>HYPERLINK("http://dx.doi.org/10.1016/j.dsr2.2011.05.010","http://dx.doi.org/10.1016/j.dsr2.2011.05.010")</f>
        <v>http://dx.doi.org/10.1016/j.dsr2.2011.05.010</v>
      </c>
      <c r="BG121" t="s">
        <v>74</v>
      </c>
      <c r="BH121" t="s">
        <v>74</v>
      </c>
      <c r="BI121">
        <v>10</v>
      </c>
      <c r="BJ121" t="s">
        <v>496</v>
      </c>
      <c r="BK121" t="s">
        <v>100</v>
      </c>
      <c r="BL121" t="s">
        <v>496</v>
      </c>
      <c r="BM121" t="s">
        <v>2392</v>
      </c>
      <c r="BN121" t="s">
        <v>74</v>
      </c>
      <c r="BO121" t="s">
        <v>74</v>
      </c>
      <c r="BP121" t="s">
        <v>74</v>
      </c>
      <c r="BQ121" t="s">
        <v>74</v>
      </c>
      <c r="BR121" t="s">
        <v>102</v>
      </c>
      <c r="BS121" t="s">
        <v>2455</v>
      </c>
      <c r="BT121" t="str">
        <f>HYPERLINK("https%3A%2F%2Fwww.webofscience.com%2Fwos%2Fwoscc%2Ffull-record%2FWOS:000300810700005","View Full Record in Web of Science")</f>
        <v>View Full Record in Web of Science</v>
      </c>
    </row>
    <row r="122" spans="1:72" x14ac:dyDescent="0.15">
      <c r="A122" t="s">
        <v>72</v>
      </c>
      <c r="B122" t="s">
        <v>2456</v>
      </c>
      <c r="C122" t="s">
        <v>74</v>
      </c>
      <c r="D122" t="s">
        <v>74</v>
      </c>
      <c r="E122" t="s">
        <v>74</v>
      </c>
      <c r="F122" t="s">
        <v>2457</v>
      </c>
      <c r="G122" t="s">
        <v>74</v>
      </c>
      <c r="H122" t="s">
        <v>74</v>
      </c>
      <c r="I122" t="s">
        <v>2458</v>
      </c>
      <c r="J122" t="s">
        <v>2376</v>
      </c>
      <c r="K122" t="s">
        <v>74</v>
      </c>
      <c r="L122" t="s">
        <v>74</v>
      </c>
      <c r="M122" t="s">
        <v>78</v>
      </c>
      <c r="N122" t="s">
        <v>79</v>
      </c>
      <c r="O122" t="s">
        <v>74</v>
      </c>
      <c r="P122" t="s">
        <v>74</v>
      </c>
      <c r="Q122" t="s">
        <v>74</v>
      </c>
      <c r="R122" t="s">
        <v>74</v>
      </c>
      <c r="S122" t="s">
        <v>74</v>
      </c>
      <c r="T122" t="s">
        <v>2459</v>
      </c>
      <c r="U122" t="s">
        <v>2460</v>
      </c>
      <c r="V122" t="s">
        <v>2461</v>
      </c>
      <c r="W122" t="s">
        <v>2462</v>
      </c>
      <c r="X122" t="s">
        <v>2463</v>
      </c>
      <c r="Y122" t="s">
        <v>2464</v>
      </c>
      <c r="Z122" t="s">
        <v>2436</v>
      </c>
      <c r="AA122" t="s">
        <v>2465</v>
      </c>
      <c r="AB122" t="s">
        <v>2466</v>
      </c>
      <c r="AC122" t="s">
        <v>2467</v>
      </c>
      <c r="AD122" t="s">
        <v>2468</v>
      </c>
      <c r="AE122" t="s">
        <v>2469</v>
      </c>
      <c r="AF122" t="s">
        <v>74</v>
      </c>
      <c r="AG122">
        <v>68</v>
      </c>
      <c r="AH122">
        <v>25</v>
      </c>
      <c r="AI122">
        <v>26</v>
      </c>
      <c r="AJ122">
        <v>0</v>
      </c>
      <c r="AK122">
        <v>19</v>
      </c>
      <c r="AL122" t="s">
        <v>155</v>
      </c>
      <c r="AM122" t="s">
        <v>156</v>
      </c>
      <c r="AN122" t="s">
        <v>157</v>
      </c>
      <c r="AO122" t="s">
        <v>2387</v>
      </c>
      <c r="AP122" t="s">
        <v>2388</v>
      </c>
      <c r="AQ122" t="s">
        <v>74</v>
      </c>
      <c r="AR122" t="s">
        <v>2389</v>
      </c>
      <c r="AS122" t="s">
        <v>2390</v>
      </c>
      <c r="AT122" t="s">
        <v>97</v>
      </c>
      <c r="AU122">
        <v>2012</v>
      </c>
      <c r="AV122">
        <v>59</v>
      </c>
      <c r="AW122" t="s">
        <v>74</v>
      </c>
      <c r="AX122" t="s">
        <v>74</v>
      </c>
      <c r="AY122" t="s">
        <v>74</v>
      </c>
      <c r="AZ122" t="s">
        <v>74</v>
      </c>
      <c r="BA122" t="s">
        <v>74</v>
      </c>
      <c r="BB122">
        <v>57</v>
      </c>
      <c r="BC122">
        <v>66</v>
      </c>
      <c r="BD122" t="s">
        <v>74</v>
      </c>
      <c r="BE122" t="s">
        <v>2470</v>
      </c>
      <c r="BF122" t="str">
        <f>HYPERLINK("http://dx.doi.org/10.1016/j.dsr2.2011.09.002","http://dx.doi.org/10.1016/j.dsr2.2011.09.002")</f>
        <v>http://dx.doi.org/10.1016/j.dsr2.2011.09.002</v>
      </c>
      <c r="BG122" t="s">
        <v>74</v>
      </c>
      <c r="BH122" t="s">
        <v>74</v>
      </c>
      <c r="BI122">
        <v>10</v>
      </c>
      <c r="BJ122" t="s">
        <v>496</v>
      </c>
      <c r="BK122" t="s">
        <v>100</v>
      </c>
      <c r="BL122" t="s">
        <v>496</v>
      </c>
      <c r="BM122" t="s">
        <v>2392</v>
      </c>
      <c r="BN122" t="s">
        <v>74</v>
      </c>
      <c r="BO122" t="s">
        <v>74</v>
      </c>
      <c r="BP122" t="s">
        <v>74</v>
      </c>
      <c r="BQ122" t="s">
        <v>74</v>
      </c>
      <c r="BR122" t="s">
        <v>102</v>
      </c>
      <c r="BS122" t="s">
        <v>2471</v>
      </c>
      <c r="BT122" t="str">
        <f>HYPERLINK("https%3A%2F%2Fwww.webofscience.com%2Fwos%2Fwoscc%2Ffull-record%2FWOS:000300810700006","View Full Record in Web of Science")</f>
        <v>View Full Record in Web of Science</v>
      </c>
    </row>
    <row r="123" spans="1:72" x14ac:dyDescent="0.15">
      <c r="A123" t="s">
        <v>72</v>
      </c>
      <c r="B123" t="s">
        <v>2472</v>
      </c>
      <c r="C123" t="s">
        <v>74</v>
      </c>
      <c r="D123" t="s">
        <v>74</v>
      </c>
      <c r="E123" t="s">
        <v>74</v>
      </c>
      <c r="F123" t="s">
        <v>2473</v>
      </c>
      <c r="G123" t="s">
        <v>74</v>
      </c>
      <c r="H123" t="s">
        <v>74</v>
      </c>
      <c r="I123" t="s">
        <v>2474</v>
      </c>
      <c r="J123" t="s">
        <v>2376</v>
      </c>
      <c r="K123" t="s">
        <v>74</v>
      </c>
      <c r="L123" t="s">
        <v>74</v>
      </c>
      <c r="M123" t="s">
        <v>78</v>
      </c>
      <c r="N123" t="s">
        <v>79</v>
      </c>
      <c r="O123" t="s">
        <v>74</v>
      </c>
      <c r="P123" t="s">
        <v>74</v>
      </c>
      <c r="Q123" t="s">
        <v>74</v>
      </c>
      <c r="R123" t="s">
        <v>74</v>
      </c>
      <c r="S123" t="s">
        <v>74</v>
      </c>
      <c r="T123" t="s">
        <v>2475</v>
      </c>
      <c r="U123" t="s">
        <v>2476</v>
      </c>
      <c r="V123" t="s">
        <v>2477</v>
      </c>
      <c r="W123" t="s">
        <v>2478</v>
      </c>
      <c r="X123" t="s">
        <v>2479</v>
      </c>
      <c r="Y123" t="s">
        <v>2480</v>
      </c>
      <c r="Z123" t="s">
        <v>2481</v>
      </c>
      <c r="AA123" t="s">
        <v>2482</v>
      </c>
      <c r="AB123" t="s">
        <v>2483</v>
      </c>
      <c r="AC123" t="s">
        <v>2484</v>
      </c>
      <c r="AD123" t="s">
        <v>2485</v>
      </c>
      <c r="AE123" t="s">
        <v>2486</v>
      </c>
      <c r="AF123" t="s">
        <v>74</v>
      </c>
      <c r="AG123">
        <v>60</v>
      </c>
      <c r="AH123">
        <v>51</v>
      </c>
      <c r="AI123">
        <v>53</v>
      </c>
      <c r="AJ123">
        <v>0</v>
      </c>
      <c r="AK123">
        <v>31</v>
      </c>
      <c r="AL123" t="s">
        <v>155</v>
      </c>
      <c r="AM123" t="s">
        <v>156</v>
      </c>
      <c r="AN123" t="s">
        <v>157</v>
      </c>
      <c r="AO123" t="s">
        <v>2387</v>
      </c>
      <c r="AP123" t="s">
        <v>2388</v>
      </c>
      <c r="AQ123" t="s">
        <v>74</v>
      </c>
      <c r="AR123" t="s">
        <v>2389</v>
      </c>
      <c r="AS123" t="s">
        <v>2390</v>
      </c>
      <c r="AT123" t="s">
        <v>97</v>
      </c>
      <c r="AU123">
        <v>2012</v>
      </c>
      <c r="AV123">
        <v>59</v>
      </c>
      <c r="AW123" t="s">
        <v>74</v>
      </c>
      <c r="AX123" t="s">
        <v>74</v>
      </c>
      <c r="AY123" t="s">
        <v>74</v>
      </c>
      <c r="AZ123" t="s">
        <v>74</v>
      </c>
      <c r="BA123" t="s">
        <v>74</v>
      </c>
      <c r="BB123">
        <v>67</v>
      </c>
      <c r="BC123">
        <v>77</v>
      </c>
      <c r="BD123" t="s">
        <v>74</v>
      </c>
      <c r="BE123" t="s">
        <v>2487</v>
      </c>
      <c r="BF123" t="str">
        <f>HYPERLINK("http://dx.doi.org/10.1016/j.dsr2.2011.06.006","http://dx.doi.org/10.1016/j.dsr2.2011.06.006")</f>
        <v>http://dx.doi.org/10.1016/j.dsr2.2011.06.006</v>
      </c>
      <c r="BG123" t="s">
        <v>74</v>
      </c>
      <c r="BH123" t="s">
        <v>74</v>
      </c>
      <c r="BI123">
        <v>11</v>
      </c>
      <c r="BJ123" t="s">
        <v>496</v>
      </c>
      <c r="BK123" t="s">
        <v>100</v>
      </c>
      <c r="BL123" t="s">
        <v>496</v>
      </c>
      <c r="BM123" t="s">
        <v>2392</v>
      </c>
      <c r="BN123" t="s">
        <v>74</v>
      </c>
      <c r="BO123" t="s">
        <v>74</v>
      </c>
      <c r="BP123" t="s">
        <v>74</v>
      </c>
      <c r="BQ123" t="s">
        <v>74</v>
      </c>
      <c r="BR123" t="s">
        <v>102</v>
      </c>
      <c r="BS123" t="s">
        <v>2488</v>
      </c>
      <c r="BT123" t="str">
        <f>HYPERLINK("https%3A%2F%2Fwww.webofscience.com%2Fwos%2Fwoscc%2Ffull-record%2FWOS:000300810700007","View Full Record in Web of Science")</f>
        <v>View Full Record in Web of Science</v>
      </c>
    </row>
    <row r="124" spans="1:72" x14ac:dyDescent="0.15">
      <c r="A124" t="s">
        <v>72</v>
      </c>
      <c r="B124" t="s">
        <v>2489</v>
      </c>
      <c r="C124" t="s">
        <v>74</v>
      </c>
      <c r="D124" t="s">
        <v>74</v>
      </c>
      <c r="E124" t="s">
        <v>74</v>
      </c>
      <c r="F124" t="s">
        <v>2490</v>
      </c>
      <c r="G124" t="s">
        <v>74</v>
      </c>
      <c r="H124" t="s">
        <v>74</v>
      </c>
      <c r="I124" t="s">
        <v>2491</v>
      </c>
      <c r="J124" t="s">
        <v>2376</v>
      </c>
      <c r="K124" t="s">
        <v>74</v>
      </c>
      <c r="L124" t="s">
        <v>74</v>
      </c>
      <c r="M124" t="s">
        <v>78</v>
      </c>
      <c r="N124" t="s">
        <v>79</v>
      </c>
      <c r="O124" t="s">
        <v>74</v>
      </c>
      <c r="P124" t="s">
        <v>74</v>
      </c>
      <c r="Q124" t="s">
        <v>74</v>
      </c>
      <c r="R124" t="s">
        <v>74</v>
      </c>
      <c r="S124" t="s">
        <v>74</v>
      </c>
      <c r="T124" t="s">
        <v>2492</v>
      </c>
      <c r="U124" t="s">
        <v>2493</v>
      </c>
      <c r="V124" t="s">
        <v>2494</v>
      </c>
      <c r="W124" t="s">
        <v>2495</v>
      </c>
      <c r="X124" t="s">
        <v>527</v>
      </c>
      <c r="Y124" t="s">
        <v>2496</v>
      </c>
      <c r="Z124" t="s">
        <v>2497</v>
      </c>
      <c r="AA124" t="s">
        <v>2403</v>
      </c>
      <c r="AB124" t="s">
        <v>74</v>
      </c>
      <c r="AC124" t="s">
        <v>2498</v>
      </c>
      <c r="AD124" t="s">
        <v>2499</v>
      </c>
      <c r="AE124" t="s">
        <v>2500</v>
      </c>
      <c r="AF124" t="s">
        <v>74</v>
      </c>
      <c r="AG124">
        <v>85</v>
      </c>
      <c r="AH124">
        <v>52</v>
      </c>
      <c r="AI124">
        <v>53</v>
      </c>
      <c r="AJ124">
        <v>1</v>
      </c>
      <c r="AK124">
        <v>39</v>
      </c>
      <c r="AL124" t="s">
        <v>155</v>
      </c>
      <c r="AM124" t="s">
        <v>156</v>
      </c>
      <c r="AN124" t="s">
        <v>157</v>
      </c>
      <c r="AO124" t="s">
        <v>2387</v>
      </c>
      <c r="AP124" t="s">
        <v>2388</v>
      </c>
      <c r="AQ124" t="s">
        <v>74</v>
      </c>
      <c r="AR124" t="s">
        <v>2389</v>
      </c>
      <c r="AS124" t="s">
        <v>2390</v>
      </c>
      <c r="AT124" t="s">
        <v>97</v>
      </c>
      <c r="AU124">
        <v>2012</v>
      </c>
      <c r="AV124">
        <v>59</v>
      </c>
      <c r="AW124" t="s">
        <v>74</v>
      </c>
      <c r="AX124" t="s">
        <v>74</v>
      </c>
      <c r="AY124" t="s">
        <v>74</v>
      </c>
      <c r="AZ124" t="s">
        <v>74</v>
      </c>
      <c r="BA124" t="s">
        <v>74</v>
      </c>
      <c r="BB124">
        <v>78</v>
      </c>
      <c r="BC124">
        <v>92</v>
      </c>
      <c r="BD124" t="s">
        <v>74</v>
      </c>
      <c r="BE124" t="s">
        <v>2501</v>
      </c>
      <c r="BF124" t="str">
        <f>HYPERLINK("http://dx.doi.org/10.1016/j.dsr2.2011.07.004","http://dx.doi.org/10.1016/j.dsr2.2011.07.004")</f>
        <v>http://dx.doi.org/10.1016/j.dsr2.2011.07.004</v>
      </c>
      <c r="BG124" t="s">
        <v>74</v>
      </c>
      <c r="BH124" t="s">
        <v>74</v>
      </c>
      <c r="BI124">
        <v>15</v>
      </c>
      <c r="BJ124" t="s">
        <v>496</v>
      </c>
      <c r="BK124" t="s">
        <v>100</v>
      </c>
      <c r="BL124" t="s">
        <v>496</v>
      </c>
      <c r="BM124" t="s">
        <v>2392</v>
      </c>
      <c r="BN124" t="s">
        <v>74</v>
      </c>
      <c r="BO124" t="s">
        <v>74</v>
      </c>
      <c r="BP124" t="s">
        <v>74</v>
      </c>
      <c r="BQ124" t="s">
        <v>74</v>
      </c>
      <c r="BR124" t="s">
        <v>102</v>
      </c>
      <c r="BS124" t="s">
        <v>2502</v>
      </c>
      <c r="BT124" t="str">
        <f>HYPERLINK("https%3A%2F%2Fwww.webofscience.com%2Fwos%2Fwoscc%2Ffull-record%2FWOS:000300810700008","View Full Record in Web of Science")</f>
        <v>View Full Record in Web of Science</v>
      </c>
    </row>
    <row r="125" spans="1:72" x14ac:dyDescent="0.15">
      <c r="A125" t="s">
        <v>72</v>
      </c>
      <c r="B125" t="s">
        <v>2503</v>
      </c>
      <c r="C125" t="s">
        <v>74</v>
      </c>
      <c r="D125" t="s">
        <v>74</v>
      </c>
      <c r="E125" t="s">
        <v>74</v>
      </c>
      <c r="F125" t="s">
        <v>2504</v>
      </c>
      <c r="G125" t="s">
        <v>74</v>
      </c>
      <c r="H125" t="s">
        <v>74</v>
      </c>
      <c r="I125" t="s">
        <v>2505</v>
      </c>
      <c r="J125" t="s">
        <v>2376</v>
      </c>
      <c r="K125" t="s">
        <v>74</v>
      </c>
      <c r="L125" t="s">
        <v>74</v>
      </c>
      <c r="M125" t="s">
        <v>78</v>
      </c>
      <c r="N125" t="s">
        <v>79</v>
      </c>
      <c r="O125" t="s">
        <v>74</v>
      </c>
      <c r="P125" t="s">
        <v>74</v>
      </c>
      <c r="Q125" t="s">
        <v>74</v>
      </c>
      <c r="R125" t="s">
        <v>74</v>
      </c>
      <c r="S125" t="s">
        <v>74</v>
      </c>
      <c r="T125" t="s">
        <v>2506</v>
      </c>
      <c r="U125" t="s">
        <v>2507</v>
      </c>
      <c r="V125" t="s">
        <v>2508</v>
      </c>
      <c r="W125" t="s">
        <v>2509</v>
      </c>
      <c r="X125" t="s">
        <v>2510</v>
      </c>
      <c r="Y125" t="s">
        <v>2511</v>
      </c>
      <c r="Z125" t="s">
        <v>2512</v>
      </c>
      <c r="AA125" t="s">
        <v>2513</v>
      </c>
      <c r="AB125" t="s">
        <v>2514</v>
      </c>
      <c r="AC125" t="s">
        <v>2515</v>
      </c>
      <c r="AD125" t="s">
        <v>2516</v>
      </c>
      <c r="AE125" t="s">
        <v>2517</v>
      </c>
      <c r="AF125" t="s">
        <v>74</v>
      </c>
      <c r="AG125">
        <v>57</v>
      </c>
      <c r="AH125">
        <v>30</v>
      </c>
      <c r="AI125">
        <v>30</v>
      </c>
      <c r="AJ125">
        <v>0</v>
      </c>
      <c r="AK125">
        <v>40</v>
      </c>
      <c r="AL125" t="s">
        <v>155</v>
      </c>
      <c r="AM125" t="s">
        <v>156</v>
      </c>
      <c r="AN125" t="s">
        <v>157</v>
      </c>
      <c r="AO125" t="s">
        <v>2387</v>
      </c>
      <c r="AP125" t="s">
        <v>2388</v>
      </c>
      <c r="AQ125" t="s">
        <v>74</v>
      </c>
      <c r="AR125" t="s">
        <v>2389</v>
      </c>
      <c r="AS125" t="s">
        <v>2390</v>
      </c>
      <c r="AT125" t="s">
        <v>97</v>
      </c>
      <c r="AU125">
        <v>2012</v>
      </c>
      <c r="AV125">
        <v>59</v>
      </c>
      <c r="AW125" t="s">
        <v>74</v>
      </c>
      <c r="AX125" t="s">
        <v>74</v>
      </c>
      <c r="AY125" t="s">
        <v>74</v>
      </c>
      <c r="AZ125" t="s">
        <v>74</v>
      </c>
      <c r="BA125" t="s">
        <v>74</v>
      </c>
      <c r="BB125">
        <v>93</v>
      </c>
      <c r="BC125">
        <v>104</v>
      </c>
      <c r="BD125" t="s">
        <v>74</v>
      </c>
      <c r="BE125" t="s">
        <v>2518</v>
      </c>
      <c r="BF125" t="str">
        <f>HYPERLINK("http://dx.doi.org/10.1016/j.dsr2.2011.05.009","http://dx.doi.org/10.1016/j.dsr2.2011.05.009")</f>
        <v>http://dx.doi.org/10.1016/j.dsr2.2011.05.009</v>
      </c>
      <c r="BG125" t="s">
        <v>74</v>
      </c>
      <c r="BH125" t="s">
        <v>74</v>
      </c>
      <c r="BI125">
        <v>12</v>
      </c>
      <c r="BJ125" t="s">
        <v>496</v>
      </c>
      <c r="BK125" t="s">
        <v>100</v>
      </c>
      <c r="BL125" t="s">
        <v>496</v>
      </c>
      <c r="BM125" t="s">
        <v>2392</v>
      </c>
      <c r="BN125" t="s">
        <v>74</v>
      </c>
      <c r="BO125" t="s">
        <v>74</v>
      </c>
      <c r="BP125" t="s">
        <v>74</v>
      </c>
      <c r="BQ125" t="s">
        <v>74</v>
      </c>
      <c r="BR125" t="s">
        <v>102</v>
      </c>
      <c r="BS125" t="s">
        <v>2519</v>
      </c>
      <c r="BT125" t="str">
        <f>HYPERLINK("https%3A%2F%2Fwww.webofscience.com%2Fwos%2Fwoscc%2Ffull-record%2FWOS:000300810700009","View Full Record in Web of Science")</f>
        <v>View Full Record in Web of Science</v>
      </c>
    </row>
    <row r="126" spans="1:72" x14ac:dyDescent="0.15">
      <c r="A126" t="s">
        <v>72</v>
      </c>
      <c r="B126" t="s">
        <v>2520</v>
      </c>
      <c r="C126" t="s">
        <v>74</v>
      </c>
      <c r="D126" t="s">
        <v>74</v>
      </c>
      <c r="E126" t="s">
        <v>74</v>
      </c>
      <c r="F126" t="s">
        <v>2521</v>
      </c>
      <c r="G126" t="s">
        <v>74</v>
      </c>
      <c r="H126" t="s">
        <v>74</v>
      </c>
      <c r="I126" t="s">
        <v>2522</v>
      </c>
      <c r="J126" t="s">
        <v>2376</v>
      </c>
      <c r="K126" t="s">
        <v>74</v>
      </c>
      <c r="L126" t="s">
        <v>74</v>
      </c>
      <c r="M126" t="s">
        <v>78</v>
      </c>
      <c r="N126" t="s">
        <v>79</v>
      </c>
      <c r="O126" t="s">
        <v>74</v>
      </c>
      <c r="P126" t="s">
        <v>74</v>
      </c>
      <c r="Q126" t="s">
        <v>74</v>
      </c>
      <c r="R126" t="s">
        <v>74</v>
      </c>
      <c r="S126" t="s">
        <v>74</v>
      </c>
      <c r="T126" t="s">
        <v>2523</v>
      </c>
      <c r="U126" t="s">
        <v>2524</v>
      </c>
      <c r="V126" t="s">
        <v>2525</v>
      </c>
      <c r="W126" t="s">
        <v>2526</v>
      </c>
      <c r="X126" t="s">
        <v>2527</v>
      </c>
      <c r="Y126" t="s">
        <v>2382</v>
      </c>
      <c r="Z126" t="s">
        <v>2383</v>
      </c>
      <c r="AA126" t="s">
        <v>2528</v>
      </c>
      <c r="AB126" t="s">
        <v>2529</v>
      </c>
      <c r="AC126" t="s">
        <v>2530</v>
      </c>
      <c r="AD126" t="s">
        <v>2531</v>
      </c>
      <c r="AE126" t="s">
        <v>2532</v>
      </c>
      <c r="AF126" t="s">
        <v>74</v>
      </c>
      <c r="AG126">
        <v>56</v>
      </c>
      <c r="AH126">
        <v>51</v>
      </c>
      <c r="AI126">
        <v>56</v>
      </c>
      <c r="AJ126">
        <v>0</v>
      </c>
      <c r="AK126">
        <v>52</v>
      </c>
      <c r="AL126" t="s">
        <v>155</v>
      </c>
      <c r="AM126" t="s">
        <v>156</v>
      </c>
      <c r="AN126" t="s">
        <v>157</v>
      </c>
      <c r="AO126" t="s">
        <v>2387</v>
      </c>
      <c r="AP126" t="s">
        <v>74</v>
      </c>
      <c r="AQ126" t="s">
        <v>74</v>
      </c>
      <c r="AR126" t="s">
        <v>2389</v>
      </c>
      <c r="AS126" t="s">
        <v>2390</v>
      </c>
      <c r="AT126" t="s">
        <v>97</v>
      </c>
      <c r="AU126">
        <v>2012</v>
      </c>
      <c r="AV126">
        <v>59</v>
      </c>
      <c r="AW126" t="s">
        <v>74</v>
      </c>
      <c r="AX126" t="s">
        <v>74</v>
      </c>
      <c r="AY126" t="s">
        <v>74</v>
      </c>
      <c r="AZ126" t="s">
        <v>74</v>
      </c>
      <c r="BA126" t="s">
        <v>74</v>
      </c>
      <c r="BB126">
        <v>105</v>
      </c>
      <c r="BC126">
        <v>116</v>
      </c>
      <c r="BD126" t="s">
        <v>74</v>
      </c>
      <c r="BE126" t="s">
        <v>2533</v>
      </c>
      <c r="BF126" t="str">
        <f>HYPERLINK("http://dx.doi.org/10.1016/j.dsr2.2011.08.003","http://dx.doi.org/10.1016/j.dsr2.2011.08.003")</f>
        <v>http://dx.doi.org/10.1016/j.dsr2.2011.08.003</v>
      </c>
      <c r="BG126" t="s">
        <v>74</v>
      </c>
      <c r="BH126" t="s">
        <v>74</v>
      </c>
      <c r="BI126">
        <v>12</v>
      </c>
      <c r="BJ126" t="s">
        <v>496</v>
      </c>
      <c r="BK126" t="s">
        <v>100</v>
      </c>
      <c r="BL126" t="s">
        <v>496</v>
      </c>
      <c r="BM126" t="s">
        <v>2392</v>
      </c>
      <c r="BN126" t="s">
        <v>74</v>
      </c>
      <c r="BO126" t="s">
        <v>74</v>
      </c>
      <c r="BP126" t="s">
        <v>74</v>
      </c>
      <c r="BQ126" t="s">
        <v>74</v>
      </c>
      <c r="BR126" t="s">
        <v>102</v>
      </c>
      <c r="BS126" t="s">
        <v>2534</v>
      </c>
      <c r="BT126" t="str">
        <f>HYPERLINK("https%3A%2F%2Fwww.webofscience.com%2Fwos%2Fwoscc%2Ffull-record%2FWOS:000300810700010","View Full Record in Web of Science")</f>
        <v>View Full Record in Web of Science</v>
      </c>
    </row>
    <row r="127" spans="1:72" x14ac:dyDescent="0.15">
      <c r="A127" t="s">
        <v>72</v>
      </c>
      <c r="B127" t="s">
        <v>2535</v>
      </c>
      <c r="C127" t="s">
        <v>74</v>
      </c>
      <c r="D127" t="s">
        <v>74</v>
      </c>
      <c r="E127" t="s">
        <v>74</v>
      </c>
      <c r="F127" t="s">
        <v>2536</v>
      </c>
      <c r="G127" t="s">
        <v>74</v>
      </c>
      <c r="H127" t="s">
        <v>74</v>
      </c>
      <c r="I127" t="s">
        <v>2537</v>
      </c>
      <c r="J127" t="s">
        <v>2376</v>
      </c>
      <c r="K127" t="s">
        <v>74</v>
      </c>
      <c r="L127" t="s">
        <v>74</v>
      </c>
      <c r="M127" t="s">
        <v>78</v>
      </c>
      <c r="N127" t="s">
        <v>79</v>
      </c>
      <c r="O127" t="s">
        <v>74</v>
      </c>
      <c r="P127" t="s">
        <v>74</v>
      </c>
      <c r="Q127" t="s">
        <v>74</v>
      </c>
      <c r="R127" t="s">
        <v>74</v>
      </c>
      <c r="S127" t="s">
        <v>74</v>
      </c>
      <c r="T127" t="s">
        <v>2538</v>
      </c>
      <c r="U127" t="s">
        <v>2539</v>
      </c>
      <c r="V127" t="s">
        <v>2540</v>
      </c>
      <c r="W127" t="s">
        <v>2541</v>
      </c>
      <c r="X127" t="s">
        <v>527</v>
      </c>
      <c r="Y127" t="s">
        <v>2382</v>
      </c>
      <c r="Z127" t="s">
        <v>2383</v>
      </c>
      <c r="AA127" t="s">
        <v>74</v>
      </c>
      <c r="AB127" t="s">
        <v>74</v>
      </c>
      <c r="AC127" t="s">
        <v>2542</v>
      </c>
      <c r="AD127" t="s">
        <v>2516</v>
      </c>
      <c r="AE127" t="s">
        <v>2543</v>
      </c>
      <c r="AF127" t="s">
        <v>74</v>
      </c>
      <c r="AG127">
        <v>63</v>
      </c>
      <c r="AH127">
        <v>26</v>
      </c>
      <c r="AI127">
        <v>28</v>
      </c>
      <c r="AJ127">
        <v>0</v>
      </c>
      <c r="AK127">
        <v>27</v>
      </c>
      <c r="AL127" t="s">
        <v>155</v>
      </c>
      <c r="AM127" t="s">
        <v>156</v>
      </c>
      <c r="AN127" t="s">
        <v>157</v>
      </c>
      <c r="AO127" t="s">
        <v>2387</v>
      </c>
      <c r="AP127" t="s">
        <v>2388</v>
      </c>
      <c r="AQ127" t="s">
        <v>74</v>
      </c>
      <c r="AR127" t="s">
        <v>2389</v>
      </c>
      <c r="AS127" t="s">
        <v>2390</v>
      </c>
      <c r="AT127" t="s">
        <v>97</v>
      </c>
      <c r="AU127">
        <v>2012</v>
      </c>
      <c r="AV127">
        <v>59</v>
      </c>
      <c r="AW127" t="s">
        <v>74</v>
      </c>
      <c r="AX127" t="s">
        <v>74</v>
      </c>
      <c r="AY127" t="s">
        <v>74</v>
      </c>
      <c r="AZ127" t="s">
        <v>74</v>
      </c>
      <c r="BA127" t="s">
        <v>74</v>
      </c>
      <c r="BB127">
        <v>117</v>
      </c>
      <c r="BC127">
        <v>129</v>
      </c>
      <c r="BD127" t="s">
        <v>74</v>
      </c>
      <c r="BE127" t="s">
        <v>2544</v>
      </c>
      <c r="BF127" t="str">
        <f>HYPERLINK("http://dx.doi.org/10.1016/j.dsr2.2011.05.001","http://dx.doi.org/10.1016/j.dsr2.2011.05.001")</f>
        <v>http://dx.doi.org/10.1016/j.dsr2.2011.05.001</v>
      </c>
      <c r="BG127" t="s">
        <v>74</v>
      </c>
      <c r="BH127" t="s">
        <v>74</v>
      </c>
      <c r="BI127">
        <v>13</v>
      </c>
      <c r="BJ127" t="s">
        <v>496</v>
      </c>
      <c r="BK127" t="s">
        <v>100</v>
      </c>
      <c r="BL127" t="s">
        <v>496</v>
      </c>
      <c r="BM127" t="s">
        <v>2392</v>
      </c>
      <c r="BN127" t="s">
        <v>74</v>
      </c>
      <c r="BO127" t="s">
        <v>74</v>
      </c>
      <c r="BP127" t="s">
        <v>74</v>
      </c>
      <c r="BQ127" t="s">
        <v>74</v>
      </c>
      <c r="BR127" t="s">
        <v>102</v>
      </c>
      <c r="BS127" t="s">
        <v>2545</v>
      </c>
      <c r="BT127" t="str">
        <f>HYPERLINK("https%3A%2F%2Fwww.webofscience.com%2Fwos%2Fwoscc%2Ffull-record%2FWOS:000300810700011","View Full Record in Web of Science")</f>
        <v>View Full Record in Web of Science</v>
      </c>
    </row>
    <row r="128" spans="1:72" x14ac:dyDescent="0.15">
      <c r="A128" t="s">
        <v>72</v>
      </c>
      <c r="B128" t="s">
        <v>2546</v>
      </c>
      <c r="C128" t="s">
        <v>74</v>
      </c>
      <c r="D128" t="s">
        <v>74</v>
      </c>
      <c r="E128" t="s">
        <v>74</v>
      </c>
      <c r="F128" t="s">
        <v>2547</v>
      </c>
      <c r="G128" t="s">
        <v>74</v>
      </c>
      <c r="H128" t="s">
        <v>74</v>
      </c>
      <c r="I128" t="s">
        <v>2548</v>
      </c>
      <c r="J128" t="s">
        <v>2376</v>
      </c>
      <c r="K128" t="s">
        <v>74</v>
      </c>
      <c r="L128" t="s">
        <v>74</v>
      </c>
      <c r="M128" t="s">
        <v>78</v>
      </c>
      <c r="N128" t="s">
        <v>79</v>
      </c>
      <c r="O128" t="s">
        <v>74</v>
      </c>
      <c r="P128" t="s">
        <v>74</v>
      </c>
      <c r="Q128" t="s">
        <v>74</v>
      </c>
      <c r="R128" t="s">
        <v>74</v>
      </c>
      <c r="S128" t="s">
        <v>74</v>
      </c>
      <c r="T128" t="s">
        <v>2549</v>
      </c>
      <c r="U128" t="s">
        <v>2550</v>
      </c>
      <c r="V128" t="s">
        <v>2551</v>
      </c>
      <c r="W128" t="s">
        <v>2552</v>
      </c>
      <c r="X128" t="s">
        <v>527</v>
      </c>
      <c r="Y128" t="s">
        <v>2553</v>
      </c>
      <c r="Z128" t="s">
        <v>2554</v>
      </c>
      <c r="AA128" t="s">
        <v>2555</v>
      </c>
      <c r="AB128" t="s">
        <v>2556</v>
      </c>
      <c r="AC128" t="s">
        <v>2557</v>
      </c>
      <c r="AD128" t="s">
        <v>2558</v>
      </c>
      <c r="AE128" t="s">
        <v>2559</v>
      </c>
      <c r="AF128" t="s">
        <v>74</v>
      </c>
      <c r="AG128">
        <v>116</v>
      </c>
      <c r="AH128">
        <v>55</v>
      </c>
      <c r="AI128">
        <v>65</v>
      </c>
      <c r="AJ128">
        <v>2</v>
      </c>
      <c r="AK128">
        <v>40</v>
      </c>
      <c r="AL128" t="s">
        <v>155</v>
      </c>
      <c r="AM128" t="s">
        <v>156</v>
      </c>
      <c r="AN128" t="s">
        <v>157</v>
      </c>
      <c r="AO128" t="s">
        <v>2387</v>
      </c>
      <c r="AP128" t="s">
        <v>2388</v>
      </c>
      <c r="AQ128" t="s">
        <v>74</v>
      </c>
      <c r="AR128" t="s">
        <v>2389</v>
      </c>
      <c r="AS128" t="s">
        <v>2390</v>
      </c>
      <c r="AT128" t="s">
        <v>97</v>
      </c>
      <c r="AU128">
        <v>2012</v>
      </c>
      <c r="AV128">
        <v>59</v>
      </c>
      <c r="AW128" t="s">
        <v>74</v>
      </c>
      <c r="AX128" t="s">
        <v>74</v>
      </c>
      <c r="AY128" t="s">
        <v>74</v>
      </c>
      <c r="AZ128" t="s">
        <v>74</v>
      </c>
      <c r="BA128" t="s">
        <v>74</v>
      </c>
      <c r="BB128">
        <v>130</v>
      </c>
      <c r="BC128">
        <v>146</v>
      </c>
      <c r="BD128" t="s">
        <v>74</v>
      </c>
      <c r="BE128" t="s">
        <v>2560</v>
      </c>
      <c r="BF128" t="str">
        <f>HYPERLINK("http://dx.doi.org/10.1016/j.dsr2.2011.08.011","http://dx.doi.org/10.1016/j.dsr2.2011.08.011")</f>
        <v>http://dx.doi.org/10.1016/j.dsr2.2011.08.011</v>
      </c>
      <c r="BG128" t="s">
        <v>74</v>
      </c>
      <c r="BH128" t="s">
        <v>74</v>
      </c>
      <c r="BI128">
        <v>17</v>
      </c>
      <c r="BJ128" t="s">
        <v>496</v>
      </c>
      <c r="BK128" t="s">
        <v>100</v>
      </c>
      <c r="BL128" t="s">
        <v>496</v>
      </c>
      <c r="BM128" t="s">
        <v>2392</v>
      </c>
      <c r="BN128" t="s">
        <v>74</v>
      </c>
      <c r="BO128" t="s">
        <v>74</v>
      </c>
      <c r="BP128" t="s">
        <v>74</v>
      </c>
      <c r="BQ128" t="s">
        <v>74</v>
      </c>
      <c r="BR128" t="s">
        <v>102</v>
      </c>
      <c r="BS128" t="s">
        <v>2561</v>
      </c>
      <c r="BT128" t="str">
        <f>HYPERLINK("https%3A%2F%2Fwww.webofscience.com%2Fwos%2Fwoscc%2Ffull-record%2FWOS:000300810700012","View Full Record in Web of Science")</f>
        <v>View Full Record in Web of Science</v>
      </c>
    </row>
    <row r="129" spans="1:72" x14ac:dyDescent="0.15">
      <c r="A129" t="s">
        <v>72</v>
      </c>
      <c r="B129" t="s">
        <v>2562</v>
      </c>
      <c r="C129" t="s">
        <v>74</v>
      </c>
      <c r="D129" t="s">
        <v>74</v>
      </c>
      <c r="E129" t="s">
        <v>74</v>
      </c>
      <c r="F129" t="s">
        <v>2563</v>
      </c>
      <c r="G129" t="s">
        <v>74</v>
      </c>
      <c r="H129" t="s">
        <v>74</v>
      </c>
      <c r="I129" t="s">
        <v>2564</v>
      </c>
      <c r="J129" t="s">
        <v>2376</v>
      </c>
      <c r="K129" t="s">
        <v>74</v>
      </c>
      <c r="L129" t="s">
        <v>74</v>
      </c>
      <c r="M129" t="s">
        <v>78</v>
      </c>
      <c r="N129" t="s">
        <v>79</v>
      </c>
      <c r="O129" t="s">
        <v>74</v>
      </c>
      <c r="P129" t="s">
        <v>74</v>
      </c>
      <c r="Q129" t="s">
        <v>74</v>
      </c>
      <c r="R129" t="s">
        <v>74</v>
      </c>
      <c r="S129" t="s">
        <v>74</v>
      </c>
      <c r="T129" t="s">
        <v>2565</v>
      </c>
      <c r="U129" t="s">
        <v>2566</v>
      </c>
      <c r="V129" t="s">
        <v>2567</v>
      </c>
      <c r="W129" t="s">
        <v>2568</v>
      </c>
      <c r="X129" t="s">
        <v>2569</v>
      </c>
      <c r="Y129" t="s">
        <v>2451</v>
      </c>
      <c r="Z129" t="s">
        <v>2452</v>
      </c>
      <c r="AA129" t="s">
        <v>2570</v>
      </c>
      <c r="AB129" t="s">
        <v>1685</v>
      </c>
      <c r="AC129" t="s">
        <v>1686</v>
      </c>
      <c r="AD129" t="s">
        <v>1007</v>
      </c>
      <c r="AE129" t="s">
        <v>74</v>
      </c>
      <c r="AF129" t="s">
        <v>74</v>
      </c>
      <c r="AG129">
        <v>69</v>
      </c>
      <c r="AH129">
        <v>67</v>
      </c>
      <c r="AI129">
        <v>76</v>
      </c>
      <c r="AJ129">
        <v>1</v>
      </c>
      <c r="AK129">
        <v>66</v>
      </c>
      <c r="AL129" t="s">
        <v>155</v>
      </c>
      <c r="AM129" t="s">
        <v>156</v>
      </c>
      <c r="AN129" t="s">
        <v>157</v>
      </c>
      <c r="AO129" t="s">
        <v>2387</v>
      </c>
      <c r="AP129" t="s">
        <v>74</v>
      </c>
      <c r="AQ129" t="s">
        <v>74</v>
      </c>
      <c r="AR129" t="s">
        <v>2389</v>
      </c>
      <c r="AS129" t="s">
        <v>2390</v>
      </c>
      <c r="AT129" t="s">
        <v>97</v>
      </c>
      <c r="AU129">
        <v>2012</v>
      </c>
      <c r="AV129">
        <v>59</v>
      </c>
      <c r="AW129" t="s">
        <v>74</v>
      </c>
      <c r="AX129" t="s">
        <v>74</v>
      </c>
      <c r="AY129" t="s">
        <v>74</v>
      </c>
      <c r="AZ129" t="s">
        <v>74</v>
      </c>
      <c r="BA129" t="s">
        <v>74</v>
      </c>
      <c r="BB129">
        <v>147</v>
      </c>
      <c r="BC129">
        <v>158</v>
      </c>
      <c r="BD129" t="s">
        <v>74</v>
      </c>
      <c r="BE129" t="s">
        <v>2571</v>
      </c>
      <c r="BF129" t="str">
        <f>HYPERLINK("http://dx.doi.org/10.1016/j.dsr2.2011.06.008","http://dx.doi.org/10.1016/j.dsr2.2011.06.008")</f>
        <v>http://dx.doi.org/10.1016/j.dsr2.2011.06.008</v>
      </c>
      <c r="BG129" t="s">
        <v>74</v>
      </c>
      <c r="BH129" t="s">
        <v>74</v>
      </c>
      <c r="BI129">
        <v>12</v>
      </c>
      <c r="BJ129" t="s">
        <v>496</v>
      </c>
      <c r="BK129" t="s">
        <v>100</v>
      </c>
      <c r="BL129" t="s">
        <v>496</v>
      </c>
      <c r="BM129" t="s">
        <v>2392</v>
      </c>
      <c r="BN129" t="s">
        <v>74</v>
      </c>
      <c r="BO129" t="s">
        <v>74</v>
      </c>
      <c r="BP129" t="s">
        <v>74</v>
      </c>
      <c r="BQ129" t="s">
        <v>74</v>
      </c>
      <c r="BR129" t="s">
        <v>102</v>
      </c>
      <c r="BS129" t="s">
        <v>2572</v>
      </c>
      <c r="BT129" t="str">
        <f>HYPERLINK("https%3A%2F%2Fwww.webofscience.com%2Fwos%2Fwoscc%2Ffull-record%2FWOS:000300810700013","View Full Record in Web of Science")</f>
        <v>View Full Record in Web of Science</v>
      </c>
    </row>
    <row r="130" spans="1:72" x14ac:dyDescent="0.15">
      <c r="A130" t="s">
        <v>72</v>
      </c>
      <c r="B130" t="s">
        <v>2573</v>
      </c>
      <c r="C130" t="s">
        <v>74</v>
      </c>
      <c r="D130" t="s">
        <v>74</v>
      </c>
      <c r="E130" t="s">
        <v>74</v>
      </c>
      <c r="F130" t="s">
        <v>2574</v>
      </c>
      <c r="G130" t="s">
        <v>74</v>
      </c>
      <c r="H130" t="s">
        <v>74</v>
      </c>
      <c r="I130" t="s">
        <v>2575</v>
      </c>
      <c r="J130" t="s">
        <v>2376</v>
      </c>
      <c r="K130" t="s">
        <v>74</v>
      </c>
      <c r="L130" t="s">
        <v>74</v>
      </c>
      <c r="M130" t="s">
        <v>78</v>
      </c>
      <c r="N130" t="s">
        <v>79</v>
      </c>
      <c r="O130" t="s">
        <v>74</v>
      </c>
      <c r="P130" t="s">
        <v>74</v>
      </c>
      <c r="Q130" t="s">
        <v>74</v>
      </c>
      <c r="R130" t="s">
        <v>74</v>
      </c>
      <c r="S130" t="s">
        <v>74</v>
      </c>
      <c r="T130" t="s">
        <v>2576</v>
      </c>
      <c r="U130" t="s">
        <v>2577</v>
      </c>
      <c r="V130" t="s">
        <v>2578</v>
      </c>
      <c r="W130" t="s">
        <v>2579</v>
      </c>
      <c r="X130" t="s">
        <v>527</v>
      </c>
      <c r="Y130" t="s">
        <v>2580</v>
      </c>
      <c r="Z130" t="s">
        <v>2581</v>
      </c>
      <c r="AA130" t="s">
        <v>2403</v>
      </c>
      <c r="AB130" t="s">
        <v>74</v>
      </c>
      <c r="AC130" t="s">
        <v>2582</v>
      </c>
      <c r="AD130" t="s">
        <v>1726</v>
      </c>
      <c r="AE130" t="s">
        <v>2583</v>
      </c>
      <c r="AF130" t="s">
        <v>74</v>
      </c>
      <c r="AG130">
        <v>82</v>
      </c>
      <c r="AH130">
        <v>53</v>
      </c>
      <c r="AI130">
        <v>54</v>
      </c>
      <c r="AJ130">
        <v>0</v>
      </c>
      <c r="AK130">
        <v>47</v>
      </c>
      <c r="AL130" t="s">
        <v>155</v>
      </c>
      <c r="AM130" t="s">
        <v>156</v>
      </c>
      <c r="AN130" t="s">
        <v>157</v>
      </c>
      <c r="AO130" t="s">
        <v>2387</v>
      </c>
      <c r="AP130" t="s">
        <v>2388</v>
      </c>
      <c r="AQ130" t="s">
        <v>74</v>
      </c>
      <c r="AR130" t="s">
        <v>2389</v>
      </c>
      <c r="AS130" t="s">
        <v>2390</v>
      </c>
      <c r="AT130" t="s">
        <v>97</v>
      </c>
      <c r="AU130">
        <v>2012</v>
      </c>
      <c r="AV130">
        <v>59</v>
      </c>
      <c r="AW130" t="s">
        <v>74</v>
      </c>
      <c r="AX130" t="s">
        <v>74</v>
      </c>
      <c r="AY130" t="s">
        <v>74</v>
      </c>
      <c r="AZ130" t="s">
        <v>74</v>
      </c>
      <c r="BA130" t="s">
        <v>74</v>
      </c>
      <c r="BB130">
        <v>159</v>
      </c>
      <c r="BC130">
        <v>172</v>
      </c>
      <c r="BD130" t="s">
        <v>74</v>
      </c>
      <c r="BE130" t="s">
        <v>2584</v>
      </c>
      <c r="BF130" t="str">
        <f>HYPERLINK("http://dx.doi.org/10.1016/j.dsr2.2011.05.002","http://dx.doi.org/10.1016/j.dsr2.2011.05.002")</f>
        <v>http://dx.doi.org/10.1016/j.dsr2.2011.05.002</v>
      </c>
      <c r="BG130" t="s">
        <v>74</v>
      </c>
      <c r="BH130" t="s">
        <v>74</v>
      </c>
      <c r="BI130">
        <v>14</v>
      </c>
      <c r="BJ130" t="s">
        <v>496</v>
      </c>
      <c r="BK130" t="s">
        <v>100</v>
      </c>
      <c r="BL130" t="s">
        <v>496</v>
      </c>
      <c r="BM130" t="s">
        <v>2392</v>
      </c>
      <c r="BN130" t="s">
        <v>74</v>
      </c>
      <c r="BO130" t="s">
        <v>74</v>
      </c>
      <c r="BP130" t="s">
        <v>74</v>
      </c>
      <c r="BQ130" t="s">
        <v>74</v>
      </c>
      <c r="BR130" t="s">
        <v>102</v>
      </c>
      <c r="BS130" t="s">
        <v>2585</v>
      </c>
      <c r="BT130" t="str">
        <f>HYPERLINK("https%3A%2F%2Fwww.webofscience.com%2Fwos%2Fwoscc%2Ffull-record%2FWOS:000300810700014","View Full Record in Web of Science")</f>
        <v>View Full Record in Web of Science</v>
      </c>
    </row>
    <row r="131" spans="1:72" x14ac:dyDescent="0.15">
      <c r="A131" t="s">
        <v>72</v>
      </c>
      <c r="B131" t="s">
        <v>2586</v>
      </c>
      <c r="C131" t="s">
        <v>74</v>
      </c>
      <c r="D131" t="s">
        <v>74</v>
      </c>
      <c r="E131" t="s">
        <v>74</v>
      </c>
      <c r="F131" t="s">
        <v>2587</v>
      </c>
      <c r="G131" t="s">
        <v>74</v>
      </c>
      <c r="H131" t="s">
        <v>74</v>
      </c>
      <c r="I131" t="s">
        <v>2588</v>
      </c>
      <c r="J131" t="s">
        <v>2376</v>
      </c>
      <c r="K131" t="s">
        <v>74</v>
      </c>
      <c r="L131" t="s">
        <v>74</v>
      </c>
      <c r="M131" t="s">
        <v>78</v>
      </c>
      <c r="N131" t="s">
        <v>79</v>
      </c>
      <c r="O131" t="s">
        <v>74</v>
      </c>
      <c r="P131" t="s">
        <v>74</v>
      </c>
      <c r="Q131" t="s">
        <v>74</v>
      </c>
      <c r="R131" t="s">
        <v>74</v>
      </c>
      <c r="S131" t="s">
        <v>74</v>
      </c>
      <c r="T131" t="s">
        <v>2589</v>
      </c>
      <c r="U131" t="s">
        <v>2590</v>
      </c>
      <c r="V131" t="s">
        <v>2591</v>
      </c>
      <c r="W131" t="s">
        <v>2592</v>
      </c>
      <c r="X131" t="s">
        <v>527</v>
      </c>
      <c r="Y131" t="s">
        <v>2593</v>
      </c>
      <c r="Z131" t="s">
        <v>2594</v>
      </c>
      <c r="AA131" t="s">
        <v>2595</v>
      </c>
      <c r="AB131" t="s">
        <v>2596</v>
      </c>
      <c r="AC131" t="s">
        <v>2597</v>
      </c>
      <c r="AD131" t="s">
        <v>2598</v>
      </c>
      <c r="AE131" t="s">
        <v>2599</v>
      </c>
      <c r="AF131" t="s">
        <v>74</v>
      </c>
      <c r="AG131">
        <v>90</v>
      </c>
      <c r="AH131">
        <v>61</v>
      </c>
      <c r="AI131">
        <v>66</v>
      </c>
      <c r="AJ131">
        <v>0</v>
      </c>
      <c r="AK131">
        <v>29</v>
      </c>
      <c r="AL131" t="s">
        <v>155</v>
      </c>
      <c r="AM131" t="s">
        <v>156</v>
      </c>
      <c r="AN131" t="s">
        <v>157</v>
      </c>
      <c r="AO131" t="s">
        <v>2387</v>
      </c>
      <c r="AP131" t="s">
        <v>2388</v>
      </c>
      <c r="AQ131" t="s">
        <v>74</v>
      </c>
      <c r="AR131" t="s">
        <v>2389</v>
      </c>
      <c r="AS131" t="s">
        <v>2390</v>
      </c>
      <c r="AT131" t="s">
        <v>97</v>
      </c>
      <c r="AU131">
        <v>2012</v>
      </c>
      <c r="AV131">
        <v>59</v>
      </c>
      <c r="AW131" t="s">
        <v>74</v>
      </c>
      <c r="AX131" t="s">
        <v>74</v>
      </c>
      <c r="AY131" t="s">
        <v>74</v>
      </c>
      <c r="AZ131" t="s">
        <v>74</v>
      </c>
      <c r="BA131" t="s">
        <v>74</v>
      </c>
      <c r="BB131">
        <v>173</v>
      </c>
      <c r="BC131">
        <v>188</v>
      </c>
      <c r="BD131" t="s">
        <v>74</v>
      </c>
      <c r="BE131" t="s">
        <v>2600</v>
      </c>
      <c r="BF131" t="str">
        <f>HYPERLINK("http://dx.doi.org/10.1016/j.dsr2.2011.08.002","http://dx.doi.org/10.1016/j.dsr2.2011.08.002")</f>
        <v>http://dx.doi.org/10.1016/j.dsr2.2011.08.002</v>
      </c>
      <c r="BG131" t="s">
        <v>74</v>
      </c>
      <c r="BH131" t="s">
        <v>74</v>
      </c>
      <c r="BI131">
        <v>16</v>
      </c>
      <c r="BJ131" t="s">
        <v>496</v>
      </c>
      <c r="BK131" t="s">
        <v>100</v>
      </c>
      <c r="BL131" t="s">
        <v>496</v>
      </c>
      <c r="BM131" t="s">
        <v>2392</v>
      </c>
      <c r="BN131" t="s">
        <v>74</v>
      </c>
      <c r="BO131" t="s">
        <v>74</v>
      </c>
      <c r="BP131" t="s">
        <v>74</v>
      </c>
      <c r="BQ131" t="s">
        <v>74</v>
      </c>
      <c r="BR131" t="s">
        <v>102</v>
      </c>
      <c r="BS131" t="s">
        <v>2601</v>
      </c>
      <c r="BT131" t="str">
        <f>HYPERLINK("https%3A%2F%2Fwww.webofscience.com%2Fwos%2Fwoscc%2Ffull-record%2FWOS:000300810700015","View Full Record in Web of Science")</f>
        <v>View Full Record in Web of Science</v>
      </c>
    </row>
    <row r="132" spans="1:72" x14ac:dyDescent="0.15">
      <c r="A132" t="s">
        <v>72</v>
      </c>
      <c r="B132" t="s">
        <v>2602</v>
      </c>
      <c r="C132" t="s">
        <v>74</v>
      </c>
      <c r="D132" t="s">
        <v>74</v>
      </c>
      <c r="E132" t="s">
        <v>74</v>
      </c>
      <c r="F132" t="s">
        <v>2603</v>
      </c>
      <c r="G132" t="s">
        <v>74</v>
      </c>
      <c r="H132" t="s">
        <v>74</v>
      </c>
      <c r="I132" t="s">
        <v>2604</v>
      </c>
      <c r="J132" t="s">
        <v>2376</v>
      </c>
      <c r="K132" t="s">
        <v>74</v>
      </c>
      <c r="L132" t="s">
        <v>74</v>
      </c>
      <c r="M132" t="s">
        <v>78</v>
      </c>
      <c r="N132" t="s">
        <v>79</v>
      </c>
      <c r="O132" t="s">
        <v>74</v>
      </c>
      <c r="P132" t="s">
        <v>74</v>
      </c>
      <c r="Q132" t="s">
        <v>74</v>
      </c>
      <c r="R132" t="s">
        <v>74</v>
      </c>
      <c r="S132" t="s">
        <v>74</v>
      </c>
      <c r="T132" t="s">
        <v>2605</v>
      </c>
      <c r="U132" t="s">
        <v>2606</v>
      </c>
      <c r="V132" t="s">
        <v>2607</v>
      </c>
      <c r="W132" t="s">
        <v>2608</v>
      </c>
      <c r="X132" t="s">
        <v>2609</v>
      </c>
      <c r="Y132" t="s">
        <v>74</v>
      </c>
      <c r="Z132" t="s">
        <v>2610</v>
      </c>
      <c r="AA132" t="s">
        <v>2611</v>
      </c>
      <c r="AB132" t="s">
        <v>2612</v>
      </c>
      <c r="AC132" t="s">
        <v>2613</v>
      </c>
      <c r="AD132" t="s">
        <v>2614</v>
      </c>
      <c r="AE132" t="s">
        <v>2615</v>
      </c>
      <c r="AF132" t="s">
        <v>74</v>
      </c>
      <c r="AG132">
        <v>38</v>
      </c>
      <c r="AH132">
        <v>80</v>
      </c>
      <c r="AI132">
        <v>85</v>
      </c>
      <c r="AJ132">
        <v>2</v>
      </c>
      <c r="AK132">
        <v>78</v>
      </c>
      <c r="AL132" t="s">
        <v>155</v>
      </c>
      <c r="AM132" t="s">
        <v>156</v>
      </c>
      <c r="AN132" t="s">
        <v>157</v>
      </c>
      <c r="AO132" t="s">
        <v>2387</v>
      </c>
      <c r="AP132" t="s">
        <v>74</v>
      </c>
      <c r="AQ132" t="s">
        <v>74</v>
      </c>
      <c r="AR132" t="s">
        <v>2389</v>
      </c>
      <c r="AS132" t="s">
        <v>2390</v>
      </c>
      <c r="AT132" t="s">
        <v>97</v>
      </c>
      <c r="AU132">
        <v>2012</v>
      </c>
      <c r="AV132">
        <v>59</v>
      </c>
      <c r="AW132" t="s">
        <v>74</v>
      </c>
      <c r="AX132" t="s">
        <v>74</v>
      </c>
      <c r="AY132" t="s">
        <v>74</v>
      </c>
      <c r="AZ132" t="s">
        <v>74</v>
      </c>
      <c r="BA132" t="s">
        <v>74</v>
      </c>
      <c r="BB132">
        <v>189</v>
      </c>
      <c r="BC132">
        <v>198</v>
      </c>
      <c r="BD132" t="s">
        <v>74</v>
      </c>
      <c r="BE132" t="s">
        <v>2616</v>
      </c>
      <c r="BF132" t="str">
        <f>HYPERLINK("http://dx.doi.org/10.1016/j.dsr2.2011.07.003","http://dx.doi.org/10.1016/j.dsr2.2011.07.003")</f>
        <v>http://dx.doi.org/10.1016/j.dsr2.2011.07.003</v>
      </c>
      <c r="BG132" t="s">
        <v>74</v>
      </c>
      <c r="BH132" t="s">
        <v>74</v>
      </c>
      <c r="BI132">
        <v>10</v>
      </c>
      <c r="BJ132" t="s">
        <v>496</v>
      </c>
      <c r="BK132" t="s">
        <v>100</v>
      </c>
      <c r="BL132" t="s">
        <v>496</v>
      </c>
      <c r="BM132" t="s">
        <v>2392</v>
      </c>
      <c r="BN132" t="s">
        <v>74</v>
      </c>
      <c r="BO132" t="s">
        <v>342</v>
      </c>
      <c r="BP132" t="s">
        <v>74</v>
      </c>
      <c r="BQ132" t="s">
        <v>74</v>
      </c>
      <c r="BR132" t="s">
        <v>102</v>
      </c>
      <c r="BS132" t="s">
        <v>2617</v>
      </c>
      <c r="BT132" t="str">
        <f>HYPERLINK("https%3A%2F%2Fwww.webofscience.com%2Fwos%2Fwoscc%2Ffull-record%2FWOS:000300810700016","View Full Record in Web of Science")</f>
        <v>View Full Record in Web of Science</v>
      </c>
    </row>
    <row r="133" spans="1:72" x14ac:dyDescent="0.15">
      <c r="A133" t="s">
        <v>72</v>
      </c>
      <c r="B133" t="s">
        <v>2618</v>
      </c>
      <c r="C133" t="s">
        <v>74</v>
      </c>
      <c r="D133" t="s">
        <v>74</v>
      </c>
      <c r="E133" t="s">
        <v>74</v>
      </c>
      <c r="F133" t="s">
        <v>2619</v>
      </c>
      <c r="G133" t="s">
        <v>74</v>
      </c>
      <c r="H133" t="s">
        <v>74</v>
      </c>
      <c r="I133" t="s">
        <v>2620</v>
      </c>
      <c r="J133" t="s">
        <v>2376</v>
      </c>
      <c r="K133" t="s">
        <v>74</v>
      </c>
      <c r="L133" t="s">
        <v>74</v>
      </c>
      <c r="M133" t="s">
        <v>78</v>
      </c>
      <c r="N133" t="s">
        <v>79</v>
      </c>
      <c r="O133" t="s">
        <v>74</v>
      </c>
      <c r="P133" t="s">
        <v>74</v>
      </c>
      <c r="Q133" t="s">
        <v>74</v>
      </c>
      <c r="R133" t="s">
        <v>74</v>
      </c>
      <c r="S133" t="s">
        <v>74</v>
      </c>
      <c r="T133" t="s">
        <v>2621</v>
      </c>
      <c r="U133" t="s">
        <v>2622</v>
      </c>
      <c r="V133" t="s">
        <v>2623</v>
      </c>
      <c r="W133" t="s">
        <v>2624</v>
      </c>
      <c r="X133" t="s">
        <v>2625</v>
      </c>
      <c r="Y133" t="s">
        <v>2626</v>
      </c>
      <c r="Z133" t="s">
        <v>2627</v>
      </c>
      <c r="AA133" t="s">
        <v>2628</v>
      </c>
      <c r="AB133" t="s">
        <v>2629</v>
      </c>
      <c r="AC133" t="s">
        <v>2630</v>
      </c>
      <c r="AD133" t="s">
        <v>2631</v>
      </c>
      <c r="AE133" t="s">
        <v>2632</v>
      </c>
      <c r="AF133" t="s">
        <v>74</v>
      </c>
      <c r="AG133">
        <v>63</v>
      </c>
      <c r="AH133">
        <v>16</v>
      </c>
      <c r="AI133">
        <v>19</v>
      </c>
      <c r="AJ133">
        <v>2</v>
      </c>
      <c r="AK133">
        <v>25</v>
      </c>
      <c r="AL133" t="s">
        <v>155</v>
      </c>
      <c r="AM133" t="s">
        <v>156</v>
      </c>
      <c r="AN133" t="s">
        <v>157</v>
      </c>
      <c r="AO133" t="s">
        <v>2387</v>
      </c>
      <c r="AP133" t="s">
        <v>74</v>
      </c>
      <c r="AQ133" t="s">
        <v>74</v>
      </c>
      <c r="AR133" t="s">
        <v>2389</v>
      </c>
      <c r="AS133" t="s">
        <v>2390</v>
      </c>
      <c r="AT133" t="s">
        <v>97</v>
      </c>
      <c r="AU133">
        <v>2012</v>
      </c>
      <c r="AV133">
        <v>59</v>
      </c>
      <c r="AW133" t="s">
        <v>74</v>
      </c>
      <c r="AX133" t="s">
        <v>74</v>
      </c>
      <c r="AY133" t="s">
        <v>74</v>
      </c>
      <c r="AZ133" t="s">
        <v>74</v>
      </c>
      <c r="BA133" t="s">
        <v>74</v>
      </c>
      <c r="BB133">
        <v>199</v>
      </c>
      <c r="BC133">
        <v>207</v>
      </c>
      <c r="BD133" t="s">
        <v>74</v>
      </c>
      <c r="BE133" t="s">
        <v>2633</v>
      </c>
      <c r="BF133" t="str">
        <f>HYPERLINK("http://dx.doi.org/10.1016/j.dsr2.2011.05.011","http://dx.doi.org/10.1016/j.dsr2.2011.05.011")</f>
        <v>http://dx.doi.org/10.1016/j.dsr2.2011.05.011</v>
      </c>
      <c r="BG133" t="s">
        <v>74</v>
      </c>
      <c r="BH133" t="s">
        <v>74</v>
      </c>
      <c r="BI133">
        <v>9</v>
      </c>
      <c r="BJ133" t="s">
        <v>496</v>
      </c>
      <c r="BK133" t="s">
        <v>100</v>
      </c>
      <c r="BL133" t="s">
        <v>496</v>
      </c>
      <c r="BM133" t="s">
        <v>2392</v>
      </c>
      <c r="BN133" t="s">
        <v>74</v>
      </c>
      <c r="BO133" t="s">
        <v>342</v>
      </c>
      <c r="BP133" t="s">
        <v>74</v>
      </c>
      <c r="BQ133" t="s">
        <v>74</v>
      </c>
      <c r="BR133" t="s">
        <v>102</v>
      </c>
      <c r="BS133" t="s">
        <v>2634</v>
      </c>
      <c r="BT133" t="str">
        <f>HYPERLINK("https%3A%2F%2Fwww.webofscience.com%2Fwos%2Fwoscc%2Ffull-record%2FWOS:000300810700017","View Full Record in Web of Science")</f>
        <v>View Full Record in Web of Science</v>
      </c>
    </row>
    <row r="134" spans="1:72" x14ac:dyDescent="0.15">
      <c r="A134" t="s">
        <v>72</v>
      </c>
      <c r="B134" t="s">
        <v>2635</v>
      </c>
      <c r="C134" t="s">
        <v>74</v>
      </c>
      <c r="D134" t="s">
        <v>74</v>
      </c>
      <c r="E134" t="s">
        <v>74</v>
      </c>
      <c r="F134" t="s">
        <v>2636</v>
      </c>
      <c r="G134" t="s">
        <v>74</v>
      </c>
      <c r="H134" t="s">
        <v>74</v>
      </c>
      <c r="I134" t="s">
        <v>2637</v>
      </c>
      <c r="J134" t="s">
        <v>2376</v>
      </c>
      <c r="K134" t="s">
        <v>74</v>
      </c>
      <c r="L134" t="s">
        <v>74</v>
      </c>
      <c r="M134" t="s">
        <v>78</v>
      </c>
      <c r="N134" t="s">
        <v>79</v>
      </c>
      <c r="O134" t="s">
        <v>74</v>
      </c>
      <c r="P134" t="s">
        <v>74</v>
      </c>
      <c r="Q134" t="s">
        <v>74</v>
      </c>
      <c r="R134" t="s">
        <v>74</v>
      </c>
      <c r="S134" t="s">
        <v>74</v>
      </c>
      <c r="T134" t="s">
        <v>2638</v>
      </c>
      <c r="U134" t="s">
        <v>2639</v>
      </c>
      <c r="V134" t="s">
        <v>2640</v>
      </c>
      <c r="W134" t="s">
        <v>2641</v>
      </c>
      <c r="X134" t="s">
        <v>2642</v>
      </c>
      <c r="Y134" t="s">
        <v>2643</v>
      </c>
      <c r="Z134" t="s">
        <v>2644</v>
      </c>
      <c r="AA134" t="s">
        <v>2645</v>
      </c>
      <c r="AB134" t="s">
        <v>2646</v>
      </c>
      <c r="AC134" t="s">
        <v>2647</v>
      </c>
      <c r="AD134" t="s">
        <v>586</v>
      </c>
      <c r="AE134" t="s">
        <v>74</v>
      </c>
      <c r="AF134" t="s">
        <v>74</v>
      </c>
      <c r="AG134">
        <v>136</v>
      </c>
      <c r="AH134">
        <v>110</v>
      </c>
      <c r="AI134">
        <v>129</v>
      </c>
      <c r="AJ134">
        <v>3</v>
      </c>
      <c r="AK134">
        <v>104</v>
      </c>
      <c r="AL134" t="s">
        <v>155</v>
      </c>
      <c r="AM134" t="s">
        <v>156</v>
      </c>
      <c r="AN134" t="s">
        <v>157</v>
      </c>
      <c r="AO134" t="s">
        <v>2387</v>
      </c>
      <c r="AP134" t="s">
        <v>2388</v>
      </c>
      <c r="AQ134" t="s">
        <v>74</v>
      </c>
      <c r="AR134" t="s">
        <v>2389</v>
      </c>
      <c r="AS134" t="s">
        <v>2390</v>
      </c>
      <c r="AT134" t="s">
        <v>97</v>
      </c>
      <c r="AU134">
        <v>2012</v>
      </c>
      <c r="AV134">
        <v>59</v>
      </c>
      <c r="AW134" t="s">
        <v>74</v>
      </c>
      <c r="AX134" t="s">
        <v>74</v>
      </c>
      <c r="AY134" t="s">
        <v>74</v>
      </c>
      <c r="AZ134" t="s">
        <v>74</v>
      </c>
      <c r="BA134" t="s">
        <v>74</v>
      </c>
      <c r="BB134">
        <v>208</v>
      </c>
      <c r="BC134">
        <v>221</v>
      </c>
      <c r="BD134" t="s">
        <v>74</v>
      </c>
      <c r="BE134" t="s">
        <v>2648</v>
      </c>
      <c r="BF134" t="str">
        <f>HYPERLINK("http://dx.doi.org/10.1016/j.dsr2.2011.08.004","http://dx.doi.org/10.1016/j.dsr2.2011.08.004")</f>
        <v>http://dx.doi.org/10.1016/j.dsr2.2011.08.004</v>
      </c>
      <c r="BG134" t="s">
        <v>74</v>
      </c>
      <c r="BH134" t="s">
        <v>74</v>
      </c>
      <c r="BI134">
        <v>14</v>
      </c>
      <c r="BJ134" t="s">
        <v>496</v>
      </c>
      <c r="BK134" t="s">
        <v>100</v>
      </c>
      <c r="BL134" t="s">
        <v>496</v>
      </c>
      <c r="BM134" t="s">
        <v>2392</v>
      </c>
      <c r="BN134" t="s">
        <v>74</v>
      </c>
      <c r="BO134" t="s">
        <v>74</v>
      </c>
      <c r="BP134" t="s">
        <v>74</v>
      </c>
      <c r="BQ134" t="s">
        <v>74</v>
      </c>
      <c r="BR134" t="s">
        <v>102</v>
      </c>
      <c r="BS134" t="s">
        <v>2649</v>
      </c>
      <c r="BT134" t="str">
        <f>HYPERLINK("https%3A%2F%2Fwww.webofscience.com%2Fwos%2Fwoscc%2Ffull-record%2FWOS:000300810700018","View Full Record in Web of Science")</f>
        <v>View Full Record in Web of Science</v>
      </c>
    </row>
    <row r="135" spans="1:72" x14ac:dyDescent="0.15">
      <c r="A135" t="s">
        <v>72</v>
      </c>
      <c r="B135" t="s">
        <v>2650</v>
      </c>
      <c r="C135" t="s">
        <v>74</v>
      </c>
      <c r="D135" t="s">
        <v>74</v>
      </c>
      <c r="E135" t="s">
        <v>74</v>
      </c>
      <c r="F135" t="s">
        <v>2651</v>
      </c>
      <c r="G135" t="s">
        <v>74</v>
      </c>
      <c r="H135" t="s">
        <v>74</v>
      </c>
      <c r="I135" t="s">
        <v>2652</v>
      </c>
      <c r="J135" t="s">
        <v>2376</v>
      </c>
      <c r="K135" t="s">
        <v>74</v>
      </c>
      <c r="L135" t="s">
        <v>74</v>
      </c>
      <c r="M135" t="s">
        <v>78</v>
      </c>
      <c r="N135" t="s">
        <v>79</v>
      </c>
      <c r="O135" t="s">
        <v>74</v>
      </c>
      <c r="P135" t="s">
        <v>74</v>
      </c>
      <c r="Q135" t="s">
        <v>74</v>
      </c>
      <c r="R135" t="s">
        <v>74</v>
      </c>
      <c r="S135" t="s">
        <v>74</v>
      </c>
      <c r="T135" t="s">
        <v>2653</v>
      </c>
      <c r="U135" t="s">
        <v>2654</v>
      </c>
      <c r="V135" t="s">
        <v>2655</v>
      </c>
      <c r="W135" t="s">
        <v>2656</v>
      </c>
      <c r="X135" t="s">
        <v>2657</v>
      </c>
      <c r="Y135" t="s">
        <v>2382</v>
      </c>
      <c r="Z135" t="s">
        <v>2383</v>
      </c>
      <c r="AA135" t="s">
        <v>2658</v>
      </c>
      <c r="AB135" t="s">
        <v>2659</v>
      </c>
      <c r="AC135" t="s">
        <v>2660</v>
      </c>
      <c r="AD135" t="s">
        <v>2661</v>
      </c>
      <c r="AE135" t="s">
        <v>2662</v>
      </c>
      <c r="AF135" t="s">
        <v>74</v>
      </c>
      <c r="AG135">
        <v>98</v>
      </c>
      <c r="AH135">
        <v>29</v>
      </c>
      <c r="AI135">
        <v>30</v>
      </c>
      <c r="AJ135">
        <v>1</v>
      </c>
      <c r="AK135">
        <v>58</v>
      </c>
      <c r="AL135" t="s">
        <v>155</v>
      </c>
      <c r="AM135" t="s">
        <v>156</v>
      </c>
      <c r="AN135" t="s">
        <v>157</v>
      </c>
      <c r="AO135" t="s">
        <v>2387</v>
      </c>
      <c r="AP135" t="s">
        <v>2388</v>
      </c>
      <c r="AQ135" t="s">
        <v>74</v>
      </c>
      <c r="AR135" t="s">
        <v>2389</v>
      </c>
      <c r="AS135" t="s">
        <v>2390</v>
      </c>
      <c r="AT135" t="s">
        <v>97</v>
      </c>
      <c r="AU135">
        <v>2012</v>
      </c>
      <c r="AV135">
        <v>59</v>
      </c>
      <c r="AW135" t="s">
        <v>74</v>
      </c>
      <c r="AX135" t="s">
        <v>74</v>
      </c>
      <c r="AY135" t="s">
        <v>74</v>
      </c>
      <c r="AZ135" t="s">
        <v>74</v>
      </c>
      <c r="BA135" t="s">
        <v>74</v>
      </c>
      <c r="BB135">
        <v>222</v>
      </c>
      <c r="BC135">
        <v>236</v>
      </c>
      <c r="BD135" t="s">
        <v>74</v>
      </c>
      <c r="BE135" t="s">
        <v>2663</v>
      </c>
      <c r="BF135" t="str">
        <f>HYPERLINK("http://dx.doi.org/10.1016/j.dsr2.2011.07.002","http://dx.doi.org/10.1016/j.dsr2.2011.07.002")</f>
        <v>http://dx.doi.org/10.1016/j.dsr2.2011.07.002</v>
      </c>
      <c r="BG135" t="s">
        <v>74</v>
      </c>
      <c r="BH135" t="s">
        <v>74</v>
      </c>
      <c r="BI135">
        <v>15</v>
      </c>
      <c r="BJ135" t="s">
        <v>496</v>
      </c>
      <c r="BK135" t="s">
        <v>100</v>
      </c>
      <c r="BL135" t="s">
        <v>496</v>
      </c>
      <c r="BM135" t="s">
        <v>2392</v>
      </c>
      <c r="BN135" t="s">
        <v>74</v>
      </c>
      <c r="BO135" t="s">
        <v>74</v>
      </c>
      <c r="BP135" t="s">
        <v>74</v>
      </c>
      <c r="BQ135" t="s">
        <v>74</v>
      </c>
      <c r="BR135" t="s">
        <v>102</v>
      </c>
      <c r="BS135" t="s">
        <v>2664</v>
      </c>
      <c r="BT135" t="str">
        <f>HYPERLINK("https%3A%2F%2Fwww.webofscience.com%2Fwos%2Fwoscc%2Ffull-record%2FWOS:000300810700019","View Full Record in Web of Science")</f>
        <v>View Full Record in Web of Science</v>
      </c>
    </row>
    <row r="136" spans="1:72" x14ac:dyDescent="0.15">
      <c r="A136" t="s">
        <v>72</v>
      </c>
      <c r="B136" t="s">
        <v>2665</v>
      </c>
      <c r="C136" t="s">
        <v>74</v>
      </c>
      <c r="D136" t="s">
        <v>74</v>
      </c>
      <c r="E136" t="s">
        <v>74</v>
      </c>
      <c r="F136" t="s">
        <v>2666</v>
      </c>
      <c r="G136" t="s">
        <v>74</v>
      </c>
      <c r="H136" t="s">
        <v>74</v>
      </c>
      <c r="I136" t="s">
        <v>2667</v>
      </c>
      <c r="J136" t="s">
        <v>2376</v>
      </c>
      <c r="K136" t="s">
        <v>74</v>
      </c>
      <c r="L136" t="s">
        <v>74</v>
      </c>
      <c r="M136" t="s">
        <v>78</v>
      </c>
      <c r="N136" t="s">
        <v>79</v>
      </c>
      <c r="O136" t="s">
        <v>74</v>
      </c>
      <c r="P136" t="s">
        <v>74</v>
      </c>
      <c r="Q136" t="s">
        <v>74</v>
      </c>
      <c r="R136" t="s">
        <v>74</v>
      </c>
      <c r="S136" t="s">
        <v>74</v>
      </c>
      <c r="T136" t="s">
        <v>2668</v>
      </c>
      <c r="U136" t="s">
        <v>2669</v>
      </c>
      <c r="V136" t="s">
        <v>2670</v>
      </c>
      <c r="W136" t="s">
        <v>2671</v>
      </c>
      <c r="X136" t="s">
        <v>527</v>
      </c>
      <c r="Y136" t="s">
        <v>2672</v>
      </c>
      <c r="Z136" t="s">
        <v>2673</v>
      </c>
      <c r="AA136" t="s">
        <v>2674</v>
      </c>
      <c r="AB136" t="s">
        <v>74</v>
      </c>
      <c r="AC136" t="s">
        <v>2675</v>
      </c>
      <c r="AD136" t="s">
        <v>2676</v>
      </c>
      <c r="AE136" t="s">
        <v>2677</v>
      </c>
      <c r="AF136" t="s">
        <v>74</v>
      </c>
      <c r="AG136">
        <v>91</v>
      </c>
      <c r="AH136">
        <v>61</v>
      </c>
      <c r="AI136">
        <v>62</v>
      </c>
      <c r="AJ136">
        <v>3</v>
      </c>
      <c r="AK136">
        <v>58</v>
      </c>
      <c r="AL136" t="s">
        <v>155</v>
      </c>
      <c r="AM136" t="s">
        <v>156</v>
      </c>
      <c r="AN136" t="s">
        <v>157</v>
      </c>
      <c r="AO136" t="s">
        <v>2387</v>
      </c>
      <c r="AP136" t="s">
        <v>74</v>
      </c>
      <c r="AQ136" t="s">
        <v>74</v>
      </c>
      <c r="AR136" t="s">
        <v>2389</v>
      </c>
      <c r="AS136" t="s">
        <v>2390</v>
      </c>
      <c r="AT136" t="s">
        <v>97</v>
      </c>
      <c r="AU136">
        <v>2012</v>
      </c>
      <c r="AV136">
        <v>59</v>
      </c>
      <c r="AW136" t="s">
        <v>74</v>
      </c>
      <c r="AX136" t="s">
        <v>74</v>
      </c>
      <c r="AY136" t="s">
        <v>74</v>
      </c>
      <c r="AZ136" t="s">
        <v>74</v>
      </c>
      <c r="BA136" t="s">
        <v>74</v>
      </c>
      <c r="BB136">
        <v>237</v>
      </c>
      <c r="BC136">
        <v>252</v>
      </c>
      <c r="BD136" t="s">
        <v>74</v>
      </c>
      <c r="BE136" t="s">
        <v>2678</v>
      </c>
      <c r="BF136" t="str">
        <f>HYPERLINK("http://dx.doi.org/10.1016/j.dsr2.2011.09.001","http://dx.doi.org/10.1016/j.dsr2.2011.09.001")</f>
        <v>http://dx.doi.org/10.1016/j.dsr2.2011.09.001</v>
      </c>
      <c r="BG136" t="s">
        <v>74</v>
      </c>
      <c r="BH136" t="s">
        <v>74</v>
      </c>
      <c r="BI136">
        <v>16</v>
      </c>
      <c r="BJ136" t="s">
        <v>496</v>
      </c>
      <c r="BK136" t="s">
        <v>100</v>
      </c>
      <c r="BL136" t="s">
        <v>496</v>
      </c>
      <c r="BM136" t="s">
        <v>2392</v>
      </c>
      <c r="BN136" t="s">
        <v>74</v>
      </c>
      <c r="BO136" t="s">
        <v>2679</v>
      </c>
      <c r="BP136" t="s">
        <v>74</v>
      </c>
      <c r="BQ136" t="s">
        <v>74</v>
      </c>
      <c r="BR136" t="s">
        <v>102</v>
      </c>
      <c r="BS136" t="s">
        <v>2680</v>
      </c>
      <c r="BT136" t="str">
        <f>HYPERLINK("https%3A%2F%2Fwww.webofscience.com%2Fwos%2Fwoscc%2Ffull-record%2FWOS:000300810700020","View Full Record in Web of Science")</f>
        <v>View Full Record in Web of Science</v>
      </c>
    </row>
    <row r="137" spans="1:72" x14ac:dyDescent="0.15">
      <c r="A137" t="s">
        <v>72</v>
      </c>
      <c r="B137" t="s">
        <v>2681</v>
      </c>
      <c r="C137" t="s">
        <v>74</v>
      </c>
      <c r="D137" t="s">
        <v>74</v>
      </c>
      <c r="E137" t="s">
        <v>74</v>
      </c>
      <c r="F137" t="s">
        <v>2682</v>
      </c>
      <c r="G137" t="s">
        <v>74</v>
      </c>
      <c r="H137" t="s">
        <v>74</v>
      </c>
      <c r="I137" t="s">
        <v>2683</v>
      </c>
      <c r="J137" t="s">
        <v>2376</v>
      </c>
      <c r="K137" t="s">
        <v>74</v>
      </c>
      <c r="L137" t="s">
        <v>74</v>
      </c>
      <c r="M137" t="s">
        <v>78</v>
      </c>
      <c r="N137" t="s">
        <v>79</v>
      </c>
      <c r="O137" t="s">
        <v>74</v>
      </c>
      <c r="P137" t="s">
        <v>74</v>
      </c>
      <c r="Q137" t="s">
        <v>74</v>
      </c>
      <c r="R137" t="s">
        <v>74</v>
      </c>
      <c r="S137" t="s">
        <v>74</v>
      </c>
      <c r="T137" t="s">
        <v>2684</v>
      </c>
      <c r="U137" t="s">
        <v>2685</v>
      </c>
      <c r="V137" t="s">
        <v>2686</v>
      </c>
      <c r="W137" t="s">
        <v>2687</v>
      </c>
      <c r="X137" t="s">
        <v>527</v>
      </c>
      <c r="Y137" t="s">
        <v>2496</v>
      </c>
      <c r="Z137" t="s">
        <v>2497</v>
      </c>
      <c r="AA137" t="s">
        <v>2688</v>
      </c>
      <c r="AB137" t="s">
        <v>2689</v>
      </c>
      <c r="AC137" t="s">
        <v>2690</v>
      </c>
      <c r="AD137" t="s">
        <v>2691</v>
      </c>
      <c r="AE137" t="s">
        <v>2692</v>
      </c>
      <c r="AF137" t="s">
        <v>74</v>
      </c>
      <c r="AG137">
        <v>115</v>
      </c>
      <c r="AH137">
        <v>50</v>
      </c>
      <c r="AI137">
        <v>53</v>
      </c>
      <c r="AJ137">
        <v>0</v>
      </c>
      <c r="AK137">
        <v>54</v>
      </c>
      <c r="AL137" t="s">
        <v>155</v>
      </c>
      <c r="AM137" t="s">
        <v>156</v>
      </c>
      <c r="AN137" t="s">
        <v>157</v>
      </c>
      <c r="AO137" t="s">
        <v>2387</v>
      </c>
      <c r="AP137" t="s">
        <v>2388</v>
      </c>
      <c r="AQ137" t="s">
        <v>74</v>
      </c>
      <c r="AR137" t="s">
        <v>2389</v>
      </c>
      <c r="AS137" t="s">
        <v>2390</v>
      </c>
      <c r="AT137" t="s">
        <v>97</v>
      </c>
      <c r="AU137">
        <v>2012</v>
      </c>
      <c r="AV137">
        <v>59</v>
      </c>
      <c r="AW137" t="s">
        <v>74</v>
      </c>
      <c r="AX137" t="s">
        <v>74</v>
      </c>
      <c r="AY137" t="s">
        <v>74</v>
      </c>
      <c r="AZ137" t="s">
        <v>74</v>
      </c>
      <c r="BA137" t="s">
        <v>74</v>
      </c>
      <c r="BB137">
        <v>253</v>
      </c>
      <c r="BC137">
        <v>266</v>
      </c>
      <c r="BD137" t="s">
        <v>74</v>
      </c>
      <c r="BE137" t="s">
        <v>2693</v>
      </c>
      <c r="BF137" t="str">
        <f>HYPERLINK("http://dx.doi.org/10.1016/j.dsr2.2011.08.005","http://dx.doi.org/10.1016/j.dsr2.2011.08.005")</f>
        <v>http://dx.doi.org/10.1016/j.dsr2.2011.08.005</v>
      </c>
      <c r="BG137" t="s">
        <v>74</v>
      </c>
      <c r="BH137" t="s">
        <v>74</v>
      </c>
      <c r="BI137">
        <v>14</v>
      </c>
      <c r="BJ137" t="s">
        <v>496</v>
      </c>
      <c r="BK137" t="s">
        <v>100</v>
      </c>
      <c r="BL137" t="s">
        <v>496</v>
      </c>
      <c r="BM137" t="s">
        <v>2392</v>
      </c>
      <c r="BN137" t="s">
        <v>74</v>
      </c>
      <c r="BO137" t="s">
        <v>74</v>
      </c>
      <c r="BP137" t="s">
        <v>74</v>
      </c>
      <c r="BQ137" t="s">
        <v>74</v>
      </c>
      <c r="BR137" t="s">
        <v>102</v>
      </c>
      <c r="BS137" t="s">
        <v>2694</v>
      </c>
      <c r="BT137" t="str">
        <f>HYPERLINK("https%3A%2F%2Fwww.webofscience.com%2Fwos%2Fwoscc%2Ffull-record%2FWOS:000300810700021","View Full Record in Web of Science")</f>
        <v>View Full Record in Web of Science</v>
      </c>
    </row>
    <row r="138" spans="1:72" x14ac:dyDescent="0.15">
      <c r="A138" t="s">
        <v>393</v>
      </c>
      <c r="B138" t="s">
        <v>2695</v>
      </c>
      <c r="C138" t="s">
        <v>74</v>
      </c>
      <c r="D138" t="s">
        <v>2696</v>
      </c>
      <c r="E138" t="s">
        <v>74</v>
      </c>
      <c r="F138" t="s">
        <v>2697</v>
      </c>
      <c r="G138" t="s">
        <v>74</v>
      </c>
      <c r="H138" t="s">
        <v>74</v>
      </c>
      <c r="I138" t="s">
        <v>2698</v>
      </c>
      <c r="J138" t="s">
        <v>2699</v>
      </c>
      <c r="K138" t="s">
        <v>1483</v>
      </c>
      <c r="L138" t="s">
        <v>74</v>
      </c>
      <c r="M138" t="s">
        <v>78</v>
      </c>
      <c r="N138" t="s">
        <v>400</v>
      </c>
      <c r="O138" t="s">
        <v>2700</v>
      </c>
      <c r="P138" t="s">
        <v>2701</v>
      </c>
      <c r="Q138" t="s">
        <v>2702</v>
      </c>
      <c r="R138" t="s">
        <v>74</v>
      </c>
      <c r="S138" t="s">
        <v>74</v>
      </c>
      <c r="T138" t="s">
        <v>74</v>
      </c>
      <c r="U138" t="s">
        <v>2703</v>
      </c>
      <c r="V138" t="s">
        <v>2704</v>
      </c>
      <c r="W138" t="s">
        <v>2705</v>
      </c>
      <c r="X138" t="s">
        <v>2706</v>
      </c>
      <c r="Y138" t="s">
        <v>2707</v>
      </c>
      <c r="Z138" t="s">
        <v>2708</v>
      </c>
      <c r="AA138" t="s">
        <v>2709</v>
      </c>
      <c r="AB138" t="s">
        <v>2710</v>
      </c>
      <c r="AC138" t="s">
        <v>2711</v>
      </c>
      <c r="AD138" t="s">
        <v>2712</v>
      </c>
      <c r="AE138" t="s">
        <v>2713</v>
      </c>
      <c r="AF138" t="s">
        <v>74</v>
      </c>
      <c r="AG138">
        <v>29</v>
      </c>
      <c r="AH138">
        <v>24</v>
      </c>
      <c r="AI138">
        <v>25</v>
      </c>
      <c r="AJ138">
        <v>1</v>
      </c>
      <c r="AK138">
        <v>3</v>
      </c>
      <c r="AL138" t="s">
        <v>1498</v>
      </c>
      <c r="AM138" t="s">
        <v>985</v>
      </c>
      <c r="AN138" t="s">
        <v>1499</v>
      </c>
      <c r="AO138" t="s">
        <v>1500</v>
      </c>
      <c r="AP138" t="s">
        <v>74</v>
      </c>
      <c r="AQ138" t="s">
        <v>2714</v>
      </c>
      <c r="AR138" t="s">
        <v>1502</v>
      </c>
      <c r="AS138" t="s">
        <v>74</v>
      </c>
      <c r="AT138" t="s">
        <v>74</v>
      </c>
      <c r="AU138">
        <v>2012</v>
      </c>
      <c r="AV138">
        <v>199</v>
      </c>
      <c r="AW138" t="s">
        <v>74</v>
      </c>
      <c r="AX138" t="s">
        <v>74</v>
      </c>
      <c r="AY138" t="s">
        <v>74</v>
      </c>
      <c r="AZ138" t="s">
        <v>74</v>
      </c>
      <c r="BA138" t="s">
        <v>74</v>
      </c>
      <c r="BB138">
        <v>213</v>
      </c>
      <c r="BC138" t="s">
        <v>1503</v>
      </c>
      <c r="BD138" t="s">
        <v>74</v>
      </c>
      <c r="BE138" t="s">
        <v>2715</v>
      </c>
      <c r="BF138" t="str">
        <f>HYPERLINK("http://dx.doi.org/10.1029/2012GM001299","http://dx.doi.org/10.1029/2012GM001299")</f>
        <v>http://dx.doi.org/10.1029/2012GM001299</v>
      </c>
      <c r="BG138" t="s">
        <v>74</v>
      </c>
      <c r="BH138" t="s">
        <v>74</v>
      </c>
      <c r="BI138">
        <v>3</v>
      </c>
      <c r="BJ138" t="s">
        <v>2716</v>
      </c>
      <c r="BK138" t="s">
        <v>419</v>
      </c>
      <c r="BL138" t="s">
        <v>2717</v>
      </c>
      <c r="BM138" t="s">
        <v>2718</v>
      </c>
      <c r="BN138" t="s">
        <v>74</v>
      </c>
      <c r="BO138" t="s">
        <v>74</v>
      </c>
      <c r="BP138" t="s">
        <v>74</v>
      </c>
      <c r="BQ138" t="s">
        <v>74</v>
      </c>
      <c r="BR138" t="s">
        <v>102</v>
      </c>
      <c r="BS138" t="s">
        <v>2719</v>
      </c>
      <c r="BT138" t="str">
        <f>HYPERLINK("https%3A%2F%2Fwww.webofscience.com%2Fwos%2Fwoscc%2Ffull-record%2FWOS:000321935300017","View Full Record in Web of Science")</f>
        <v>View Full Record in Web of Science</v>
      </c>
    </row>
    <row r="139" spans="1:72" x14ac:dyDescent="0.15">
      <c r="A139" t="s">
        <v>72</v>
      </c>
      <c r="B139" t="s">
        <v>2720</v>
      </c>
      <c r="C139" t="s">
        <v>74</v>
      </c>
      <c r="D139" t="s">
        <v>74</v>
      </c>
      <c r="E139" t="s">
        <v>74</v>
      </c>
      <c r="F139" t="s">
        <v>2721</v>
      </c>
      <c r="G139" t="s">
        <v>74</v>
      </c>
      <c r="H139" t="s">
        <v>74</v>
      </c>
      <c r="I139" t="s">
        <v>2722</v>
      </c>
      <c r="J139" t="s">
        <v>2723</v>
      </c>
      <c r="K139" t="s">
        <v>74</v>
      </c>
      <c r="L139" t="s">
        <v>74</v>
      </c>
      <c r="M139" t="s">
        <v>78</v>
      </c>
      <c r="N139" t="s">
        <v>2724</v>
      </c>
      <c r="O139" t="s">
        <v>74</v>
      </c>
      <c r="P139" t="s">
        <v>74</v>
      </c>
      <c r="Q139" t="s">
        <v>74</v>
      </c>
      <c r="R139" t="s">
        <v>74</v>
      </c>
      <c r="S139" t="s">
        <v>74</v>
      </c>
      <c r="T139" t="s">
        <v>74</v>
      </c>
      <c r="U139" t="s">
        <v>2725</v>
      </c>
      <c r="V139" t="s">
        <v>2726</v>
      </c>
      <c r="W139" t="s">
        <v>2727</v>
      </c>
      <c r="X139" t="s">
        <v>2728</v>
      </c>
      <c r="Y139" t="s">
        <v>2729</v>
      </c>
      <c r="Z139" t="s">
        <v>2730</v>
      </c>
      <c r="AA139" t="s">
        <v>74</v>
      </c>
      <c r="AB139" t="s">
        <v>2731</v>
      </c>
      <c r="AC139" t="s">
        <v>2732</v>
      </c>
      <c r="AD139" t="s">
        <v>2733</v>
      </c>
      <c r="AE139" t="s">
        <v>2734</v>
      </c>
      <c r="AF139" t="s">
        <v>74</v>
      </c>
      <c r="AG139">
        <v>19</v>
      </c>
      <c r="AH139">
        <v>20</v>
      </c>
      <c r="AI139">
        <v>21</v>
      </c>
      <c r="AJ139">
        <v>1</v>
      </c>
      <c r="AK139">
        <v>5</v>
      </c>
      <c r="AL139" t="s">
        <v>766</v>
      </c>
      <c r="AM139" t="s">
        <v>767</v>
      </c>
      <c r="AN139" t="s">
        <v>768</v>
      </c>
      <c r="AO139" t="s">
        <v>2735</v>
      </c>
      <c r="AP139" t="s">
        <v>2736</v>
      </c>
      <c r="AQ139" t="s">
        <v>74</v>
      </c>
      <c r="AR139" t="s">
        <v>2737</v>
      </c>
      <c r="AS139" t="s">
        <v>2738</v>
      </c>
      <c r="AT139" t="s">
        <v>74</v>
      </c>
      <c r="AU139">
        <v>2012</v>
      </c>
      <c r="AV139">
        <v>4</v>
      </c>
      <c r="AW139">
        <v>1</v>
      </c>
      <c r="AX139" t="s">
        <v>74</v>
      </c>
      <c r="AY139" t="s">
        <v>74</v>
      </c>
      <c r="AZ139" t="s">
        <v>74</v>
      </c>
      <c r="BA139" t="s">
        <v>74</v>
      </c>
      <c r="BB139">
        <v>23</v>
      </c>
      <c r="BC139">
        <v>30</v>
      </c>
      <c r="BD139" t="s">
        <v>74</v>
      </c>
      <c r="BE139" t="s">
        <v>2739</v>
      </c>
      <c r="BF139" t="str">
        <f>HYPERLINK("http://dx.doi.org/10.5194/essd-4-23-2012","http://dx.doi.org/10.5194/essd-4-23-2012")</f>
        <v>http://dx.doi.org/10.5194/essd-4-23-2012</v>
      </c>
      <c r="BG139" t="s">
        <v>74</v>
      </c>
      <c r="BH139" t="s">
        <v>74</v>
      </c>
      <c r="BI139">
        <v>8</v>
      </c>
      <c r="BJ139" t="s">
        <v>1835</v>
      </c>
      <c r="BK139" t="s">
        <v>100</v>
      </c>
      <c r="BL139" t="s">
        <v>1836</v>
      </c>
      <c r="BM139" t="s">
        <v>2740</v>
      </c>
      <c r="BN139" t="s">
        <v>74</v>
      </c>
      <c r="BO139" t="s">
        <v>1237</v>
      </c>
      <c r="BP139" t="s">
        <v>74</v>
      </c>
      <c r="BQ139" t="s">
        <v>74</v>
      </c>
      <c r="BR139" t="s">
        <v>102</v>
      </c>
      <c r="BS139" t="s">
        <v>2741</v>
      </c>
      <c r="BT139" t="str">
        <f>HYPERLINK("https%3A%2F%2Fwww.webofscience.com%2Fwos%2Fwoscc%2Ffull-record%2FWOS:000209415300003","View Full Record in Web of Science")</f>
        <v>View Full Record in Web of Science</v>
      </c>
    </row>
    <row r="140" spans="1:72" x14ac:dyDescent="0.15">
      <c r="A140" t="s">
        <v>72</v>
      </c>
      <c r="B140" t="s">
        <v>2742</v>
      </c>
      <c r="C140" t="s">
        <v>74</v>
      </c>
      <c r="D140" t="s">
        <v>74</v>
      </c>
      <c r="E140" t="s">
        <v>74</v>
      </c>
      <c r="F140" t="s">
        <v>2743</v>
      </c>
      <c r="G140" t="s">
        <v>74</v>
      </c>
      <c r="H140" t="s">
        <v>74</v>
      </c>
      <c r="I140" t="s">
        <v>2744</v>
      </c>
      <c r="J140" t="s">
        <v>2723</v>
      </c>
      <c r="K140" t="s">
        <v>74</v>
      </c>
      <c r="L140" t="s">
        <v>74</v>
      </c>
      <c r="M140" t="s">
        <v>78</v>
      </c>
      <c r="N140" t="s">
        <v>79</v>
      </c>
      <c r="O140" t="s">
        <v>74</v>
      </c>
      <c r="P140" t="s">
        <v>74</v>
      </c>
      <c r="Q140" t="s">
        <v>74</v>
      </c>
      <c r="R140" t="s">
        <v>74</v>
      </c>
      <c r="S140" t="s">
        <v>74</v>
      </c>
      <c r="T140" t="s">
        <v>74</v>
      </c>
      <c r="U140" t="s">
        <v>2745</v>
      </c>
      <c r="V140" t="s">
        <v>2746</v>
      </c>
      <c r="W140" t="s">
        <v>2747</v>
      </c>
      <c r="X140" t="s">
        <v>2748</v>
      </c>
      <c r="Y140" t="s">
        <v>2749</v>
      </c>
      <c r="Z140" t="s">
        <v>2750</v>
      </c>
      <c r="AA140" t="s">
        <v>2751</v>
      </c>
      <c r="AB140" t="s">
        <v>2752</v>
      </c>
      <c r="AC140" t="s">
        <v>2753</v>
      </c>
      <c r="AD140" t="s">
        <v>2754</v>
      </c>
      <c r="AE140" t="s">
        <v>2755</v>
      </c>
      <c r="AF140" t="s">
        <v>74</v>
      </c>
      <c r="AG140">
        <v>43</v>
      </c>
      <c r="AH140">
        <v>71</v>
      </c>
      <c r="AI140">
        <v>78</v>
      </c>
      <c r="AJ140">
        <v>1</v>
      </c>
      <c r="AK140">
        <v>30</v>
      </c>
      <c r="AL140" t="s">
        <v>766</v>
      </c>
      <c r="AM140" t="s">
        <v>767</v>
      </c>
      <c r="AN140" t="s">
        <v>768</v>
      </c>
      <c r="AO140" t="s">
        <v>2735</v>
      </c>
      <c r="AP140" t="s">
        <v>2736</v>
      </c>
      <c r="AQ140" t="s">
        <v>74</v>
      </c>
      <c r="AR140" t="s">
        <v>2737</v>
      </c>
      <c r="AS140" t="s">
        <v>2738</v>
      </c>
      <c r="AT140" t="s">
        <v>74</v>
      </c>
      <c r="AU140">
        <v>2012</v>
      </c>
      <c r="AV140">
        <v>4</v>
      </c>
      <c r="AW140">
        <v>1</v>
      </c>
      <c r="AX140" t="s">
        <v>74</v>
      </c>
      <c r="AY140" t="s">
        <v>74</v>
      </c>
      <c r="AZ140" t="s">
        <v>74</v>
      </c>
      <c r="BA140" t="s">
        <v>74</v>
      </c>
      <c r="BB140">
        <v>129</v>
      </c>
      <c r="BC140">
        <v>142</v>
      </c>
      <c r="BD140" t="s">
        <v>74</v>
      </c>
      <c r="BE140" t="s">
        <v>2756</v>
      </c>
      <c r="BF140" t="str">
        <f>HYPERLINK("http://dx.doi.org/10.5194/essd-4-129-2012","http://dx.doi.org/10.5194/essd-4-129-2012")</f>
        <v>http://dx.doi.org/10.5194/essd-4-129-2012</v>
      </c>
      <c r="BG140" t="s">
        <v>74</v>
      </c>
      <c r="BH140" t="s">
        <v>74</v>
      </c>
      <c r="BI140">
        <v>14</v>
      </c>
      <c r="BJ140" t="s">
        <v>1835</v>
      </c>
      <c r="BK140" t="s">
        <v>100</v>
      </c>
      <c r="BL140" t="s">
        <v>1836</v>
      </c>
      <c r="BM140" t="s">
        <v>2740</v>
      </c>
      <c r="BN140" t="s">
        <v>74</v>
      </c>
      <c r="BO140" t="s">
        <v>2757</v>
      </c>
      <c r="BP140" t="s">
        <v>74</v>
      </c>
      <c r="BQ140" t="s">
        <v>74</v>
      </c>
      <c r="BR140" t="s">
        <v>102</v>
      </c>
      <c r="BS140" t="s">
        <v>2758</v>
      </c>
      <c r="BT140" t="str">
        <f>HYPERLINK("https%3A%2F%2Fwww.webofscience.com%2Fwos%2Fwoscc%2Ffull-record%2FWOS:000209415300012","View Full Record in Web of Science")</f>
        <v>View Full Record in Web of Science</v>
      </c>
    </row>
    <row r="141" spans="1:72" x14ac:dyDescent="0.15">
      <c r="A141" t="s">
        <v>72</v>
      </c>
      <c r="B141" t="s">
        <v>2759</v>
      </c>
      <c r="C141" t="s">
        <v>74</v>
      </c>
      <c r="D141" t="s">
        <v>74</v>
      </c>
      <c r="E141" t="s">
        <v>74</v>
      </c>
      <c r="F141" t="s">
        <v>2760</v>
      </c>
      <c r="G141" t="s">
        <v>74</v>
      </c>
      <c r="H141" t="s">
        <v>74</v>
      </c>
      <c r="I141" t="s">
        <v>2761</v>
      </c>
      <c r="J141" t="s">
        <v>2723</v>
      </c>
      <c r="K141" t="s">
        <v>74</v>
      </c>
      <c r="L141" t="s">
        <v>74</v>
      </c>
      <c r="M141" t="s">
        <v>78</v>
      </c>
      <c r="N141" t="s">
        <v>2724</v>
      </c>
      <c r="O141" t="s">
        <v>74</v>
      </c>
      <c r="P141" t="s">
        <v>74</v>
      </c>
      <c r="Q141" t="s">
        <v>74</v>
      </c>
      <c r="R141" t="s">
        <v>74</v>
      </c>
      <c r="S141" t="s">
        <v>74</v>
      </c>
      <c r="T141" t="s">
        <v>74</v>
      </c>
      <c r="U141" t="s">
        <v>2762</v>
      </c>
      <c r="V141" t="s">
        <v>2763</v>
      </c>
      <c r="W141" t="s">
        <v>2764</v>
      </c>
      <c r="X141" t="s">
        <v>2765</v>
      </c>
      <c r="Y141" t="s">
        <v>2766</v>
      </c>
      <c r="Z141" t="s">
        <v>2767</v>
      </c>
      <c r="AA141" t="s">
        <v>2768</v>
      </c>
      <c r="AB141" t="s">
        <v>2769</v>
      </c>
      <c r="AC141" t="s">
        <v>2770</v>
      </c>
      <c r="AD141" t="s">
        <v>2771</v>
      </c>
      <c r="AE141" t="s">
        <v>2772</v>
      </c>
      <c r="AF141" t="s">
        <v>74</v>
      </c>
      <c r="AG141">
        <v>25</v>
      </c>
      <c r="AH141">
        <v>28</v>
      </c>
      <c r="AI141">
        <v>29</v>
      </c>
      <c r="AJ141">
        <v>1</v>
      </c>
      <c r="AK141">
        <v>3</v>
      </c>
      <c r="AL141" t="s">
        <v>766</v>
      </c>
      <c r="AM141" t="s">
        <v>767</v>
      </c>
      <c r="AN141" t="s">
        <v>768</v>
      </c>
      <c r="AO141" t="s">
        <v>2735</v>
      </c>
      <c r="AP141" t="s">
        <v>2736</v>
      </c>
      <c r="AQ141" t="s">
        <v>74</v>
      </c>
      <c r="AR141" t="s">
        <v>2737</v>
      </c>
      <c r="AS141" t="s">
        <v>2738</v>
      </c>
      <c r="AT141" t="s">
        <v>74</v>
      </c>
      <c r="AU141">
        <v>2012</v>
      </c>
      <c r="AV141">
        <v>4</v>
      </c>
      <c r="AW141">
        <v>1</v>
      </c>
      <c r="AX141" t="s">
        <v>74</v>
      </c>
      <c r="AY141" t="s">
        <v>74</v>
      </c>
      <c r="AZ141" t="s">
        <v>74</v>
      </c>
      <c r="BA141" t="s">
        <v>74</v>
      </c>
      <c r="BB141">
        <v>143</v>
      </c>
      <c r="BC141">
        <v>148</v>
      </c>
      <c r="BD141" t="s">
        <v>74</v>
      </c>
      <c r="BE141" t="s">
        <v>2773</v>
      </c>
      <c r="BF141" t="str">
        <f>HYPERLINK("http://dx.doi.org/10.5194/essd-4-143-2012","http://dx.doi.org/10.5194/essd-4-143-2012")</f>
        <v>http://dx.doi.org/10.5194/essd-4-143-2012</v>
      </c>
      <c r="BG141" t="s">
        <v>74</v>
      </c>
      <c r="BH141" t="s">
        <v>74</v>
      </c>
      <c r="BI141">
        <v>6</v>
      </c>
      <c r="BJ141" t="s">
        <v>1835</v>
      </c>
      <c r="BK141" t="s">
        <v>100</v>
      </c>
      <c r="BL141" t="s">
        <v>1836</v>
      </c>
      <c r="BM141" t="s">
        <v>2740</v>
      </c>
      <c r="BN141" t="s">
        <v>74</v>
      </c>
      <c r="BO141" t="s">
        <v>1392</v>
      </c>
      <c r="BP141" t="s">
        <v>74</v>
      </c>
      <c r="BQ141" t="s">
        <v>74</v>
      </c>
      <c r="BR141" t="s">
        <v>102</v>
      </c>
      <c r="BS141" t="s">
        <v>2774</v>
      </c>
      <c r="BT141" t="str">
        <f>HYPERLINK("https%3A%2F%2Fwww.webofscience.com%2Fwos%2Fwoscc%2Ffull-record%2FWOS:000209415300013","View Full Record in Web of Science")</f>
        <v>View Full Record in Web of Science</v>
      </c>
    </row>
    <row r="142" spans="1:72" x14ac:dyDescent="0.15">
      <c r="A142" t="s">
        <v>72</v>
      </c>
      <c r="B142" t="s">
        <v>2775</v>
      </c>
      <c r="C142" t="s">
        <v>74</v>
      </c>
      <c r="D142" t="s">
        <v>74</v>
      </c>
      <c r="E142" t="s">
        <v>74</v>
      </c>
      <c r="F142" t="s">
        <v>2776</v>
      </c>
      <c r="G142" t="s">
        <v>74</v>
      </c>
      <c r="H142" t="s">
        <v>74</v>
      </c>
      <c r="I142" t="s">
        <v>2777</v>
      </c>
      <c r="J142" t="s">
        <v>2723</v>
      </c>
      <c r="K142" t="s">
        <v>74</v>
      </c>
      <c r="L142" t="s">
        <v>74</v>
      </c>
      <c r="M142" t="s">
        <v>78</v>
      </c>
      <c r="N142" t="s">
        <v>2724</v>
      </c>
      <c r="O142" t="s">
        <v>74</v>
      </c>
      <c r="P142" t="s">
        <v>74</v>
      </c>
      <c r="Q142" t="s">
        <v>74</v>
      </c>
      <c r="R142" t="s">
        <v>74</v>
      </c>
      <c r="S142" t="s">
        <v>74</v>
      </c>
      <c r="T142" t="s">
        <v>74</v>
      </c>
      <c r="U142" t="s">
        <v>2778</v>
      </c>
      <c r="V142" t="s">
        <v>2779</v>
      </c>
      <c r="W142" t="s">
        <v>2780</v>
      </c>
      <c r="X142" t="s">
        <v>2781</v>
      </c>
      <c r="Y142" t="s">
        <v>2782</v>
      </c>
      <c r="Z142" t="s">
        <v>2783</v>
      </c>
      <c r="AA142" t="s">
        <v>2784</v>
      </c>
      <c r="AB142" t="s">
        <v>2785</v>
      </c>
      <c r="AC142" t="s">
        <v>2786</v>
      </c>
      <c r="AD142" t="s">
        <v>1656</v>
      </c>
      <c r="AE142" t="s">
        <v>74</v>
      </c>
      <c r="AF142" t="s">
        <v>74</v>
      </c>
      <c r="AG142">
        <v>56</v>
      </c>
      <c r="AH142">
        <v>158</v>
      </c>
      <c r="AI142">
        <v>167</v>
      </c>
      <c r="AJ142">
        <v>6</v>
      </c>
      <c r="AK142">
        <v>64</v>
      </c>
      <c r="AL142" t="s">
        <v>766</v>
      </c>
      <c r="AM142" t="s">
        <v>767</v>
      </c>
      <c r="AN142" t="s">
        <v>768</v>
      </c>
      <c r="AO142" t="s">
        <v>2735</v>
      </c>
      <c r="AP142" t="s">
        <v>2736</v>
      </c>
      <c r="AQ142" t="s">
        <v>74</v>
      </c>
      <c r="AR142" t="s">
        <v>2737</v>
      </c>
      <c r="AS142" t="s">
        <v>2738</v>
      </c>
      <c r="AT142" t="s">
        <v>74</v>
      </c>
      <c r="AU142">
        <v>2012</v>
      </c>
      <c r="AV142">
        <v>4</v>
      </c>
      <c r="AW142">
        <v>1</v>
      </c>
      <c r="AX142" t="s">
        <v>74</v>
      </c>
      <c r="AY142" t="s">
        <v>74</v>
      </c>
      <c r="AZ142" t="s">
        <v>74</v>
      </c>
      <c r="BA142" t="s">
        <v>74</v>
      </c>
      <c r="BB142">
        <v>149</v>
      </c>
      <c r="BC142">
        <v>165</v>
      </c>
      <c r="BD142" t="s">
        <v>74</v>
      </c>
      <c r="BE142" t="s">
        <v>2787</v>
      </c>
      <c r="BF142" t="str">
        <f>HYPERLINK("http://dx.doi.org/10.5194/essd-4-149-2012","http://dx.doi.org/10.5194/essd-4-149-2012")</f>
        <v>http://dx.doi.org/10.5194/essd-4-149-2012</v>
      </c>
      <c r="BG142" t="s">
        <v>74</v>
      </c>
      <c r="BH142" t="s">
        <v>74</v>
      </c>
      <c r="BI142">
        <v>17</v>
      </c>
      <c r="BJ142" t="s">
        <v>1835</v>
      </c>
      <c r="BK142" t="s">
        <v>100</v>
      </c>
      <c r="BL142" t="s">
        <v>1836</v>
      </c>
      <c r="BM142" t="s">
        <v>2740</v>
      </c>
      <c r="BN142" t="s">
        <v>74</v>
      </c>
      <c r="BO142" t="s">
        <v>1326</v>
      </c>
      <c r="BP142" t="s">
        <v>74</v>
      </c>
      <c r="BQ142" t="s">
        <v>74</v>
      </c>
      <c r="BR142" t="s">
        <v>102</v>
      </c>
      <c r="BS142" t="s">
        <v>2788</v>
      </c>
      <c r="BT142" t="str">
        <f>HYPERLINK("https%3A%2F%2Fwww.webofscience.com%2Fwos%2Fwoscc%2Ffull-record%2FWOS:000209415300014","View Full Record in Web of Science")</f>
        <v>View Full Record in Web of Science</v>
      </c>
    </row>
    <row r="143" spans="1:72" x14ac:dyDescent="0.15">
      <c r="A143" t="s">
        <v>72</v>
      </c>
      <c r="B143" t="s">
        <v>2789</v>
      </c>
      <c r="C143" t="s">
        <v>74</v>
      </c>
      <c r="D143" t="s">
        <v>74</v>
      </c>
      <c r="E143" t="s">
        <v>74</v>
      </c>
      <c r="F143" t="s">
        <v>2790</v>
      </c>
      <c r="G143" t="s">
        <v>74</v>
      </c>
      <c r="H143" t="s">
        <v>74</v>
      </c>
      <c r="I143" t="s">
        <v>2791</v>
      </c>
      <c r="J143" t="s">
        <v>2723</v>
      </c>
      <c r="K143" t="s">
        <v>74</v>
      </c>
      <c r="L143" t="s">
        <v>74</v>
      </c>
      <c r="M143" t="s">
        <v>78</v>
      </c>
      <c r="N143" t="s">
        <v>2724</v>
      </c>
      <c r="O143" t="s">
        <v>74</v>
      </c>
      <c r="P143" t="s">
        <v>74</v>
      </c>
      <c r="Q143" t="s">
        <v>74</v>
      </c>
      <c r="R143" t="s">
        <v>74</v>
      </c>
      <c r="S143" t="s">
        <v>74</v>
      </c>
      <c r="T143" t="s">
        <v>74</v>
      </c>
      <c r="U143" t="s">
        <v>2792</v>
      </c>
      <c r="V143" t="s">
        <v>2793</v>
      </c>
      <c r="W143" t="s">
        <v>2794</v>
      </c>
      <c r="X143" t="s">
        <v>2795</v>
      </c>
      <c r="Y143" t="s">
        <v>2796</v>
      </c>
      <c r="Z143" t="s">
        <v>2797</v>
      </c>
      <c r="AA143" t="s">
        <v>2798</v>
      </c>
      <c r="AB143" t="s">
        <v>2799</v>
      </c>
      <c r="AC143" t="s">
        <v>2800</v>
      </c>
      <c r="AD143" t="s">
        <v>2801</v>
      </c>
      <c r="AE143" t="s">
        <v>2802</v>
      </c>
      <c r="AF143" t="s">
        <v>74</v>
      </c>
      <c r="AG143">
        <v>78</v>
      </c>
      <c r="AH143">
        <v>86</v>
      </c>
      <c r="AI143">
        <v>95</v>
      </c>
      <c r="AJ143">
        <v>2</v>
      </c>
      <c r="AK143">
        <v>24</v>
      </c>
      <c r="AL143" t="s">
        <v>766</v>
      </c>
      <c r="AM143" t="s">
        <v>767</v>
      </c>
      <c r="AN143" t="s">
        <v>768</v>
      </c>
      <c r="AO143" t="s">
        <v>2735</v>
      </c>
      <c r="AP143" t="s">
        <v>2736</v>
      </c>
      <c r="AQ143" t="s">
        <v>74</v>
      </c>
      <c r="AR143" t="s">
        <v>2737</v>
      </c>
      <c r="AS143" t="s">
        <v>2738</v>
      </c>
      <c r="AT143" t="s">
        <v>74</v>
      </c>
      <c r="AU143">
        <v>2012</v>
      </c>
      <c r="AV143">
        <v>4</v>
      </c>
      <c r="AW143">
        <v>1</v>
      </c>
      <c r="AX143" t="s">
        <v>74</v>
      </c>
      <c r="AY143" t="s">
        <v>74</v>
      </c>
      <c r="AZ143" t="s">
        <v>74</v>
      </c>
      <c r="BA143" t="s">
        <v>74</v>
      </c>
      <c r="BB143">
        <v>167</v>
      </c>
      <c r="BC143">
        <v>186</v>
      </c>
      <c r="BD143" t="s">
        <v>74</v>
      </c>
      <c r="BE143" t="s">
        <v>2803</v>
      </c>
      <c r="BF143" t="str">
        <f>HYPERLINK("http://dx.doi.org/10.5194/essd-4-167-2012","http://dx.doi.org/10.5194/essd-4-167-2012")</f>
        <v>http://dx.doi.org/10.5194/essd-4-167-2012</v>
      </c>
      <c r="BG143" t="s">
        <v>74</v>
      </c>
      <c r="BH143" t="s">
        <v>74</v>
      </c>
      <c r="BI143">
        <v>20</v>
      </c>
      <c r="BJ143" t="s">
        <v>1835</v>
      </c>
      <c r="BK143" t="s">
        <v>100</v>
      </c>
      <c r="BL143" t="s">
        <v>1836</v>
      </c>
      <c r="BM143" t="s">
        <v>2740</v>
      </c>
      <c r="BN143" t="s">
        <v>74</v>
      </c>
      <c r="BO143" t="s">
        <v>1272</v>
      </c>
      <c r="BP143" t="s">
        <v>74</v>
      </c>
      <c r="BQ143" t="s">
        <v>74</v>
      </c>
      <c r="BR143" t="s">
        <v>102</v>
      </c>
      <c r="BS143" t="s">
        <v>2804</v>
      </c>
      <c r="BT143" t="str">
        <f>HYPERLINK("https%3A%2F%2Fwww.webofscience.com%2Fwos%2Fwoscc%2Ffull-record%2FWOS:000209415300015","View Full Record in Web of Science")</f>
        <v>View Full Record in Web of Science</v>
      </c>
    </row>
    <row r="144" spans="1:72" x14ac:dyDescent="0.15">
      <c r="A144" t="s">
        <v>72</v>
      </c>
      <c r="B144" t="s">
        <v>2805</v>
      </c>
      <c r="C144" t="s">
        <v>74</v>
      </c>
      <c r="D144" t="s">
        <v>74</v>
      </c>
      <c r="E144" t="s">
        <v>74</v>
      </c>
      <c r="F144" t="s">
        <v>2806</v>
      </c>
      <c r="G144" t="s">
        <v>74</v>
      </c>
      <c r="H144" t="s">
        <v>74</v>
      </c>
      <c r="I144" t="s">
        <v>2807</v>
      </c>
      <c r="J144" t="s">
        <v>2723</v>
      </c>
      <c r="K144" t="s">
        <v>74</v>
      </c>
      <c r="L144" t="s">
        <v>74</v>
      </c>
      <c r="M144" t="s">
        <v>78</v>
      </c>
      <c r="N144" t="s">
        <v>2724</v>
      </c>
      <c r="O144" t="s">
        <v>74</v>
      </c>
      <c r="P144" t="s">
        <v>74</v>
      </c>
      <c r="Q144" t="s">
        <v>74</v>
      </c>
      <c r="R144" t="s">
        <v>74</v>
      </c>
      <c r="S144" t="s">
        <v>74</v>
      </c>
      <c r="T144" t="s">
        <v>74</v>
      </c>
      <c r="U144" t="s">
        <v>2808</v>
      </c>
      <c r="V144" t="s">
        <v>2809</v>
      </c>
      <c r="W144" t="s">
        <v>2810</v>
      </c>
      <c r="X144" t="s">
        <v>2811</v>
      </c>
      <c r="Y144" t="s">
        <v>2812</v>
      </c>
      <c r="Z144" t="s">
        <v>2813</v>
      </c>
      <c r="AA144" t="s">
        <v>2814</v>
      </c>
      <c r="AB144" t="s">
        <v>2815</v>
      </c>
      <c r="AC144" t="s">
        <v>74</v>
      </c>
      <c r="AD144" t="s">
        <v>74</v>
      </c>
      <c r="AE144" t="s">
        <v>74</v>
      </c>
      <c r="AF144" t="s">
        <v>74</v>
      </c>
      <c r="AG144">
        <v>426</v>
      </c>
      <c r="AH144">
        <v>11</v>
      </c>
      <c r="AI144">
        <v>11</v>
      </c>
      <c r="AJ144">
        <v>1</v>
      </c>
      <c r="AK144">
        <v>23</v>
      </c>
      <c r="AL144" t="s">
        <v>766</v>
      </c>
      <c r="AM144" t="s">
        <v>767</v>
      </c>
      <c r="AN144" t="s">
        <v>768</v>
      </c>
      <c r="AO144" t="s">
        <v>2735</v>
      </c>
      <c r="AP144" t="s">
        <v>2736</v>
      </c>
      <c r="AQ144" t="s">
        <v>74</v>
      </c>
      <c r="AR144" t="s">
        <v>2737</v>
      </c>
      <c r="AS144" t="s">
        <v>2738</v>
      </c>
      <c r="AT144" t="s">
        <v>74</v>
      </c>
      <c r="AU144">
        <v>2012</v>
      </c>
      <c r="AV144">
        <v>4</v>
      </c>
      <c r="AW144">
        <v>1</v>
      </c>
      <c r="AX144" t="s">
        <v>74</v>
      </c>
      <c r="AY144" t="s">
        <v>74</v>
      </c>
      <c r="AZ144" t="s">
        <v>74</v>
      </c>
      <c r="BA144" t="s">
        <v>74</v>
      </c>
      <c r="BB144">
        <v>215</v>
      </c>
      <c r="BC144">
        <v>282</v>
      </c>
      <c r="BD144" t="s">
        <v>74</v>
      </c>
      <c r="BE144" t="s">
        <v>2816</v>
      </c>
      <c r="BF144" t="str">
        <f>HYPERLINK("http://dx.doi.org/10.5194/essd-4-215-2012","http://dx.doi.org/10.5194/essd-4-215-2012")</f>
        <v>http://dx.doi.org/10.5194/essd-4-215-2012</v>
      </c>
      <c r="BG144" t="s">
        <v>74</v>
      </c>
      <c r="BH144" t="s">
        <v>74</v>
      </c>
      <c r="BI144">
        <v>68</v>
      </c>
      <c r="BJ144" t="s">
        <v>1835</v>
      </c>
      <c r="BK144" t="s">
        <v>100</v>
      </c>
      <c r="BL144" t="s">
        <v>1836</v>
      </c>
      <c r="BM144" t="s">
        <v>2740</v>
      </c>
      <c r="BN144" t="s">
        <v>74</v>
      </c>
      <c r="BO144" t="s">
        <v>1108</v>
      </c>
      <c r="BP144" t="s">
        <v>74</v>
      </c>
      <c r="BQ144" t="s">
        <v>74</v>
      </c>
      <c r="BR144" t="s">
        <v>102</v>
      </c>
      <c r="BS144" t="s">
        <v>2817</v>
      </c>
      <c r="BT144" t="str">
        <f>HYPERLINK("https%3A%2F%2Fwww.webofscience.com%2Fwos%2Fwoscc%2Ffull-record%2FWOS:000209415300017","View Full Record in Web of Science")</f>
        <v>View Full Record in Web of Science</v>
      </c>
    </row>
    <row r="145" spans="1:72" x14ac:dyDescent="0.15">
      <c r="A145" t="s">
        <v>72</v>
      </c>
      <c r="B145" t="s">
        <v>2818</v>
      </c>
      <c r="C145" t="s">
        <v>74</v>
      </c>
      <c r="D145" t="s">
        <v>74</v>
      </c>
      <c r="E145" t="s">
        <v>74</v>
      </c>
      <c r="F145" t="s">
        <v>2819</v>
      </c>
      <c r="G145" t="s">
        <v>74</v>
      </c>
      <c r="H145" t="s">
        <v>74</v>
      </c>
      <c r="I145" t="s">
        <v>2820</v>
      </c>
      <c r="J145" t="s">
        <v>2821</v>
      </c>
      <c r="K145" t="s">
        <v>74</v>
      </c>
      <c r="L145" t="s">
        <v>74</v>
      </c>
      <c r="M145" t="s">
        <v>78</v>
      </c>
      <c r="N145" t="s">
        <v>79</v>
      </c>
      <c r="O145" t="s">
        <v>74</v>
      </c>
      <c r="P145" t="s">
        <v>74</v>
      </c>
      <c r="Q145" t="s">
        <v>74</v>
      </c>
      <c r="R145" t="s">
        <v>74</v>
      </c>
      <c r="S145" t="s">
        <v>74</v>
      </c>
      <c r="T145" t="s">
        <v>2822</v>
      </c>
      <c r="U145" t="s">
        <v>2823</v>
      </c>
      <c r="V145" t="s">
        <v>2824</v>
      </c>
      <c r="W145" t="s">
        <v>2825</v>
      </c>
      <c r="X145" t="s">
        <v>2826</v>
      </c>
      <c r="Y145" t="s">
        <v>2827</v>
      </c>
      <c r="Z145" t="s">
        <v>2828</v>
      </c>
      <c r="AA145" t="s">
        <v>74</v>
      </c>
      <c r="AB145" t="s">
        <v>74</v>
      </c>
      <c r="AC145" t="s">
        <v>2829</v>
      </c>
      <c r="AD145" t="s">
        <v>2830</v>
      </c>
      <c r="AE145" t="s">
        <v>2831</v>
      </c>
      <c r="AF145" t="s">
        <v>74</v>
      </c>
      <c r="AG145">
        <v>40</v>
      </c>
      <c r="AH145">
        <v>70</v>
      </c>
      <c r="AI145">
        <v>77</v>
      </c>
      <c r="AJ145">
        <v>0</v>
      </c>
      <c r="AK145">
        <v>70</v>
      </c>
      <c r="AL145" t="s">
        <v>2832</v>
      </c>
      <c r="AM145" t="s">
        <v>796</v>
      </c>
      <c r="AN145" t="s">
        <v>797</v>
      </c>
      <c r="AO145" t="s">
        <v>2833</v>
      </c>
      <c r="AP145" t="s">
        <v>2834</v>
      </c>
      <c r="AQ145" t="s">
        <v>74</v>
      </c>
      <c r="AR145" t="s">
        <v>2821</v>
      </c>
      <c r="AS145" t="s">
        <v>2835</v>
      </c>
      <c r="AT145" t="s">
        <v>97</v>
      </c>
      <c r="AU145">
        <v>2012</v>
      </c>
      <c r="AV145">
        <v>93</v>
      </c>
      <c r="AW145">
        <v>1</v>
      </c>
      <c r="AX145" t="s">
        <v>74</v>
      </c>
      <c r="AY145" t="s">
        <v>74</v>
      </c>
      <c r="AZ145" t="s">
        <v>74</v>
      </c>
      <c r="BA145" t="s">
        <v>74</v>
      </c>
      <c r="BB145">
        <v>122</v>
      </c>
      <c r="BC145">
        <v>130</v>
      </c>
      <c r="BD145" t="s">
        <v>74</v>
      </c>
      <c r="BE145" t="s">
        <v>2836</v>
      </c>
      <c r="BF145" t="str">
        <f>HYPERLINK("http://dx.doi.org/10.1890/11-0385.1","http://dx.doi.org/10.1890/11-0385.1")</f>
        <v>http://dx.doi.org/10.1890/11-0385.1</v>
      </c>
      <c r="BG145" t="s">
        <v>74</v>
      </c>
      <c r="BH145" t="s">
        <v>74</v>
      </c>
      <c r="BI145">
        <v>9</v>
      </c>
      <c r="BJ145" t="s">
        <v>2835</v>
      </c>
      <c r="BK145" t="s">
        <v>100</v>
      </c>
      <c r="BL145" t="s">
        <v>2837</v>
      </c>
      <c r="BM145" t="s">
        <v>2838</v>
      </c>
      <c r="BN145">
        <v>22486093</v>
      </c>
      <c r="BO145" t="s">
        <v>74</v>
      </c>
      <c r="BP145" t="s">
        <v>74</v>
      </c>
      <c r="BQ145" t="s">
        <v>74</v>
      </c>
      <c r="BR145" t="s">
        <v>102</v>
      </c>
      <c r="BS145" t="s">
        <v>2839</v>
      </c>
      <c r="BT145" t="str">
        <f>HYPERLINK("https%3A%2F%2Fwww.webofscience.com%2Fwos%2Fwoscc%2Ffull-record%2FWOS:000301996100015","View Full Record in Web of Science")</f>
        <v>View Full Record in Web of Science</v>
      </c>
    </row>
    <row r="146" spans="1:72" x14ac:dyDescent="0.15">
      <c r="A146" t="s">
        <v>517</v>
      </c>
      <c r="B146" t="s">
        <v>2840</v>
      </c>
      <c r="C146" t="s">
        <v>2841</v>
      </c>
      <c r="D146" t="s">
        <v>74</v>
      </c>
      <c r="E146" t="s">
        <v>74</v>
      </c>
      <c r="F146" t="s">
        <v>2842</v>
      </c>
      <c r="G146" t="s">
        <v>2841</v>
      </c>
      <c r="H146" t="s">
        <v>74</v>
      </c>
      <c r="I146" t="s">
        <v>2843</v>
      </c>
      <c r="J146" t="s">
        <v>2844</v>
      </c>
      <c r="K146" t="s">
        <v>74</v>
      </c>
      <c r="L146" t="s">
        <v>74</v>
      </c>
      <c r="M146" t="s">
        <v>78</v>
      </c>
      <c r="N146" t="s">
        <v>2845</v>
      </c>
      <c r="O146" t="s">
        <v>74</v>
      </c>
      <c r="P146" t="s">
        <v>74</v>
      </c>
      <c r="Q146" t="s">
        <v>74</v>
      </c>
      <c r="R146" t="s">
        <v>74</v>
      </c>
      <c r="S146" t="s">
        <v>74</v>
      </c>
      <c r="T146" t="s">
        <v>74</v>
      </c>
      <c r="U146" t="s">
        <v>2846</v>
      </c>
      <c r="V146" t="s">
        <v>74</v>
      </c>
      <c r="W146" t="s">
        <v>2847</v>
      </c>
      <c r="X146" t="s">
        <v>2848</v>
      </c>
      <c r="Y146" t="s">
        <v>2849</v>
      </c>
      <c r="Z146" t="s">
        <v>74</v>
      </c>
      <c r="AA146" t="s">
        <v>2850</v>
      </c>
      <c r="AB146" t="s">
        <v>74</v>
      </c>
      <c r="AC146" t="s">
        <v>74</v>
      </c>
      <c r="AD146" t="s">
        <v>74</v>
      </c>
      <c r="AE146" t="s">
        <v>74</v>
      </c>
      <c r="AF146" t="s">
        <v>74</v>
      </c>
      <c r="AG146">
        <v>628</v>
      </c>
      <c r="AH146">
        <v>0</v>
      </c>
      <c r="AI146">
        <v>0</v>
      </c>
      <c r="AJ146">
        <v>0</v>
      </c>
      <c r="AK146">
        <v>4</v>
      </c>
      <c r="AL146" t="s">
        <v>307</v>
      </c>
      <c r="AM146" t="s">
        <v>413</v>
      </c>
      <c r="AN146" t="s">
        <v>2851</v>
      </c>
      <c r="AO146" t="s">
        <v>74</v>
      </c>
      <c r="AP146" t="s">
        <v>74</v>
      </c>
      <c r="AQ146" t="s">
        <v>2852</v>
      </c>
      <c r="AR146" t="s">
        <v>74</v>
      </c>
      <c r="AS146" t="s">
        <v>74</v>
      </c>
      <c r="AT146" t="s">
        <v>74</v>
      </c>
      <c r="AU146">
        <v>2012</v>
      </c>
      <c r="AV146" t="s">
        <v>74</v>
      </c>
      <c r="AW146" t="s">
        <v>74</v>
      </c>
      <c r="AX146" t="s">
        <v>74</v>
      </c>
      <c r="AY146" t="s">
        <v>74</v>
      </c>
      <c r="AZ146" t="s">
        <v>74</v>
      </c>
      <c r="BA146" t="s">
        <v>74</v>
      </c>
      <c r="BB146" t="s">
        <v>820</v>
      </c>
      <c r="BC146" t="s">
        <v>1503</v>
      </c>
      <c r="BD146" t="s">
        <v>74</v>
      </c>
      <c r="BE146" t="s">
        <v>74</v>
      </c>
      <c r="BF146" t="s">
        <v>74</v>
      </c>
      <c r="BG146" t="s">
        <v>2853</v>
      </c>
      <c r="BH146" t="s">
        <v>74</v>
      </c>
      <c r="BI146">
        <v>25</v>
      </c>
      <c r="BJ146" t="s">
        <v>2854</v>
      </c>
      <c r="BK146" t="s">
        <v>534</v>
      </c>
      <c r="BL146" t="s">
        <v>2855</v>
      </c>
      <c r="BM146" t="s">
        <v>2856</v>
      </c>
      <c r="BN146" t="s">
        <v>74</v>
      </c>
      <c r="BO146" t="s">
        <v>74</v>
      </c>
      <c r="BP146" t="s">
        <v>74</v>
      </c>
      <c r="BQ146" t="s">
        <v>74</v>
      </c>
      <c r="BR146" t="s">
        <v>102</v>
      </c>
      <c r="BS146" t="s">
        <v>2857</v>
      </c>
      <c r="BT146" t="str">
        <f>HYPERLINK("https%3A%2F%2Fwww.webofscience.com%2Fwos%2Fwoscc%2Ffull-record%2FWOS:000353400000001","View Full Record in Web of Science")</f>
        <v>View Full Record in Web of Science</v>
      </c>
    </row>
    <row r="147" spans="1:72" x14ac:dyDescent="0.15">
      <c r="A147" t="s">
        <v>72</v>
      </c>
      <c r="B147" t="s">
        <v>2858</v>
      </c>
      <c r="C147" t="s">
        <v>74</v>
      </c>
      <c r="D147" t="s">
        <v>74</v>
      </c>
      <c r="E147" t="s">
        <v>74</v>
      </c>
      <c r="F147" t="s">
        <v>2859</v>
      </c>
      <c r="G147" t="s">
        <v>74</v>
      </c>
      <c r="H147" t="s">
        <v>74</v>
      </c>
      <c r="I147" t="s">
        <v>2860</v>
      </c>
      <c r="J147" t="s">
        <v>2861</v>
      </c>
      <c r="K147" t="s">
        <v>74</v>
      </c>
      <c r="L147" t="s">
        <v>74</v>
      </c>
      <c r="M147" t="s">
        <v>78</v>
      </c>
      <c r="N147" t="s">
        <v>79</v>
      </c>
      <c r="O147" t="s">
        <v>74</v>
      </c>
      <c r="P147" t="s">
        <v>74</v>
      </c>
      <c r="Q147" t="s">
        <v>74</v>
      </c>
      <c r="R147" t="s">
        <v>74</v>
      </c>
      <c r="S147" t="s">
        <v>74</v>
      </c>
      <c r="T147" t="s">
        <v>2862</v>
      </c>
      <c r="U147" t="s">
        <v>2863</v>
      </c>
      <c r="V147" t="s">
        <v>2864</v>
      </c>
      <c r="W147" t="s">
        <v>2865</v>
      </c>
      <c r="X147" t="s">
        <v>2866</v>
      </c>
      <c r="Y147" t="s">
        <v>2867</v>
      </c>
      <c r="Z147" t="s">
        <v>2868</v>
      </c>
      <c r="AA147" t="s">
        <v>74</v>
      </c>
      <c r="AB147" t="s">
        <v>2869</v>
      </c>
      <c r="AC147" t="s">
        <v>2866</v>
      </c>
      <c r="AD147" t="s">
        <v>2870</v>
      </c>
      <c r="AE147" t="s">
        <v>2871</v>
      </c>
      <c r="AF147" t="s">
        <v>74</v>
      </c>
      <c r="AG147">
        <v>47</v>
      </c>
      <c r="AH147">
        <v>34</v>
      </c>
      <c r="AI147">
        <v>37</v>
      </c>
      <c r="AJ147">
        <v>1</v>
      </c>
      <c r="AK147">
        <v>45</v>
      </c>
      <c r="AL147" t="s">
        <v>2872</v>
      </c>
      <c r="AM147" t="s">
        <v>2873</v>
      </c>
      <c r="AN147" t="s">
        <v>2874</v>
      </c>
      <c r="AO147" t="s">
        <v>2875</v>
      </c>
      <c r="AP147" t="s">
        <v>2876</v>
      </c>
      <c r="AQ147" t="s">
        <v>74</v>
      </c>
      <c r="AR147" t="s">
        <v>2877</v>
      </c>
      <c r="AS147" t="s">
        <v>2878</v>
      </c>
      <c r="AT147" t="s">
        <v>74</v>
      </c>
      <c r="AU147">
        <v>2012</v>
      </c>
      <c r="AV147">
        <v>112</v>
      </c>
      <c r="AW147">
        <v>2</v>
      </c>
      <c r="AX147" t="s">
        <v>74</v>
      </c>
      <c r="AY147" t="s">
        <v>74</v>
      </c>
      <c r="AZ147" t="s">
        <v>74</v>
      </c>
      <c r="BA147" t="s">
        <v>74</v>
      </c>
      <c r="BB147">
        <v>90</v>
      </c>
      <c r="BC147">
        <v>96</v>
      </c>
      <c r="BD147" t="s">
        <v>74</v>
      </c>
      <c r="BE147" t="s">
        <v>2879</v>
      </c>
      <c r="BF147" t="str">
        <f>HYPERLINK("http://dx.doi.org/10.1071/MU11065","http://dx.doi.org/10.1071/MU11065")</f>
        <v>http://dx.doi.org/10.1071/MU11065</v>
      </c>
      <c r="BG147" t="s">
        <v>74</v>
      </c>
      <c r="BH147" t="s">
        <v>74</v>
      </c>
      <c r="BI147">
        <v>7</v>
      </c>
      <c r="BJ147" t="s">
        <v>2880</v>
      </c>
      <c r="BK147" t="s">
        <v>100</v>
      </c>
      <c r="BL147" t="s">
        <v>2881</v>
      </c>
      <c r="BM147" t="s">
        <v>2882</v>
      </c>
      <c r="BN147" t="s">
        <v>74</v>
      </c>
      <c r="BO147" t="s">
        <v>342</v>
      </c>
      <c r="BP147" t="s">
        <v>74</v>
      </c>
      <c r="BQ147" t="s">
        <v>74</v>
      </c>
      <c r="BR147" t="s">
        <v>102</v>
      </c>
      <c r="BS147" t="s">
        <v>2883</v>
      </c>
      <c r="BT147" t="str">
        <f>HYPERLINK("https%3A%2F%2Fwww.webofscience.com%2Fwos%2Fwoscc%2Ffull-record%2FWOS:000304356100003","View Full Record in Web of Science")</f>
        <v>View Full Record in Web of Science</v>
      </c>
    </row>
    <row r="148" spans="1:72" x14ac:dyDescent="0.15">
      <c r="A148" t="s">
        <v>72</v>
      </c>
      <c r="B148" t="s">
        <v>2884</v>
      </c>
      <c r="C148" t="s">
        <v>74</v>
      </c>
      <c r="D148" t="s">
        <v>74</v>
      </c>
      <c r="E148" t="s">
        <v>74</v>
      </c>
      <c r="F148" t="s">
        <v>2885</v>
      </c>
      <c r="G148" t="s">
        <v>74</v>
      </c>
      <c r="H148" t="s">
        <v>74</v>
      </c>
      <c r="I148" t="s">
        <v>2886</v>
      </c>
      <c r="J148" t="s">
        <v>2861</v>
      </c>
      <c r="K148" t="s">
        <v>74</v>
      </c>
      <c r="L148" t="s">
        <v>74</v>
      </c>
      <c r="M148" t="s">
        <v>78</v>
      </c>
      <c r="N148" t="s">
        <v>79</v>
      </c>
      <c r="O148" t="s">
        <v>74</v>
      </c>
      <c r="P148" t="s">
        <v>74</v>
      </c>
      <c r="Q148" t="s">
        <v>74</v>
      </c>
      <c r="R148" t="s">
        <v>74</v>
      </c>
      <c r="S148" t="s">
        <v>74</v>
      </c>
      <c r="T148" t="s">
        <v>74</v>
      </c>
      <c r="U148" t="s">
        <v>2887</v>
      </c>
      <c r="V148" t="s">
        <v>2888</v>
      </c>
      <c r="W148" t="s">
        <v>2889</v>
      </c>
      <c r="X148" t="s">
        <v>2890</v>
      </c>
      <c r="Y148" t="s">
        <v>2891</v>
      </c>
      <c r="Z148" t="s">
        <v>2892</v>
      </c>
      <c r="AA148" t="s">
        <v>2893</v>
      </c>
      <c r="AB148" t="s">
        <v>2894</v>
      </c>
      <c r="AC148" t="s">
        <v>2895</v>
      </c>
      <c r="AD148" t="s">
        <v>2896</v>
      </c>
      <c r="AE148" t="s">
        <v>2897</v>
      </c>
      <c r="AF148" t="s">
        <v>74</v>
      </c>
      <c r="AG148">
        <v>51</v>
      </c>
      <c r="AH148">
        <v>55</v>
      </c>
      <c r="AI148">
        <v>57</v>
      </c>
      <c r="AJ148">
        <v>1</v>
      </c>
      <c r="AK148">
        <v>65</v>
      </c>
      <c r="AL148" t="s">
        <v>2898</v>
      </c>
      <c r="AM148" t="s">
        <v>2873</v>
      </c>
      <c r="AN148" t="s">
        <v>2874</v>
      </c>
      <c r="AO148" t="s">
        <v>2875</v>
      </c>
      <c r="AP148" t="s">
        <v>2876</v>
      </c>
      <c r="AQ148" t="s">
        <v>74</v>
      </c>
      <c r="AR148" t="s">
        <v>2877</v>
      </c>
      <c r="AS148" t="s">
        <v>2878</v>
      </c>
      <c r="AT148" t="s">
        <v>74</v>
      </c>
      <c r="AU148">
        <v>2012</v>
      </c>
      <c r="AV148">
        <v>112</v>
      </c>
      <c r="AW148">
        <v>2</v>
      </c>
      <c r="AX148" t="s">
        <v>74</v>
      </c>
      <c r="AY148" t="s">
        <v>74</v>
      </c>
      <c r="AZ148" t="s">
        <v>74</v>
      </c>
      <c r="BA148" t="s">
        <v>74</v>
      </c>
      <c r="BB148">
        <v>107</v>
      </c>
      <c r="BC148">
        <v>116</v>
      </c>
      <c r="BD148" t="s">
        <v>74</v>
      </c>
      <c r="BE148" t="s">
        <v>2899</v>
      </c>
      <c r="BF148" t="str">
        <f>HYPERLINK("http://dx.doi.org/10.1071/MU11066","http://dx.doi.org/10.1071/MU11066")</f>
        <v>http://dx.doi.org/10.1071/MU11066</v>
      </c>
      <c r="BG148" t="s">
        <v>74</v>
      </c>
      <c r="BH148" t="s">
        <v>74</v>
      </c>
      <c r="BI148">
        <v>10</v>
      </c>
      <c r="BJ148" t="s">
        <v>2880</v>
      </c>
      <c r="BK148" t="s">
        <v>100</v>
      </c>
      <c r="BL148" t="s">
        <v>2881</v>
      </c>
      <c r="BM148" t="s">
        <v>2882</v>
      </c>
      <c r="BN148" t="s">
        <v>74</v>
      </c>
      <c r="BO148" t="s">
        <v>74</v>
      </c>
      <c r="BP148" t="s">
        <v>74</v>
      </c>
      <c r="BQ148" t="s">
        <v>74</v>
      </c>
      <c r="BR148" t="s">
        <v>102</v>
      </c>
      <c r="BS148" t="s">
        <v>2900</v>
      </c>
      <c r="BT148" t="str">
        <f>HYPERLINK("https%3A%2F%2Fwww.webofscience.com%2Fwos%2Fwoscc%2Ffull-record%2FWOS:000304356100005","View Full Record in Web of Science")</f>
        <v>View Full Record in Web of Science</v>
      </c>
    </row>
    <row r="149" spans="1:72" x14ac:dyDescent="0.15">
      <c r="A149" t="s">
        <v>72</v>
      </c>
      <c r="B149" t="s">
        <v>2901</v>
      </c>
      <c r="C149" t="s">
        <v>74</v>
      </c>
      <c r="D149" t="s">
        <v>74</v>
      </c>
      <c r="E149" t="s">
        <v>74</v>
      </c>
      <c r="F149" t="s">
        <v>2902</v>
      </c>
      <c r="G149" t="s">
        <v>74</v>
      </c>
      <c r="H149" t="s">
        <v>74</v>
      </c>
      <c r="I149" t="s">
        <v>2903</v>
      </c>
      <c r="J149" t="s">
        <v>2904</v>
      </c>
      <c r="K149" t="s">
        <v>74</v>
      </c>
      <c r="L149" t="s">
        <v>74</v>
      </c>
      <c r="M149" t="s">
        <v>78</v>
      </c>
      <c r="N149" t="s">
        <v>79</v>
      </c>
      <c r="O149" t="s">
        <v>74</v>
      </c>
      <c r="P149" t="s">
        <v>74</v>
      </c>
      <c r="Q149" t="s">
        <v>74</v>
      </c>
      <c r="R149" t="s">
        <v>74</v>
      </c>
      <c r="S149" t="s">
        <v>74</v>
      </c>
      <c r="T149" t="s">
        <v>2905</v>
      </c>
      <c r="U149" t="s">
        <v>2906</v>
      </c>
      <c r="V149" t="s">
        <v>2907</v>
      </c>
      <c r="W149" t="s">
        <v>2908</v>
      </c>
      <c r="X149" t="s">
        <v>2909</v>
      </c>
      <c r="Y149" t="s">
        <v>2910</v>
      </c>
      <c r="Z149" t="s">
        <v>2911</v>
      </c>
      <c r="AA149" t="s">
        <v>2912</v>
      </c>
      <c r="AB149" t="s">
        <v>2913</v>
      </c>
      <c r="AC149" t="s">
        <v>2914</v>
      </c>
      <c r="AD149" t="s">
        <v>2915</v>
      </c>
      <c r="AE149" t="s">
        <v>2916</v>
      </c>
      <c r="AF149" t="s">
        <v>74</v>
      </c>
      <c r="AG149">
        <v>61</v>
      </c>
      <c r="AH149">
        <v>28</v>
      </c>
      <c r="AI149">
        <v>30</v>
      </c>
      <c r="AJ149">
        <v>1</v>
      </c>
      <c r="AK149">
        <v>79</v>
      </c>
      <c r="AL149" t="s">
        <v>2917</v>
      </c>
      <c r="AM149" t="s">
        <v>156</v>
      </c>
      <c r="AN149" t="s">
        <v>2918</v>
      </c>
      <c r="AO149" t="s">
        <v>2919</v>
      </c>
      <c r="AP149" t="s">
        <v>2920</v>
      </c>
      <c r="AQ149" t="s">
        <v>74</v>
      </c>
      <c r="AR149" t="s">
        <v>2921</v>
      </c>
      <c r="AS149" t="s">
        <v>2922</v>
      </c>
      <c r="AT149" t="s">
        <v>97</v>
      </c>
      <c r="AU149">
        <v>2012</v>
      </c>
      <c r="AV149">
        <v>160</v>
      </c>
      <c r="AW149" t="s">
        <v>74</v>
      </c>
      <c r="AX149" t="s">
        <v>74</v>
      </c>
      <c r="AY149" t="s">
        <v>74</v>
      </c>
      <c r="AZ149" t="s">
        <v>74</v>
      </c>
      <c r="BA149" t="s">
        <v>74</v>
      </c>
      <c r="BB149">
        <v>161</v>
      </c>
      <c r="BC149">
        <v>168</v>
      </c>
      <c r="BD149" t="s">
        <v>74</v>
      </c>
      <c r="BE149" t="s">
        <v>2923</v>
      </c>
      <c r="BF149" t="str">
        <f>HYPERLINK("http://dx.doi.org/10.1016/j.envpol.2011.09.019","http://dx.doi.org/10.1016/j.envpol.2011.09.019")</f>
        <v>http://dx.doi.org/10.1016/j.envpol.2011.09.019</v>
      </c>
      <c r="BG149" t="s">
        <v>74</v>
      </c>
      <c r="BH149" t="s">
        <v>74</v>
      </c>
      <c r="BI149">
        <v>8</v>
      </c>
      <c r="BJ149" t="s">
        <v>2924</v>
      </c>
      <c r="BK149" t="s">
        <v>100</v>
      </c>
      <c r="BL149" t="s">
        <v>2837</v>
      </c>
      <c r="BM149" t="s">
        <v>2925</v>
      </c>
      <c r="BN149">
        <v>22035940</v>
      </c>
      <c r="BO149" t="s">
        <v>74</v>
      </c>
      <c r="BP149" t="s">
        <v>74</v>
      </c>
      <c r="BQ149" t="s">
        <v>74</v>
      </c>
      <c r="BR149" t="s">
        <v>102</v>
      </c>
      <c r="BS149" t="s">
        <v>2926</v>
      </c>
      <c r="BT149" t="str">
        <f>HYPERLINK("https%3A%2F%2Fwww.webofscience.com%2Fwos%2Fwoscc%2Ffull-record%2FWOS:000297898000023","View Full Record in Web of Science")</f>
        <v>View Full Record in Web of Science</v>
      </c>
    </row>
    <row r="150" spans="1:72" x14ac:dyDescent="0.15">
      <c r="A150" t="s">
        <v>72</v>
      </c>
      <c r="B150" t="s">
        <v>2927</v>
      </c>
      <c r="C150" t="s">
        <v>74</v>
      </c>
      <c r="D150" t="s">
        <v>74</v>
      </c>
      <c r="E150" t="s">
        <v>74</v>
      </c>
      <c r="F150" t="s">
        <v>2928</v>
      </c>
      <c r="G150" t="s">
        <v>74</v>
      </c>
      <c r="H150" t="s">
        <v>74</v>
      </c>
      <c r="I150" t="s">
        <v>2929</v>
      </c>
      <c r="J150" t="s">
        <v>2930</v>
      </c>
      <c r="K150" t="s">
        <v>74</v>
      </c>
      <c r="L150" t="s">
        <v>74</v>
      </c>
      <c r="M150" t="s">
        <v>78</v>
      </c>
      <c r="N150" t="s">
        <v>79</v>
      </c>
      <c r="O150" t="s">
        <v>74</v>
      </c>
      <c r="P150" t="s">
        <v>74</v>
      </c>
      <c r="Q150" t="s">
        <v>74</v>
      </c>
      <c r="R150" t="s">
        <v>74</v>
      </c>
      <c r="S150" t="s">
        <v>74</v>
      </c>
      <c r="T150" t="s">
        <v>2931</v>
      </c>
      <c r="U150" t="s">
        <v>2932</v>
      </c>
      <c r="V150" t="s">
        <v>2933</v>
      </c>
      <c r="W150" t="s">
        <v>2934</v>
      </c>
      <c r="X150" t="s">
        <v>2935</v>
      </c>
      <c r="Y150" t="s">
        <v>2936</v>
      </c>
      <c r="Z150" t="s">
        <v>2937</v>
      </c>
      <c r="AA150" t="s">
        <v>2938</v>
      </c>
      <c r="AB150" t="s">
        <v>2939</v>
      </c>
      <c r="AC150" t="s">
        <v>2940</v>
      </c>
      <c r="AD150" t="s">
        <v>2941</v>
      </c>
      <c r="AE150" t="s">
        <v>2942</v>
      </c>
      <c r="AF150" t="s">
        <v>74</v>
      </c>
      <c r="AG150">
        <v>48</v>
      </c>
      <c r="AH150">
        <v>29</v>
      </c>
      <c r="AI150">
        <v>30</v>
      </c>
      <c r="AJ150">
        <v>0</v>
      </c>
      <c r="AK150">
        <v>47</v>
      </c>
      <c r="AL150" t="s">
        <v>1150</v>
      </c>
      <c r="AM150" t="s">
        <v>1151</v>
      </c>
      <c r="AN150" t="s">
        <v>1152</v>
      </c>
      <c r="AO150" t="s">
        <v>2943</v>
      </c>
      <c r="AP150" t="s">
        <v>2944</v>
      </c>
      <c r="AQ150" t="s">
        <v>74</v>
      </c>
      <c r="AR150" t="s">
        <v>2945</v>
      </c>
      <c r="AS150" t="s">
        <v>2946</v>
      </c>
      <c r="AT150" t="s">
        <v>74</v>
      </c>
      <c r="AU150">
        <v>2012</v>
      </c>
      <c r="AV150">
        <v>33</v>
      </c>
      <c r="AW150">
        <v>16</v>
      </c>
      <c r="AX150" t="s">
        <v>74</v>
      </c>
      <c r="AY150" t="s">
        <v>74</v>
      </c>
      <c r="AZ150" t="s">
        <v>74</v>
      </c>
      <c r="BA150" t="s">
        <v>74</v>
      </c>
      <c r="BB150">
        <v>1879</v>
      </c>
      <c r="BC150">
        <v>1893</v>
      </c>
      <c r="BD150" t="s">
        <v>74</v>
      </c>
      <c r="BE150" t="s">
        <v>2947</v>
      </c>
      <c r="BF150" t="str">
        <f>HYPERLINK("http://dx.doi.org/10.1080/09593330.2011.650221","http://dx.doi.org/10.1080/09593330.2011.650221")</f>
        <v>http://dx.doi.org/10.1080/09593330.2011.650221</v>
      </c>
      <c r="BG150" t="s">
        <v>74</v>
      </c>
      <c r="BH150" t="s">
        <v>74</v>
      </c>
      <c r="BI150">
        <v>15</v>
      </c>
      <c r="BJ150" t="s">
        <v>2924</v>
      </c>
      <c r="BK150" t="s">
        <v>100</v>
      </c>
      <c r="BL150" t="s">
        <v>2837</v>
      </c>
      <c r="BM150" t="s">
        <v>2948</v>
      </c>
      <c r="BN150">
        <v>23240181</v>
      </c>
      <c r="BO150" t="s">
        <v>74</v>
      </c>
      <c r="BP150" t="s">
        <v>74</v>
      </c>
      <c r="BQ150" t="s">
        <v>74</v>
      </c>
      <c r="BR150" t="s">
        <v>102</v>
      </c>
      <c r="BS150" t="s">
        <v>2949</v>
      </c>
      <c r="BT150" t="str">
        <f>HYPERLINK("https%3A%2F%2Fwww.webofscience.com%2Fwos%2Fwoscc%2Ffull-record%2FWOS:000308103500006","View Full Record in Web of Science")</f>
        <v>View Full Record in Web of Science</v>
      </c>
    </row>
    <row r="151" spans="1:72" x14ac:dyDescent="0.15">
      <c r="A151" t="s">
        <v>72</v>
      </c>
      <c r="B151" t="s">
        <v>2950</v>
      </c>
      <c r="C151" t="s">
        <v>74</v>
      </c>
      <c r="D151" t="s">
        <v>74</v>
      </c>
      <c r="E151" t="s">
        <v>74</v>
      </c>
      <c r="F151" t="s">
        <v>2951</v>
      </c>
      <c r="G151" t="s">
        <v>74</v>
      </c>
      <c r="H151" t="s">
        <v>74</v>
      </c>
      <c r="I151" t="s">
        <v>2952</v>
      </c>
      <c r="J151" t="s">
        <v>2953</v>
      </c>
      <c r="K151" t="s">
        <v>74</v>
      </c>
      <c r="L151" t="s">
        <v>74</v>
      </c>
      <c r="M151" t="s">
        <v>2954</v>
      </c>
      <c r="N151" t="s">
        <v>79</v>
      </c>
      <c r="O151" t="s">
        <v>74</v>
      </c>
      <c r="P151" t="s">
        <v>74</v>
      </c>
      <c r="Q151" t="s">
        <v>74</v>
      </c>
      <c r="R151" t="s">
        <v>74</v>
      </c>
      <c r="S151" t="s">
        <v>74</v>
      </c>
      <c r="T151" t="s">
        <v>2955</v>
      </c>
      <c r="U151" t="s">
        <v>74</v>
      </c>
      <c r="V151" t="s">
        <v>2956</v>
      </c>
      <c r="W151" t="s">
        <v>2957</v>
      </c>
      <c r="X151" t="s">
        <v>2958</v>
      </c>
      <c r="Y151" t="s">
        <v>2959</v>
      </c>
      <c r="Z151" t="s">
        <v>2960</v>
      </c>
      <c r="AA151" t="s">
        <v>74</v>
      </c>
      <c r="AB151" t="s">
        <v>74</v>
      </c>
      <c r="AC151" t="s">
        <v>74</v>
      </c>
      <c r="AD151" t="s">
        <v>74</v>
      </c>
      <c r="AE151" t="s">
        <v>74</v>
      </c>
      <c r="AF151" t="s">
        <v>74</v>
      </c>
      <c r="AG151">
        <v>55</v>
      </c>
      <c r="AH151">
        <v>0</v>
      </c>
      <c r="AI151">
        <v>0</v>
      </c>
      <c r="AJ151">
        <v>0</v>
      </c>
      <c r="AK151">
        <v>0</v>
      </c>
      <c r="AL151" t="s">
        <v>2961</v>
      </c>
      <c r="AM151" t="s">
        <v>2962</v>
      </c>
      <c r="AN151" t="s">
        <v>2963</v>
      </c>
      <c r="AO151" t="s">
        <v>2964</v>
      </c>
      <c r="AP151" t="s">
        <v>74</v>
      </c>
      <c r="AQ151" t="s">
        <v>74</v>
      </c>
      <c r="AR151" t="s">
        <v>2965</v>
      </c>
      <c r="AS151" t="s">
        <v>2966</v>
      </c>
      <c r="AT151" t="s">
        <v>74</v>
      </c>
      <c r="AU151">
        <v>2012</v>
      </c>
      <c r="AV151" t="s">
        <v>74</v>
      </c>
      <c r="AW151">
        <v>18</v>
      </c>
      <c r="AX151" t="s">
        <v>74</v>
      </c>
      <c r="AY151" t="s">
        <v>74</v>
      </c>
      <c r="AZ151" t="s">
        <v>74</v>
      </c>
      <c r="BA151" t="s">
        <v>74</v>
      </c>
      <c r="BB151" t="s">
        <v>74</v>
      </c>
      <c r="BC151" t="s">
        <v>74</v>
      </c>
      <c r="BD151" t="s">
        <v>74</v>
      </c>
      <c r="BE151" t="s">
        <v>74</v>
      </c>
      <c r="BF151" t="s">
        <v>74</v>
      </c>
      <c r="BG151" t="s">
        <v>74</v>
      </c>
      <c r="BH151" t="s">
        <v>74</v>
      </c>
      <c r="BI151">
        <v>30</v>
      </c>
      <c r="BJ151" t="s">
        <v>2967</v>
      </c>
      <c r="BK151" t="s">
        <v>1158</v>
      </c>
      <c r="BL151" t="s">
        <v>2967</v>
      </c>
      <c r="BM151" t="s">
        <v>2968</v>
      </c>
      <c r="BN151" t="s">
        <v>74</v>
      </c>
      <c r="BO151" t="s">
        <v>74</v>
      </c>
      <c r="BP151" t="s">
        <v>74</v>
      </c>
      <c r="BQ151" t="s">
        <v>74</v>
      </c>
      <c r="BR151" t="s">
        <v>102</v>
      </c>
      <c r="BS151" t="s">
        <v>2969</v>
      </c>
      <c r="BT151" t="str">
        <f>HYPERLINK("https%3A%2F%2Fwww.webofscience.com%2Fwos%2Fwoscc%2Ffull-record%2FWOS:000422179500005","View Full Record in Web of Science")</f>
        <v>View Full Record in Web of Science</v>
      </c>
    </row>
    <row r="152" spans="1:72" x14ac:dyDescent="0.15">
      <c r="A152" t="s">
        <v>72</v>
      </c>
      <c r="B152" t="s">
        <v>2970</v>
      </c>
      <c r="C152" t="s">
        <v>74</v>
      </c>
      <c r="D152" t="s">
        <v>74</v>
      </c>
      <c r="E152" t="s">
        <v>74</v>
      </c>
      <c r="F152" t="s">
        <v>2971</v>
      </c>
      <c r="G152" t="s">
        <v>74</v>
      </c>
      <c r="H152" t="s">
        <v>74</v>
      </c>
      <c r="I152" t="s">
        <v>2972</v>
      </c>
      <c r="J152" t="s">
        <v>2973</v>
      </c>
      <c r="K152" t="s">
        <v>74</v>
      </c>
      <c r="L152" t="s">
        <v>74</v>
      </c>
      <c r="M152" t="s">
        <v>78</v>
      </c>
      <c r="N152" t="s">
        <v>79</v>
      </c>
      <c r="O152" t="s">
        <v>74</v>
      </c>
      <c r="P152" t="s">
        <v>74</v>
      </c>
      <c r="Q152" t="s">
        <v>74</v>
      </c>
      <c r="R152" t="s">
        <v>74</v>
      </c>
      <c r="S152" t="s">
        <v>74</v>
      </c>
      <c r="T152" t="s">
        <v>2974</v>
      </c>
      <c r="U152" t="s">
        <v>2975</v>
      </c>
      <c r="V152" t="s">
        <v>2976</v>
      </c>
      <c r="W152" t="s">
        <v>2977</v>
      </c>
      <c r="X152" t="s">
        <v>2978</v>
      </c>
      <c r="Y152" t="s">
        <v>2979</v>
      </c>
      <c r="Z152" t="s">
        <v>2980</v>
      </c>
      <c r="AA152" t="s">
        <v>2981</v>
      </c>
      <c r="AB152" t="s">
        <v>74</v>
      </c>
      <c r="AC152" t="s">
        <v>2982</v>
      </c>
      <c r="AD152" t="s">
        <v>2983</v>
      </c>
      <c r="AE152" t="s">
        <v>2984</v>
      </c>
      <c r="AF152" t="s">
        <v>74</v>
      </c>
      <c r="AG152">
        <v>29</v>
      </c>
      <c r="AH152">
        <v>76</v>
      </c>
      <c r="AI152">
        <v>79</v>
      </c>
      <c r="AJ152">
        <v>0</v>
      </c>
      <c r="AK152">
        <v>15</v>
      </c>
      <c r="AL152" t="s">
        <v>2985</v>
      </c>
      <c r="AM152" t="s">
        <v>221</v>
      </c>
      <c r="AN152" t="s">
        <v>2986</v>
      </c>
      <c r="AO152" t="s">
        <v>2987</v>
      </c>
      <c r="AP152" t="s">
        <v>2988</v>
      </c>
      <c r="AQ152" t="s">
        <v>74</v>
      </c>
      <c r="AR152" t="s">
        <v>2989</v>
      </c>
      <c r="AS152" t="s">
        <v>2990</v>
      </c>
      <c r="AT152" t="s">
        <v>74</v>
      </c>
      <c r="AU152">
        <v>2012</v>
      </c>
      <c r="AV152" t="s">
        <v>74</v>
      </c>
      <c r="AW152" t="s">
        <v>74</v>
      </c>
      <c r="AX152" t="s">
        <v>74</v>
      </c>
      <c r="AY152" t="s">
        <v>74</v>
      </c>
      <c r="AZ152" t="s">
        <v>74</v>
      </c>
      <c r="BA152" t="s">
        <v>74</v>
      </c>
      <c r="BB152" t="s">
        <v>74</v>
      </c>
      <c r="BC152" t="s">
        <v>74</v>
      </c>
      <c r="BD152">
        <v>4</v>
      </c>
      <c r="BE152" t="s">
        <v>2991</v>
      </c>
      <c r="BF152" t="str">
        <f>HYPERLINK("http://dx.doi.org/10.1186/1687-5281-2012-4","http://dx.doi.org/10.1186/1687-5281-2012-4")</f>
        <v>http://dx.doi.org/10.1186/1687-5281-2012-4</v>
      </c>
      <c r="BG152" t="s">
        <v>74</v>
      </c>
      <c r="BH152" t="s">
        <v>74</v>
      </c>
      <c r="BI152">
        <v>11</v>
      </c>
      <c r="BJ152" t="s">
        <v>2992</v>
      </c>
      <c r="BK152" t="s">
        <v>100</v>
      </c>
      <c r="BL152" t="s">
        <v>2993</v>
      </c>
      <c r="BM152" t="s">
        <v>2994</v>
      </c>
      <c r="BN152" t="s">
        <v>74</v>
      </c>
      <c r="BO152" t="s">
        <v>623</v>
      </c>
      <c r="BP152" t="s">
        <v>74</v>
      </c>
      <c r="BQ152" t="s">
        <v>74</v>
      </c>
      <c r="BR152" t="s">
        <v>102</v>
      </c>
      <c r="BS152" t="s">
        <v>2995</v>
      </c>
      <c r="BT152" t="str">
        <f>HYPERLINK("https%3A%2F%2Fwww.webofscience.com%2Fwos%2Fwoscc%2Ffull-record%2FWOS:000304872500001","View Full Record in Web of Science")</f>
        <v>View Full Record in Web of Science</v>
      </c>
    </row>
    <row r="153" spans="1:72" x14ac:dyDescent="0.15">
      <c r="A153" t="s">
        <v>517</v>
      </c>
      <c r="B153" t="s">
        <v>2996</v>
      </c>
      <c r="C153" t="s">
        <v>74</v>
      </c>
      <c r="D153" t="s">
        <v>2997</v>
      </c>
      <c r="E153" t="s">
        <v>74</v>
      </c>
      <c r="F153" t="s">
        <v>2998</v>
      </c>
      <c r="G153" t="s">
        <v>74</v>
      </c>
      <c r="H153" t="s">
        <v>74</v>
      </c>
      <c r="I153" t="s">
        <v>2999</v>
      </c>
      <c r="J153" t="s">
        <v>3000</v>
      </c>
      <c r="K153" t="s">
        <v>74</v>
      </c>
      <c r="L153" t="s">
        <v>74</v>
      </c>
      <c r="M153" t="s">
        <v>78</v>
      </c>
      <c r="N153" t="s">
        <v>523</v>
      </c>
      <c r="O153" t="s">
        <v>74</v>
      </c>
      <c r="P153" t="s">
        <v>74</v>
      </c>
      <c r="Q153" t="s">
        <v>74</v>
      </c>
      <c r="R153" t="s">
        <v>74</v>
      </c>
      <c r="S153" t="s">
        <v>74</v>
      </c>
      <c r="T153" t="s">
        <v>74</v>
      </c>
      <c r="U153" t="s">
        <v>3001</v>
      </c>
      <c r="V153" t="s">
        <v>74</v>
      </c>
      <c r="W153" t="s">
        <v>3002</v>
      </c>
      <c r="X153" t="s">
        <v>3003</v>
      </c>
      <c r="Y153" t="s">
        <v>3004</v>
      </c>
      <c r="Z153" t="s">
        <v>74</v>
      </c>
      <c r="AA153" t="s">
        <v>74</v>
      </c>
      <c r="AB153" t="s">
        <v>74</v>
      </c>
      <c r="AC153" t="s">
        <v>74</v>
      </c>
      <c r="AD153" t="s">
        <v>74</v>
      </c>
      <c r="AE153" t="s">
        <v>74</v>
      </c>
      <c r="AF153" t="s">
        <v>74</v>
      </c>
      <c r="AG153">
        <v>64</v>
      </c>
      <c r="AH153">
        <v>3</v>
      </c>
      <c r="AI153">
        <v>3</v>
      </c>
      <c r="AJ153">
        <v>1</v>
      </c>
      <c r="AK153">
        <v>1</v>
      </c>
      <c r="AL153" t="s">
        <v>3005</v>
      </c>
      <c r="AM153" t="s">
        <v>3006</v>
      </c>
      <c r="AN153" t="s">
        <v>3007</v>
      </c>
      <c r="AO153" t="s">
        <v>74</v>
      </c>
      <c r="AP153" t="s">
        <v>74</v>
      </c>
      <c r="AQ153" t="s">
        <v>3008</v>
      </c>
      <c r="AR153" t="s">
        <v>74</v>
      </c>
      <c r="AS153" t="s">
        <v>74</v>
      </c>
      <c r="AT153" t="s">
        <v>74</v>
      </c>
      <c r="AU153">
        <v>2012</v>
      </c>
      <c r="AV153" t="s">
        <v>74</v>
      </c>
      <c r="AW153" t="s">
        <v>74</v>
      </c>
      <c r="AX153" t="s">
        <v>74</v>
      </c>
      <c r="AY153" t="s">
        <v>74</v>
      </c>
      <c r="AZ153" t="s">
        <v>74</v>
      </c>
      <c r="BA153" t="s">
        <v>74</v>
      </c>
      <c r="BB153">
        <v>121</v>
      </c>
      <c r="BC153">
        <v>140</v>
      </c>
      <c r="BD153" t="s">
        <v>74</v>
      </c>
      <c r="BE153" t="s">
        <v>74</v>
      </c>
      <c r="BF153" t="s">
        <v>74</v>
      </c>
      <c r="BG153" t="s">
        <v>3009</v>
      </c>
      <c r="BH153" t="s">
        <v>74</v>
      </c>
      <c r="BI153">
        <v>20</v>
      </c>
      <c r="BJ153" t="s">
        <v>3010</v>
      </c>
      <c r="BK153" t="s">
        <v>534</v>
      </c>
      <c r="BL153" t="s">
        <v>1131</v>
      </c>
      <c r="BM153" t="s">
        <v>3011</v>
      </c>
      <c r="BN153" t="s">
        <v>74</v>
      </c>
      <c r="BO153" t="s">
        <v>74</v>
      </c>
      <c r="BP153" t="s">
        <v>74</v>
      </c>
      <c r="BQ153" t="s">
        <v>74</v>
      </c>
      <c r="BR153" t="s">
        <v>102</v>
      </c>
      <c r="BS153" t="s">
        <v>3012</v>
      </c>
      <c r="BT153" t="str">
        <f>HYPERLINK("https%3A%2F%2Fwww.webofscience.com%2Fwos%2Fwoscc%2Ffull-record%2FWOS:000356532100007","View Full Record in Web of Science")</f>
        <v>View Full Record in Web of Science</v>
      </c>
    </row>
    <row r="154" spans="1:72" x14ac:dyDescent="0.15">
      <c r="A154" t="s">
        <v>517</v>
      </c>
      <c r="B154" t="s">
        <v>3013</v>
      </c>
      <c r="C154" t="s">
        <v>74</v>
      </c>
      <c r="D154" t="s">
        <v>2997</v>
      </c>
      <c r="E154" t="s">
        <v>74</v>
      </c>
      <c r="F154" t="s">
        <v>3014</v>
      </c>
      <c r="G154" t="s">
        <v>74</v>
      </c>
      <c r="H154" t="s">
        <v>74</v>
      </c>
      <c r="I154" t="s">
        <v>3015</v>
      </c>
      <c r="J154" t="s">
        <v>3000</v>
      </c>
      <c r="K154" t="s">
        <v>74</v>
      </c>
      <c r="L154" t="s">
        <v>74</v>
      </c>
      <c r="M154" t="s">
        <v>78</v>
      </c>
      <c r="N154" t="s">
        <v>523</v>
      </c>
      <c r="O154" t="s">
        <v>74</v>
      </c>
      <c r="P154" t="s">
        <v>74</v>
      </c>
      <c r="Q154" t="s">
        <v>74</v>
      </c>
      <c r="R154" t="s">
        <v>74</v>
      </c>
      <c r="S154" t="s">
        <v>74</v>
      </c>
      <c r="T154" t="s">
        <v>74</v>
      </c>
      <c r="U154" t="s">
        <v>3016</v>
      </c>
      <c r="V154" t="s">
        <v>74</v>
      </c>
      <c r="W154" t="s">
        <v>3017</v>
      </c>
      <c r="X154" t="s">
        <v>3018</v>
      </c>
      <c r="Y154" t="s">
        <v>3019</v>
      </c>
      <c r="Z154" t="s">
        <v>74</v>
      </c>
      <c r="AA154" t="s">
        <v>74</v>
      </c>
      <c r="AB154" t="s">
        <v>74</v>
      </c>
      <c r="AC154" t="s">
        <v>74</v>
      </c>
      <c r="AD154" t="s">
        <v>74</v>
      </c>
      <c r="AE154" t="s">
        <v>74</v>
      </c>
      <c r="AF154" t="s">
        <v>74</v>
      </c>
      <c r="AG154">
        <v>68</v>
      </c>
      <c r="AH154">
        <v>2</v>
      </c>
      <c r="AI154">
        <v>2</v>
      </c>
      <c r="AJ154">
        <v>0</v>
      </c>
      <c r="AK154">
        <v>1</v>
      </c>
      <c r="AL154" t="s">
        <v>3005</v>
      </c>
      <c r="AM154" t="s">
        <v>3006</v>
      </c>
      <c r="AN154" t="s">
        <v>3007</v>
      </c>
      <c r="AO154" t="s">
        <v>74</v>
      </c>
      <c r="AP154" t="s">
        <v>74</v>
      </c>
      <c r="AQ154" t="s">
        <v>3008</v>
      </c>
      <c r="AR154" t="s">
        <v>74</v>
      </c>
      <c r="AS154" t="s">
        <v>74</v>
      </c>
      <c r="AT154" t="s">
        <v>74</v>
      </c>
      <c r="AU154">
        <v>2012</v>
      </c>
      <c r="AV154" t="s">
        <v>74</v>
      </c>
      <c r="AW154" t="s">
        <v>74</v>
      </c>
      <c r="AX154" t="s">
        <v>74</v>
      </c>
      <c r="AY154" t="s">
        <v>74</v>
      </c>
      <c r="AZ154" t="s">
        <v>74</v>
      </c>
      <c r="BA154" t="s">
        <v>74</v>
      </c>
      <c r="BB154">
        <v>337</v>
      </c>
      <c r="BC154">
        <v>356</v>
      </c>
      <c r="BD154" t="s">
        <v>74</v>
      </c>
      <c r="BE154" t="s">
        <v>74</v>
      </c>
      <c r="BF154" t="s">
        <v>74</v>
      </c>
      <c r="BG154" t="s">
        <v>3009</v>
      </c>
      <c r="BH154" t="s">
        <v>74</v>
      </c>
      <c r="BI154">
        <v>20</v>
      </c>
      <c r="BJ154" t="s">
        <v>3010</v>
      </c>
      <c r="BK154" t="s">
        <v>534</v>
      </c>
      <c r="BL154" t="s">
        <v>1131</v>
      </c>
      <c r="BM154" t="s">
        <v>3011</v>
      </c>
      <c r="BN154" t="s">
        <v>74</v>
      </c>
      <c r="BO154" t="s">
        <v>74</v>
      </c>
      <c r="BP154" t="s">
        <v>74</v>
      </c>
      <c r="BQ154" t="s">
        <v>74</v>
      </c>
      <c r="BR154" t="s">
        <v>102</v>
      </c>
      <c r="BS154" t="s">
        <v>3020</v>
      </c>
      <c r="BT154" t="str">
        <f>HYPERLINK("https%3A%2F%2Fwww.webofscience.com%2Fwos%2Fwoscc%2Ffull-record%2FWOS:000356532100016","View Full Record in Web of Science")</f>
        <v>View Full Record in Web of Science</v>
      </c>
    </row>
    <row r="155" spans="1:72" x14ac:dyDescent="0.15">
      <c r="A155" t="s">
        <v>517</v>
      </c>
      <c r="B155" t="s">
        <v>3021</v>
      </c>
      <c r="C155" t="s">
        <v>74</v>
      </c>
      <c r="D155" t="s">
        <v>3022</v>
      </c>
      <c r="E155" t="s">
        <v>74</v>
      </c>
      <c r="F155" t="s">
        <v>3023</v>
      </c>
      <c r="G155" t="s">
        <v>74</v>
      </c>
      <c r="H155" t="s">
        <v>74</v>
      </c>
      <c r="I155" t="s">
        <v>3024</v>
      </c>
      <c r="J155" t="s">
        <v>3025</v>
      </c>
      <c r="K155" t="s">
        <v>74</v>
      </c>
      <c r="L155" t="s">
        <v>74</v>
      </c>
      <c r="M155" t="s">
        <v>78</v>
      </c>
      <c r="N155" t="s">
        <v>523</v>
      </c>
      <c r="O155" t="s">
        <v>74</v>
      </c>
      <c r="P155" t="s">
        <v>74</v>
      </c>
      <c r="Q155" t="s">
        <v>74</v>
      </c>
      <c r="R155" t="s">
        <v>74</v>
      </c>
      <c r="S155" t="s">
        <v>74</v>
      </c>
      <c r="T155" t="s">
        <v>74</v>
      </c>
      <c r="U155" t="s">
        <v>3026</v>
      </c>
      <c r="V155" t="s">
        <v>3027</v>
      </c>
      <c r="W155" t="s">
        <v>3028</v>
      </c>
      <c r="X155" t="s">
        <v>3029</v>
      </c>
      <c r="Y155" t="s">
        <v>3030</v>
      </c>
      <c r="Z155" t="s">
        <v>3031</v>
      </c>
      <c r="AA155" t="s">
        <v>74</v>
      </c>
      <c r="AB155" t="s">
        <v>74</v>
      </c>
      <c r="AC155" t="s">
        <v>74</v>
      </c>
      <c r="AD155" t="s">
        <v>74</v>
      </c>
      <c r="AE155" t="s">
        <v>74</v>
      </c>
      <c r="AF155" t="s">
        <v>74</v>
      </c>
      <c r="AG155">
        <v>180</v>
      </c>
      <c r="AH155">
        <v>17</v>
      </c>
      <c r="AI155">
        <v>17</v>
      </c>
      <c r="AJ155">
        <v>0</v>
      </c>
      <c r="AK155">
        <v>43</v>
      </c>
      <c r="AL155" t="s">
        <v>3032</v>
      </c>
      <c r="AM155" t="s">
        <v>3033</v>
      </c>
      <c r="AN155" t="s">
        <v>3034</v>
      </c>
      <c r="AO155" t="s">
        <v>74</v>
      </c>
      <c r="AP155" t="s">
        <v>74</v>
      </c>
      <c r="AQ155" t="s">
        <v>3035</v>
      </c>
      <c r="AR155" t="s">
        <v>74</v>
      </c>
      <c r="AS155" t="s">
        <v>74</v>
      </c>
      <c r="AT155" t="s">
        <v>74</v>
      </c>
      <c r="AU155">
        <v>2012</v>
      </c>
      <c r="AV155" t="s">
        <v>74</v>
      </c>
      <c r="AW155" t="s">
        <v>74</v>
      </c>
      <c r="AX155" t="s">
        <v>74</v>
      </c>
      <c r="AY155" t="s">
        <v>74</v>
      </c>
      <c r="AZ155" t="s">
        <v>74</v>
      </c>
      <c r="BA155" t="s">
        <v>74</v>
      </c>
      <c r="BB155">
        <v>53</v>
      </c>
      <c r="BC155">
        <v>75</v>
      </c>
      <c r="BD155" t="s">
        <v>74</v>
      </c>
      <c r="BE155" t="s">
        <v>74</v>
      </c>
      <c r="BF155" t="s">
        <v>74</v>
      </c>
      <c r="BG155" t="s">
        <v>74</v>
      </c>
      <c r="BH155" t="s">
        <v>74</v>
      </c>
      <c r="BI155">
        <v>23</v>
      </c>
      <c r="BJ155" t="s">
        <v>595</v>
      </c>
      <c r="BK155" t="s">
        <v>534</v>
      </c>
      <c r="BL155" t="s">
        <v>595</v>
      </c>
      <c r="BM155" t="s">
        <v>3036</v>
      </c>
      <c r="BN155" t="s">
        <v>74</v>
      </c>
      <c r="BO155" t="s">
        <v>74</v>
      </c>
      <c r="BP155" t="s">
        <v>74</v>
      </c>
      <c r="BQ155" t="s">
        <v>74</v>
      </c>
      <c r="BR155" t="s">
        <v>102</v>
      </c>
      <c r="BS155" t="s">
        <v>3037</v>
      </c>
      <c r="BT155" t="str">
        <f>HYPERLINK("https%3A%2F%2Fwww.webofscience.com%2Fwos%2Fwoscc%2Ffull-record%2FWOS:000299435800004","View Full Record in Web of Science")</f>
        <v>View Full Record in Web of Science</v>
      </c>
    </row>
    <row r="156" spans="1:72" x14ac:dyDescent="0.15">
      <c r="A156" t="s">
        <v>517</v>
      </c>
      <c r="B156" t="s">
        <v>3038</v>
      </c>
      <c r="C156" t="s">
        <v>74</v>
      </c>
      <c r="D156" t="s">
        <v>3039</v>
      </c>
      <c r="E156" t="s">
        <v>74</v>
      </c>
      <c r="F156" t="s">
        <v>3040</v>
      </c>
      <c r="G156" t="s">
        <v>74</v>
      </c>
      <c r="H156" t="s">
        <v>74</v>
      </c>
      <c r="I156" t="s">
        <v>3041</v>
      </c>
      <c r="J156" t="s">
        <v>3042</v>
      </c>
      <c r="K156" t="s">
        <v>74</v>
      </c>
      <c r="L156" t="s">
        <v>74</v>
      </c>
      <c r="M156" t="s">
        <v>78</v>
      </c>
      <c r="N156" t="s">
        <v>523</v>
      </c>
      <c r="O156" t="s">
        <v>74</v>
      </c>
      <c r="P156" t="s">
        <v>74</v>
      </c>
      <c r="Q156" t="s">
        <v>74</v>
      </c>
      <c r="R156" t="s">
        <v>74</v>
      </c>
      <c r="S156" t="s">
        <v>74</v>
      </c>
      <c r="T156" t="s">
        <v>74</v>
      </c>
      <c r="U156" t="s">
        <v>74</v>
      </c>
      <c r="V156" t="s">
        <v>74</v>
      </c>
      <c r="W156" t="s">
        <v>3043</v>
      </c>
      <c r="X156" t="s">
        <v>74</v>
      </c>
      <c r="Y156" t="s">
        <v>3044</v>
      </c>
      <c r="Z156" t="s">
        <v>74</v>
      </c>
      <c r="AA156" t="s">
        <v>74</v>
      </c>
      <c r="AB156" t="s">
        <v>74</v>
      </c>
      <c r="AC156" t="s">
        <v>74</v>
      </c>
      <c r="AD156" t="s">
        <v>74</v>
      </c>
      <c r="AE156" t="s">
        <v>74</v>
      </c>
      <c r="AF156" t="s">
        <v>74</v>
      </c>
      <c r="AG156">
        <v>7</v>
      </c>
      <c r="AH156">
        <v>3</v>
      </c>
      <c r="AI156">
        <v>4</v>
      </c>
      <c r="AJ156">
        <v>0</v>
      </c>
      <c r="AK156">
        <v>0</v>
      </c>
      <c r="AL156" t="s">
        <v>3045</v>
      </c>
      <c r="AM156" t="s">
        <v>156</v>
      </c>
      <c r="AN156" t="s">
        <v>3046</v>
      </c>
      <c r="AO156" t="s">
        <v>74</v>
      </c>
      <c r="AP156" t="s">
        <v>74</v>
      </c>
      <c r="AQ156" t="s">
        <v>3047</v>
      </c>
      <c r="AR156" t="s">
        <v>74</v>
      </c>
      <c r="AS156" t="s">
        <v>74</v>
      </c>
      <c r="AT156" t="s">
        <v>74</v>
      </c>
      <c r="AU156">
        <v>2012</v>
      </c>
      <c r="AV156" t="s">
        <v>74</v>
      </c>
      <c r="AW156" t="s">
        <v>74</v>
      </c>
      <c r="AX156" t="s">
        <v>74</v>
      </c>
      <c r="AY156" t="s">
        <v>74</v>
      </c>
      <c r="AZ156" t="s">
        <v>74</v>
      </c>
      <c r="BA156" t="s">
        <v>74</v>
      </c>
      <c r="BB156">
        <v>19</v>
      </c>
      <c r="BC156">
        <v>39</v>
      </c>
      <c r="BD156" t="s">
        <v>74</v>
      </c>
      <c r="BE156" t="s">
        <v>74</v>
      </c>
      <c r="BF156" t="s">
        <v>74</v>
      </c>
      <c r="BG156" t="s">
        <v>74</v>
      </c>
      <c r="BH156" t="s">
        <v>74</v>
      </c>
      <c r="BI156">
        <v>21</v>
      </c>
      <c r="BJ156" t="s">
        <v>3048</v>
      </c>
      <c r="BK156" t="s">
        <v>3049</v>
      </c>
      <c r="BL156" t="s">
        <v>3050</v>
      </c>
      <c r="BM156" t="s">
        <v>3051</v>
      </c>
      <c r="BN156" t="s">
        <v>74</v>
      </c>
      <c r="BO156" t="s">
        <v>74</v>
      </c>
      <c r="BP156" t="s">
        <v>74</v>
      </c>
      <c r="BQ156" t="s">
        <v>74</v>
      </c>
      <c r="BR156" t="s">
        <v>102</v>
      </c>
      <c r="BS156" t="s">
        <v>3052</v>
      </c>
      <c r="BT156" t="str">
        <f>HYPERLINK("https%3A%2F%2Fwww.webofscience.com%2Fwos%2Fwoscc%2Ffull-record%2FWOS:000329728400002","View Full Record in Web of Science")</f>
        <v>View Full Record in Web of Science</v>
      </c>
    </row>
    <row r="157" spans="1:72" x14ac:dyDescent="0.15">
      <c r="A157" t="s">
        <v>517</v>
      </c>
      <c r="B157" t="s">
        <v>3053</v>
      </c>
      <c r="C157" t="s">
        <v>74</v>
      </c>
      <c r="D157" t="s">
        <v>3039</v>
      </c>
      <c r="E157" t="s">
        <v>74</v>
      </c>
      <c r="F157" t="s">
        <v>3054</v>
      </c>
      <c r="G157" t="s">
        <v>74</v>
      </c>
      <c r="H157" t="s">
        <v>74</v>
      </c>
      <c r="I157" t="s">
        <v>3055</v>
      </c>
      <c r="J157" t="s">
        <v>3042</v>
      </c>
      <c r="K157" t="s">
        <v>74</v>
      </c>
      <c r="L157" t="s">
        <v>74</v>
      </c>
      <c r="M157" t="s">
        <v>78</v>
      </c>
      <c r="N157" t="s">
        <v>523</v>
      </c>
      <c r="O157" t="s">
        <v>74</v>
      </c>
      <c r="P157" t="s">
        <v>74</v>
      </c>
      <c r="Q157" t="s">
        <v>74</v>
      </c>
      <c r="R157" t="s">
        <v>74</v>
      </c>
      <c r="S157" t="s">
        <v>74</v>
      </c>
      <c r="T157" t="s">
        <v>74</v>
      </c>
      <c r="U157" t="s">
        <v>74</v>
      </c>
      <c r="V157" t="s">
        <v>74</v>
      </c>
      <c r="W157" t="s">
        <v>3056</v>
      </c>
      <c r="X157" t="s">
        <v>3057</v>
      </c>
      <c r="Y157" t="s">
        <v>3058</v>
      </c>
      <c r="Z157" t="s">
        <v>74</v>
      </c>
      <c r="AA157" t="s">
        <v>74</v>
      </c>
      <c r="AB157" t="s">
        <v>74</v>
      </c>
      <c r="AC157" t="s">
        <v>74</v>
      </c>
      <c r="AD157" t="s">
        <v>74</v>
      </c>
      <c r="AE157" t="s">
        <v>74</v>
      </c>
      <c r="AF157" t="s">
        <v>74</v>
      </c>
      <c r="AG157">
        <v>0</v>
      </c>
      <c r="AH157">
        <v>0</v>
      </c>
      <c r="AI157">
        <v>0</v>
      </c>
      <c r="AJ157">
        <v>0</v>
      </c>
      <c r="AK157">
        <v>0</v>
      </c>
      <c r="AL157" t="s">
        <v>3045</v>
      </c>
      <c r="AM157" t="s">
        <v>156</v>
      </c>
      <c r="AN157" t="s">
        <v>3046</v>
      </c>
      <c r="AO157" t="s">
        <v>74</v>
      </c>
      <c r="AP157" t="s">
        <v>74</v>
      </c>
      <c r="AQ157" t="s">
        <v>3047</v>
      </c>
      <c r="AR157" t="s">
        <v>74</v>
      </c>
      <c r="AS157" t="s">
        <v>74</v>
      </c>
      <c r="AT157" t="s">
        <v>74</v>
      </c>
      <c r="AU157">
        <v>2012</v>
      </c>
      <c r="AV157" t="s">
        <v>74</v>
      </c>
      <c r="AW157" t="s">
        <v>74</v>
      </c>
      <c r="AX157" t="s">
        <v>74</v>
      </c>
      <c r="AY157" t="s">
        <v>74</v>
      </c>
      <c r="AZ157" t="s">
        <v>74</v>
      </c>
      <c r="BA157" t="s">
        <v>74</v>
      </c>
      <c r="BB157">
        <v>77</v>
      </c>
      <c r="BC157">
        <v>86</v>
      </c>
      <c r="BD157" t="s">
        <v>74</v>
      </c>
      <c r="BE157" t="s">
        <v>74</v>
      </c>
      <c r="BF157" t="s">
        <v>74</v>
      </c>
      <c r="BG157" t="s">
        <v>74</v>
      </c>
      <c r="BH157" t="s">
        <v>74</v>
      </c>
      <c r="BI157">
        <v>10</v>
      </c>
      <c r="BJ157" t="s">
        <v>3048</v>
      </c>
      <c r="BK157" t="s">
        <v>3049</v>
      </c>
      <c r="BL157" t="s">
        <v>3050</v>
      </c>
      <c r="BM157" t="s">
        <v>3051</v>
      </c>
      <c r="BN157" t="s">
        <v>74</v>
      </c>
      <c r="BO157" t="s">
        <v>74</v>
      </c>
      <c r="BP157" t="s">
        <v>74</v>
      </c>
      <c r="BQ157" t="s">
        <v>74</v>
      </c>
      <c r="BR157" t="s">
        <v>102</v>
      </c>
      <c r="BS157" t="s">
        <v>3059</v>
      </c>
      <c r="BT157" t="str">
        <f>HYPERLINK("https%3A%2F%2Fwww.webofscience.com%2Fwos%2Fwoscc%2Ffull-record%2FWOS:000329728400005","View Full Record in Web of Science")</f>
        <v>View Full Record in Web of Science</v>
      </c>
    </row>
    <row r="158" spans="1:72" x14ac:dyDescent="0.15">
      <c r="A158" t="s">
        <v>517</v>
      </c>
      <c r="B158" t="s">
        <v>3060</v>
      </c>
      <c r="C158" t="s">
        <v>74</v>
      </c>
      <c r="D158" t="s">
        <v>3039</v>
      </c>
      <c r="E158" t="s">
        <v>74</v>
      </c>
      <c r="F158" t="s">
        <v>3061</v>
      </c>
      <c r="G158" t="s">
        <v>74</v>
      </c>
      <c r="H158" t="s">
        <v>74</v>
      </c>
      <c r="I158" t="s">
        <v>3062</v>
      </c>
      <c r="J158" t="s">
        <v>3042</v>
      </c>
      <c r="K158" t="s">
        <v>74</v>
      </c>
      <c r="L158" t="s">
        <v>74</v>
      </c>
      <c r="M158" t="s">
        <v>78</v>
      </c>
      <c r="N158" t="s">
        <v>523</v>
      </c>
      <c r="O158" t="s">
        <v>74</v>
      </c>
      <c r="P158" t="s">
        <v>74</v>
      </c>
      <c r="Q158" t="s">
        <v>74</v>
      </c>
      <c r="R158" t="s">
        <v>74</v>
      </c>
      <c r="S158" t="s">
        <v>74</v>
      </c>
      <c r="T158" t="s">
        <v>74</v>
      </c>
      <c r="U158" t="s">
        <v>74</v>
      </c>
      <c r="V158" t="s">
        <v>74</v>
      </c>
      <c r="W158" t="s">
        <v>3063</v>
      </c>
      <c r="X158" t="s">
        <v>3064</v>
      </c>
      <c r="Y158" t="s">
        <v>74</v>
      </c>
      <c r="Z158" t="s">
        <v>74</v>
      </c>
      <c r="AA158" t="s">
        <v>74</v>
      </c>
      <c r="AB158" t="s">
        <v>74</v>
      </c>
      <c r="AC158" t="s">
        <v>74</v>
      </c>
      <c r="AD158" t="s">
        <v>74</v>
      </c>
      <c r="AE158" t="s">
        <v>74</v>
      </c>
      <c r="AF158" t="s">
        <v>74</v>
      </c>
      <c r="AG158">
        <v>24</v>
      </c>
      <c r="AH158">
        <v>0</v>
      </c>
      <c r="AI158">
        <v>0</v>
      </c>
      <c r="AJ158">
        <v>0</v>
      </c>
      <c r="AK158">
        <v>0</v>
      </c>
      <c r="AL158" t="s">
        <v>3045</v>
      </c>
      <c r="AM158" t="s">
        <v>156</v>
      </c>
      <c r="AN158" t="s">
        <v>3046</v>
      </c>
      <c r="AO158" t="s">
        <v>74</v>
      </c>
      <c r="AP158" t="s">
        <v>74</v>
      </c>
      <c r="AQ158" t="s">
        <v>3047</v>
      </c>
      <c r="AR158" t="s">
        <v>74</v>
      </c>
      <c r="AS158" t="s">
        <v>74</v>
      </c>
      <c r="AT158" t="s">
        <v>74</v>
      </c>
      <c r="AU158">
        <v>2012</v>
      </c>
      <c r="AV158" t="s">
        <v>74</v>
      </c>
      <c r="AW158" t="s">
        <v>74</v>
      </c>
      <c r="AX158" t="s">
        <v>74</v>
      </c>
      <c r="AY158" t="s">
        <v>74</v>
      </c>
      <c r="AZ158" t="s">
        <v>74</v>
      </c>
      <c r="BA158" t="s">
        <v>74</v>
      </c>
      <c r="BB158">
        <v>87</v>
      </c>
      <c r="BC158">
        <v>105</v>
      </c>
      <c r="BD158" t="s">
        <v>74</v>
      </c>
      <c r="BE158" t="s">
        <v>74</v>
      </c>
      <c r="BF158" t="s">
        <v>74</v>
      </c>
      <c r="BG158" t="s">
        <v>74</v>
      </c>
      <c r="BH158" t="s">
        <v>74</v>
      </c>
      <c r="BI158">
        <v>19</v>
      </c>
      <c r="BJ158" t="s">
        <v>3048</v>
      </c>
      <c r="BK158" t="s">
        <v>3049</v>
      </c>
      <c r="BL158" t="s">
        <v>3050</v>
      </c>
      <c r="BM158" t="s">
        <v>3051</v>
      </c>
      <c r="BN158" t="s">
        <v>74</v>
      </c>
      <c r="BO158" t="s">
        <v>74</v>
      </c>
      <c r="BP158" t="s">
        <v>74</v>
      </c>
      <c r="BQ158" t="s">
        <v>74</v>
      </c>
      <c r="BR158" t="s">
        <v>102</v>
      </c>
      <c r="BS158" t="s">
        <v>3065</v>
      </c>
      <c r="BT158" t="str">
        <f>HYPERLINK("https%3A%2F%2Fwww.webofscience.com%2Fwos%2Fwoscc%2Ffull-record%2FWOS:000329728400006","View Full Record in Web of Science")</f>
        <v>View Full Record in Web of Science</v>
      </c>
    </row>
    <row r="159" spans="1:72" x14ac:dyDescent="0.15">
      <c r="A159" t="s">
        <v>72</v>
      </c>
      <c r="B159" t="s">
        <v>3066</v>
      </c>
      <c r="C159" t="s">
        <v>74</v>
      </c>
      <c r="D159" t="s">
        <v>74</v>
      </c>
      <c r="E159" t="s">
        <v>74</v>
      </c>
      <c r="F159" t="s">
        <v>3067</v>
      </c>
      <c r="G159" t="s">
        <v>74</v>
      </c>
      <c r="H159" t="s">
        <v>74</v>
      </c>
      <c r="I159" t="s">
        <v>3068</v>
      </c>
      <c r="J159" t="s">
        <v>3069</v>
      </c>
      <c r="K159" t="s">
        <v>74</v>
      </c>
      <c r="L159" t="s">
        <v>74</v>
      </c>
      <c r="M159" t="s">
        <v>78</v>
      </c>
      <c r="N159" t="s">
        <v>79</v>
      </c>
      <c r="O159" t="s">
        <v>74</v>
      </c>
      <c r="P159" t="s">
        <v>74</v>
      </c>
      <c r="Q159" t="s">
        <v>74</v>
      </c>
      <c r="R159" t="s">
        <v>74</v>
      </c>
      <c r="S159" t="s">
        <v>74</v>
      </c>
      <c r="T159" t="s">
        <v>3070</v>
      </c>
      <c r="U159" t="s">
        <v>3071</v>
      </c>
      <c r="V159" t="s">
        <v>3072</v>
      </c>
      <c r="W159" t="s">
        <v>3073</v>
      </c>
      <c r="X159" t="s">
        <v>3074</v>
      </c>
      <c r="Y159" t="s">
        <v>3075</v>
      </c>
      <c r="Z159" t="s">
        <v>3076</v>
      </c>
      <c r="AA159" t="s">
        <v>3077</v>
      </c>
      <c r="AB159" t="s">
        <v>3078</v>
      </c>
      <c r="AC159" t="s">
        <v>3079</v>
      </c>
      <c r="AD159" t="s">
        <v>3080</v>
      </c>
      <c r="AE159" t="s">
        <v>3081</v>
      </c>
      <c r="AF159" t="s">
        <v>74</v>
      </c>
      <c r="AG159">
        <v>89</v>
      </c>
      <c r="AH159">
        <v>32</v>
      </c>
      <c r="AI159">
        <v>34</v>
      </c>
      <c r="AJ159">
        <v>0</v>
      </c>
      <c r="AK159">
        <v>21</v>
      </c>
      <c r="AL159" t="s">
        <v>3082</v>
      </c>
      <c r="AM159" t="s">
        <v>3083</v>
      </c>
      <c r="AN159" t="s">
        <v>3084</v>
      </c>
      <c r="AO159" t="s">
        <v>74</v>
      </c>
      <c r="AP159" t="s">
        <v>3085</v>
      </c>
      <c r="AQ159" t="s">
        <v>74</v>
      </c>
      <c r="AR159" t="s">
        <v>3086</v>
      </c>
      <c r="AS159" t="s">
        <v>3087</v>
      </c>
      <c r="AT159" t="s">
        <v>74</v>
      </c>
      <c r="AU159">
        <v>2012</v>
      </c>
      <c r="AV159">
        <v>3</v>
      </c>
      <c r="AW159" t="s">
        <v>74</v>
      </c>
      <c r="AX159" t="s">
        <v>74</v>
      </c>
      <c r="AY159" t="s">
        <v>74</v>
      </c>
      <c r="AZ159" t="s">
        <v>74</v>
      </c>
      <c r="BA159" t="s">
        <v>74</v>
      </c>
      <c r="BB159" t="s">
        <v>74</v>
      </c>
      <c r="BC159" t="s">
        <v>74</v>
      </c>
      <c r="BD159">
        <v>233</v>
      </c>
      <c r="BE159" t="s">
        <v>3088</v>
      </c>
      <c r="BF159" t="str">
        <f>HYPERLINK("http://dx.doi.org/10.3389/fmicb.2012.00233","http://dx.doi.org/10.3389/fmicb.2012.00233")</f>
        <v>http://dx.doi.org/10.3389/fmicb.2012.00233</v>
      </c>
      <c r="BG159" t="s">
        <v>74</v>
      </c>
      <c r="BH159" t="s">
        <v>74</v>
      </c>
      <c r="BI159">
        <v>13</v>
      </c>
      <c r="BJ159" t="s">
        <v>3089</v>
      </c>
      <c r="BK159" t="s">
        <v>100</v>
      </c>
      <c r="BL159" t="s">
        <v>3089</v>
      </c>
      <c r="BM159" t="s">
        <v>3090</v>
      </c>
      <c r="BN159">
        <v>22783242</v>
      </c>
      <c r="BO159" t="s">
        <v>2136</v>
      </c>
      <c r="BP159" t="s">
        <v>74</v>
      </c>
      <c r="BQ159" t="s">
        <v>74</v>
      </c>
      <c r="BR159" t="s">
        <v>102</v>
      </c>
      <c r="BS159" t="s">
        <v>3091</v>
      </c>
      <c r="BT159" t="str">
        <f>HYPERLINK("https%3A%2F%2Fwww.webofscience.com%2Fwos%2Fwoscc%2Ffull-record%2FWOS:000208863600281","View Full Record in Web of Science")</f>
        <v>View Full Record in Web of Science</v>
      </c>
    </row>
    <row r="160" spans="1:72" x14ac:dyDescent="0.15">
      <c r="A160" t="s">
        <v>72</v>
      </c>
      <c r="B160" t="s">
        <v>3092</v>
      </c>
      <c r="C160" t="s">
        <v>74</v>
      </c>
      <c r="D160" t="s">
        <v>74</v>
      </c>
      <c r="E160" t="s">
        <v>74</v>
      </c>
      <c r="F160" t="s">
        <v>3093</v>
      </c>
      <c r="G160" t="s">
        <v>74</v>
      </c>
      <c r="H160" t="s">
        <v>74</v>
      </c>
      <c r="I160" t="s">
        <v>3094</v>
      </c>
      <c r="J160" t="s">
        <v>3069</v>
      </c>
      <c r="K160" t="s">
        <v>74</v>
      </c>
      <c r="L160" t="s">
        <v>74</v>
      </c>
      <c r="M160" t="s">
        <v>78</v>
      </c>
      <c r="N160" t="s">
        <v>79</v>
      </c>
      <c r="O160" t="s">
        <v>74</v>
      </c>
      <c r="P160" t="s">
        <v>74</v>
      </c>
      <c r="Q160" t="s">
        <v>74</v>
      </c>
      <c r="R160" t="s">
        <v>74</v>
      </c>
      <c r="S160" t="s">
        <v>74</v>
      </c>
      <c r="T160" t="s">
        <v>3095</v>
      </c>
      <c r="U160" t="s">
        <v>3096</v>
      </c>
      <c r="V160" t="s">
        <v>3097</v>
      </c>
      <c r="W160" t="s">
        <v>3098</v>
      </c>
      <c r="X160" t="s">
        <v>3099</v>
      </c>
      <c r="Y160" t="s">
        <v>3100</v>
      </c>
      <c r="Z160" t="s">
        <v>3101</v>
      </c>
      <c r="AA160" t="s">
        <v>3102</v>
      </c>
      <c r="AB160" t="s">
        <v>3103</v>
      </c>
      <c r="AC160" t="s">
        <v>3104</v>
      </c>
      <c r="AD160" t="s">
        <v>3105</v>
      </c>
      <c r="AE160" t="s">
        <v>3106</v>
      </c>
      <c r="AF160" t="s">
        <v>74</v>
      </c>
      <c r="AG160">
        <v>84</v>
      </c>
      <c r="AH160">
        <v>26</v>
      </c>
      <c r="AI160">
        <v>29</v>
      </c>
      <c r="AJ160">
        <v>0</v>
      </c>
      <c r="AK160">
        <v>28</v>
      </c>
      <c r="AL160" t="s">
        <v>3082</v>
      </c>
      <c r="AM160" t="s">
        <v>3083</v>
      </c>
      <c r="AN160" t="s">
        <v>3084</v>
      </c>
      <c r="AO160" t="s">
        <v>74</v>
      </c>
      <c r="AP160" t="s">
        <v>3085</v>
      </c>
      <c r="AQ160" t="s">
        <v>74</v>
      </c>
      <c r="AR160" t="s">
        <v>3086</v>
      </c>
      <c r="AS160" t="s">
        <v>3087</v>
      </c>
      <c r="AT160" t="s">
        <v>74</v>
      </c>
      <c r="AU160">
        <v>2012</v>
      </c>
      <c r="AV160">
        <v>3</v>
      </c>
      <c r="AW160" t="s">
        <v>74</v>
      </c>
      <c r="AX160" t="s">
        <v>74</v>
      </c>
      <c r="AY160" t="s">
        <v>74</v>
      </c>
      <c r="AZ160" t="s">
        <v>74</v>
      </c>
      <c r="BA160" t="s">
        <v>74</v>
      </c>
      <c r="BB160" t="s">
        <v>74</v>
      </c>
      <c r="BC160" t="s">
        <v>74</v>
      </c>
      <c r="BD160">
        <v>202</v>
      </c>
      <c r="BE160" t="s">
        <v>3107</v>
      </c>
      <c r="BF160" t="str">
        <f>HYPERLINK("http://dx.doi.org/10.3389/fmicb.2012.00202","http://dx.doi.org/10.3389/fmicb.2012.00202")</f>
        <v>http://dx.doi.org/10.3389/fmicb.2012.00202</v>
      </c>
      <c r="BG160" t="s">
        <v>74</v>
      </c>
      <c r="BH160" t="s">
        <v>74</v>
      </c>
      <c r="BI160">
        <v>26</v>
      </c>
      <c r="BJ160" t="s">
        <v>3089</v>
      </c>
      <c r="BK160" t="s">
        <v>100</v>
      </c>
      <c r="BL160" t="s">
        <v>3089</v>
      </c>
      <c r="BM160" t="s">
        <v>3090</v>
      </c>
      <c r="BN160">
        <v>22787456</v>
      </c>
      <c r="BO160" t="s">
        <v>3108</v>
      </c>
      <c r="BP160" t="s">
        <v>74</v>
      </c>
      <c r="BQ160" t="s">
        <v>74</v>
      </c>
      <c r="BR160" t="s">
        <v>102</v>
      </c>
      <c r="BS160" t="s">
        <v>3109</v>
      </c>
      <c r="BT160" t="str">
        <f>HYPERLINK("https%3A%2F%2Fwww.webofscience.com%2Fwos%2Fwoscc%2Ffull-record%2FWOS:000208863600252","View Full Record in Web of Science")</f>
        <v>View Full Record in Web of Science</v>
      </c>
    </row>
    <row r="161" spans="1:72" x14ac:dyDescent="0.15">
      <c r="A161" t="s">
        <v>72</v>
      </c>
      <c r="B161" t="s">
        <v>3110</v>
      </c>
      <c r="C161" t="s">
        <v>74</v>
      </c>
      <c r="D161" t="s">
        <v>74</v>
      </c>
      <c r="E161" t="s">
        <v>74</v>
      </c>
      <c r="F161" t="s">
        <v>3111</v>
      </c>
      <c r="G161" t="s">
        <v>74</v>
      </c>
      <c r="H161" t="s">
        <v>74</v>
      </c>
      <c r="I161" t="s">
        <v>3112</v>
      </c>
      <c r="J161" t="s">
        <v>3069</v>
      </c>
      <c r="K161" t="s">
        <v>74</v>
      </c>
      <c r="L161" t="s">
        <v>74</v>
      </c>
      <c r="M161" t="s">
        <v>78</v>
      </c>
      <c r="N161" t="s">
        <v>79</v>
      </c>
      <c r="O161" t="s">
        <v>74</v>
      </c>
      <c r="P161" t="s">
        <v>74</v>
      </c>
      <c r="Q161" t="s">
        <v>74</v>
      </c>
      <c r="R161" t="s">
        <v>74</v>
      </c>
      <c r="S161" t="s">
        <v>74</v>
      </c>
      <c r="T161" t="s">
        <v>3113</v>
      </c>
      <c r="U161" t="s">
        <v>3114</v>
      </c>
      <c r="V161" t="s">
        <v>3115</v>
      </c>
      <c r="W161" t="s">
        <v>3116</v>
      </c>
      <c r="X161" t="s">
        <v>3117</v>
      </c>
      <c r="Y161" t="s">
        <v>3118</v>
      </c>
      <c r="Z161" t="s">
        <v>529</v>
      </c>
      <c r="AA161" t="s">
        <v>74</v>
      </c>
      <c r="AB161" t="s">
        <v>3119</v>
      </c>
      <c r="AC161" t="s">
        <v>3120</v>
      </c>
      <c r="AD161" t="s">
        <v>3121</v>
      </c>
      <c r="AE161" t="s">
        <v>3122</v>
      </c>
      <c r="AF161" t="s">
        <v>74</v>
      </c>
      <c r="AG161">
        <v>56</v>
      </c>
      <c r="AH161">
        <v>93</v>
      </c>
      <c r="AI161">
        <v>111</v>
      </c>
      <c r="AJ161">
        <v>3</v>
      </c>
      <c r="AK161">
        <v>45</v>
      </c>
      <c r="AL161" t="s">
        <v>3082</v>
      </c>
      <c r="AM161" t="s">
        <v>3083</v>
      </c>
      <c r="AN161" t="s">
        <v>3084</v>
      </c>
      <c r="AO161" t="s">
        <v>74</v>
      </c>
      <c r="AP161" t="s">
        <v>3085</v>
      </c>
      <c r="AQ161" t="s">
        <v>74</v>
      </c>
      <c r="AR161" t="s">
        <v>3086</v>
      </c>
      <c r="AS161" t="s">
        <v>3087</v>
      </c>
      <c r="AT161" t="s">
        <v>74</v>
      </c>
      <c r="AU161">
        <v>2012</v>
      </c>
      <c r="AV161">
        <v>3</v>
      </c>
      <c r="AW161" t="s">
        <v>74</v>
      </c>
      <c r="AX161" t="s">
        <v>74</v>
      </c>
      <c r="AY161" t="s">
        <v>74</v>
      </c>
      <c r="AZ161" t="s">
        <v>74</v>
      </c>
      <c r="BA161" t="s">
        <v>74</v>
      </c>
      <c r="BB161" t="s">
        <v>74</v>
      </c>
      <c r="BC161" t="s">
        <v>74</v>
      </c>
      <c r="BD161">
        <v>403</v>
      </c>
      <c r="BE161" t="s">
        <v>3123</v>
      </c>
      <c r="BF161" t="str">
        <f>HYPERLINK("http://dx.doi.org/10.3389/fmicb.2012.00403","http://dx.doi.org/10.3389/fmicb.2012.00403")</f>
        <v>http://dx.doi.org/10.3389/fmicb.2012.00403</v>
      </c>
      <c r="BG161" t="s">
        <v>74</v>
      </c>
      <c r="BH161" t="s">
        <v>74</v>
      </c>
      <c r="BI161">
        <v>13</v>
      </c>
      <c r="BJ161" t="s">
        <v>3089</v>
      </c>
      <c r="BK161" t="s">
        <v>100</v>
      </c>
      <c r="BL161" t="s">
        <v>3089</v>
      </c>
      <c r="BM161" t="s">
        <v>3090</v>
      </c>
      <c r="BN161">
        <v>23227023</v>
      </c>
      <c r="BO161" t="s">
        <v>3124</v>
      </c>
      <c r="BP161" t="s">
        <v>74</v>
      </c>
      <c r="BQ161" t="s">
        <v>74</v>
      </c>
      <c r="BR161" t="s">
        <v>102</v>
      </c>
      <c r="BS161" t="s">
        <v>3125</v>
      </c>
      <c r="BT161" t="str">
        <f>HYPERLINK("https%3A%2F%2Fwww.webofscience.com%2Fwos%2Fwoscc%2Ffull-record%2FWOS:000208863600404","View Full Record in Web of Science")</f>
        <v>View Full Record in Web of Science</v>
      </c>
    </row>
    <row r="162" spans="1:72" x14ac:dyDescent="0.15">
      <c r="A162" t="s">
        <v>72</v>
      </c>
      <c r="B162" t="s">
        <v>3126</v>
      </c>
      <c r="C162" t="s">
        <v>74</v>
      </c>
      <c r="D162" t="s">
        <v>74</v>
      </c>
      <c r="E162" t="s">
        <v>74</v>
      </c>
      <c r="F162" t="s">
        <v>3127</v>
      </c>
      <c r="G162" t="s">
        <v>74</v>
      </c>
      <c r="H162" t="s">
        <v>74</v>
      </c>
      <c r="I162" t="s">
        <v>3128</v>
      </c>
      <c r="J162" t="s">
        <v>3069</v>
      </c>
      <c r="K162" t="s">
        <v>74</v>
      </c>
      <c r="L162" t="s">
        <v>74</v>
      </c>
      <c r="M162" t="s">
        <v>78</v>
      </c>
      <c r="N162" t="s">
        <v>1513</v>
      </c>
      <c r="O162" t="s">
        <v>74</v>
      </c>
      <c r="P162" t="s">
        <v>74</v>
      </c>
      <c r="Q162" t="s">
        <v>74</v>
      </c>
      <c r="R162" t="s">
        <v>74</v>
      </c>
      <c r="S162" t="s">
        <v>74</v>
      </c>
      <c r="T162" t="s">
        <v>3129</v>
      </c>
      <c r="U162" t="s">
        <v>3130</v>
      </c>
      <c r="V162" t="s">
        <v>3131</v>
      </c>
      <c r="W162" t="s">
        <v>3132</v>
      </c>
      <c r="X162" t="s">
        <v>3133</v>
      </c>
      <c r="Y162" t="s">
        <v>3134</v>
      </c>
      <c r="Z162" t="s">
        <v>3135</v>
      </c>
      <c r="AA162" t="s">
        <v>74</v>
      </c>
      <c r="AB162" t="s">
        <v>74</v>
      </c>
      <c r="AC162" t="s">
        <v>74</v>
      </c>
      <c r="AD162" t="s">
        <v>74</v>
      </c>
      <c r="AE162" t="s">
        <v>74</v>
      </c>
      <c r="AF162" t="s">
        <v>74</v>
      </c>
      <c r="AG162">
        <v>242</v>
      </c>
      <c r="AH162">
        <v>261</v>
      </c>
      <c r="AI162">
        <v>293</v>
      </c>
      <c r="AJ162">
        <v>16</v>
      </c>
      <c r="AK162">
        <v>227</v>
      </c>
      <c r="AL162" t="s">
        <v>3082</v>
      </c>
      <c r="AM162" t="s">
        <v>3083</v>
      </c>
      <c r="AN162" t="s">
        <v>3084</v>
      </c>
      <c r="AO162" t="s">
        <v>74</v>
      </c>
      <c r="AP162" t="s">
        <v>3085</v>
      </c>
      <c r="AQ162" t="s">
        <v>74</v>
      </c>
      <c r="AR162" t="s">
        <v>3086</v>
      </c>
      <c r="AS162" t="s">
        <v>3087</v>
      </c>
      <c r="AT162" t="s">
        <v>74</v>
      </c>
      <c r="AU162">
        <v>2012</v>
      </c>
      <c r="AV162">
        <v>3</v>
      </c>
      <c r="AW162" t="s">
        <v>74</v>
      </c>
      <c r="AX162" t="s">
        <v>74</v>
      </c>
      <c r="AY162" t="s">
        <v>74</v>
      </c>
      <c r="AZ162" t="s">
        <v>74</v>
      </c>
      <c r="BA162" t="s">
        <v>74</v>
      </c>
      <c r="BB162" t="s">
        <v>74</v>
      </c>
      <c r="BC162" t="s">
        <v>74</v>
      </c>
      <c r="BD162">
        <v>204</v>
      </c>
      <c r="BE162" t="s">
        <v>3136</v>
      </c>
      <c r="BF162" t="str">
        <f>HYPERLINK("http://dx.doi.org/10.3389/fmicb.2012.00204","http://dx.doi.org/10.3389/fmicb.2012.00204")</f>
        <v>http://dx.doi.org/10.3389/fmicb.2012.00204</v>
      </c>
      <c r="BG162" t="s">
        <v>74</v>
      </c>
      <c r="BH162" t="s">
        <v>74</v>
      </c>
      <c r="BI162">
        <v>22</v>
      </c>
      <c r="BJ162" t="s">
        <v>3089</v>
      </c>
      <c r="BK162" t="s">
        <v>100</v>
      </c>
      <c r="BL162" t="s">
        <v>3089</v>
      </c>
      <c r="BM162" t="s">
        <v>3090</v>
      </c>
      <c r="BN162">
        <v>22701115</v>
      </c>
      <c r="BO162" t="s">
        <v>2136</v>
      </c>
      <c r="BP162" t="s">
        <v>74</v>
      </c>
      <c r="BQ162" t="s">
        <v>74</v>
      </c>
      <c r="BR162" t="s">
        <v>102</v>
      </c>
      <c r="BS162" t="s">
        <v>3137</v>
      </c>
      <c r="BT162" t="str">
        <f>HYPERLINK("https%3A%2F%2Fwww.webofscience.com%2Fwos%2Fwoscc%2Ffull-record%2FWOS:000208863600254","View Full Record in Web of Science")</f>
        <v>View Full Record in Web of Science</v>
      </c>
    </row>
    <row r="163" spans="1:72" x14ac:dyDescent="0.15">
      <c r="A163" t="s">
        <v>72</v>
      </c>
      <c r="B163" t="s">
        <v>3138</v>
      </c>
      <c r="C163" t="s">
        <v>74</v>
      </c>
      <c r="D163" t="s">
        <v>74</v>
      </c>
      <c r="E163" t="s">
        <v>74</v>
      </c>
      <c r="F163" t="s">
        <v>3139</v>
      </c>
      <c r="G163" t="s">
        <v>74</v>
      </c>
      <c r="H163" t="s">
        <v>74</v>
      </c>
      <c r="I163" t="s">
        <v>3140</v>
      </c>
      <c r="J163" t="s">
        <v>3069</v>
      </c>
      <c r="K163" t="s">
        <v>74</v>
      </c>
      <c r="L163" t="s">
        <v>74</v>
      </c>
      <c r="M163" t="s">
        <v>78</v>
      </c>
      <c r="N163" t="s">
        <v>1513</v>
      </c>
      <c r="O163" t="s">
        <v>74</v>
      </c>
      <c r="P163" t="s">
        <v>74</v>
      </c>
      <c r="Q163" t="s">
        <v>74</v>
      </c>
      <c r="R163" t="s">
        <v>74</v>
      </c>
      <c r="S163" t="s">
        <v>74</v>
      </c>
      <c r="T163" t="s">
        <v>3141</v>
      </c>
      <c r="U163" t="s">
        <v>3142</v>
      </c>
      <c r="V163" t="s">
        <v>3143</v>
      </c>
      <c r="W163" t="s">
        <v>3144</v>
      </c>
      <c r="X163" t="s">
        <v>3145</v>
      </c>
      <c r="Y163" t="s">
        <v>3146</v>
      </c>
      <c r="Z163" t="s">
        <v>3147</v>
      </c>
      <c r="AA163" t="s">
        <v>3148</v>
      </c>
      <c r="AB163" t="s">
        <v>3149</v>
      </c>
      <c r="AC163" t="s">
        <v>3150</v>
      </c>
      <c r="AD163" t="s">
        <v>3150</v>
      </c>
      <c r="AE163" t="s">
        <v>3151</v>
      </c>
      <c r="AF163" t="s">
        <v>74</v>
      </c>
      <c r="AG163">
        <v>93</v>
      </c>
      <c r="AH163">
        <v>119</v>
      </c>
      <c r="AI163">
        <v>131</v>
      </c>
      <c r="AJ163">
        <v>11</v>
      </c>
      <c r="AK163">
        <v>143</v>
      </c>
      <c r="AL163" t="s">
        <v>3082</v>
      </c>
      <c r="AM163" t="s">
        <v>3083</v>
      </c>
      <c r="AN163" t="s">
        <v>3084</v>
      </c>
      <c r="AO163" t="s">
        <v>74</v>
      </c>
      <c r="AP163" t="s">
        <v>3085</v>
      </c>
      <c r="AQ163" t="s">
        <v>74</v>
      </c>
      <c r="AR163" t="s">
        <v>3086</v>
      </c>
      <c r="AS163" t="s">
        <v>3087</v>
      </c>
      <c r="AT163" t="s">
        <v>74</v>
      </c>
      <c r="AU163">
        <v>2012</v>
      </c>
      <c r="AV163">
        <v>3</v>
      </c>
      <c r="AW163" t="s">
        <v>74</v>
      </c>
      <c r="AX163" t="s">
        <v>74</v>
      </c>
      <c r="AY163" t="s">
        <v>74</v>
      </c>
      <c r="AZ163" t="s">
        <v>74</v>
      </c>
      <c r="BA163" t="s">
        <v>74</v>
      </c>
      <c r="BB163" t="s">
        <v>74</v>
      </c>
      <c r="BC163" t="s">
        <v>74</v>
      </c>
      <c r="BD163">
        <v>210</v>
      </c>
      <c r="BE163" t="s">
        <v>3152</v>
      </c>
      <c r="BF163" t="str">
        <f>HYPERLINK("http://dx.doi.org/10.3389/fmicb.2012.00210","http://dx.doi.org/10.3389/fmicb.2012.00210")</f>
        <v>http://dx.doi.org/10.3389/fmicb.2012.00210</v>
      </c>
      <c r="BG163" t="s">
        <v>74</v>
      </c>
      <c r="BH163" t="s">
        <v>74</v>
      </c>
      <c r="BI163">
        <v>9</v>
      </c>
      <c r="BJ163" t="s">
        <v>3089</v>
      </c>
      <c r="BK163" t="s">
        <v>100</v>
      </c>
      <c r="BL163" t="s">
        <v>3089</v>
      </c>
      <c r="BM163" t="s">
        <v>3090</v>
      </c>
      <c r="BN163">
        <v>22715335</v>
      </c>
      <c r="BO163" t="s">
        <v>2136</v>
      </c>
      <c r="BP163" t="s">
        <v>74</v>
      </c>
      <c r="BQ163" t="s">
        <v>74</v>
      </c>
      <c r="BR163" t="s">
        <v>102</v>
      </c>
      <c r="BS163" t="s">
        <v>3153</v>
      </c>
      <c r="BT163" t="str">
        <f>HYPERLINK("https%3A%2F%2Fwww.webofscience.com%2Fwos%2Fwoscc%2Ffull-record%2FWOS:000208863600260","View Full Record in Web of Science")</f>
        <v>View Full Record in Web of Science</v>
      </c>
    </row>
    <row r="164" spans="1:72" x14ac:dyDescent="0.15">
      <c r="A164" t="s">
        <v>72</v>
      </c>
      <c r="B164" t="s">
        <v>3154</v>
      </c>
      <c r="C164" t="s">
        <v>74</v>
      </c>
      <c r="D164" t="s">
        <v>74</v>
      </c>
      <c r="E164" t="s">
        <v>74</v>
      </c>
      <c r="F164" t="s">
        <v>3155</v>
      </c>
      <c r="G164" t="s">
        <v>74</v>
      </c>
      <c r="H164" t="s">
        <v>74</v>
      </c>
      <c r="I164" t="s">
        <v>3156</v>
      </c>
      <c r="J164" t="s">
        <v>3157</v>
      </c>
      <c r="K164" t="s">
        <v>74</v>
      </c>
      <c r="L164" t="s">
        <v>74</v>
      </c>
      <c r="M164" t="s">
        <v>78</v>
      </c>
      <c r="N164" t="s">
        <v>79</v>
      </c>
      <c r="O164" t="s">
        <v>74</v>
      </c>
      <c r="P164" t="s">
        <v>74</v>
      </c>
      <c r="Q164" t="s">
        <v>74</v>
      </c>
      <c r="R164" t="s">
        <v>74</v>
      </c>
      <c r="S164" t="s">
        <v>74</v>
      </c>
      <c r="T164" t="s">
        <v>3158</v>
      </c>
      <c r="U164" t="s">
        <v>3159</v>
      </c>
      <c r="V164" t="s">
        <v>3160</v>
      </c>
      <c r="W164" t="s">
        <v>3161</v>
      </c>
      <c r="X164" t="s">
        <v>3162</v>
      </c>
      <c r="Y164" t="s">
        <v>3163</v>
      </c>
      <c r="Z164" t="s">
        <v>3164</v>
      </c>
      <c r="AA164" t="s">
        <v>3165</v>
      </c>
      <c r="AB164" t="s">
        <v>3166</v>
      </c>
      <c r="AC164" t="s">
        <v>3167</v>
      </c>
      <c r="AD164" t="s">
        <v>3167</v>
      </c>
      <c r="AE164" t="s">
        <v>3168</v>
      </c>
      <c r="AF164" t="s">
        <v>74</v>
      </c>
      <c r="AG164">
        <v>46</v>
      </c>
      <c r="AH164">
        <v>14</v>
      </c>
      <c r="AI164">
        <v>20</v>
      </c>
      <c r="AJ164">
        <v>3</v>
      </c>
      <c r="AK164">
        <v>17</v>
      </c>
      <c r="AL164" t="s">
        <v>3082</v>
      </c>
      <c r="AM164" t="s">
        <v>3083</v>
      </c>
      <c r="AN164" t="s">
        <v>3084</v>
      </c>
      <c r="AO164" t="s">
        <v>3169</v>
      </c>
      <c r="AP164" t="s">
        <v>74</v>
      </c>
      <c r="AQ164" t="s">
        <v>74</v>
      </c>
      <c r="AR164" t="s">
        <v>3170</v>
      </c>
      <c r="AS164" t="s">
        <v>3171</v>
      </c>
      <c r="AT164" t="s">
        <v>74</v>
      </c>
      <c r="AU164">
        <v>2012</v>
      </c>
      <c r="AV164">
        <v>3</v>
      </c>
      <c r="AW164" t="s">
        <v>74</v>
      </c>
      <c r="AX164" t="s">
        <v>74</v>
      </c>
      <c r="AY164" t="s">
        <v>74</v>
      </c>
      <c r="AZ164" t="s">
        <v>74</v>
      </c>
      <c r="BA164" t="s">
        <v>74</v>
      </c>
      <c r="BB164" t="s">
        <v>74</v>
      </c>
      <c r="BC164" t="s">
        <v>74</v>
      </c>
      <c r="BD164">
        <v>465</v>
      </c>
      <c r="BE164" t="s">
        <v>3172</v>
      </c>
      <c r="BF164" t="str">
        <f>HYPERLINK("http://dx.doi.org/10.3389/fphys.2012.00465","http://dx.doi.org/10.3389/fphys.2012.00465")</f>
        <v>http://dx.doi.org/10.3389/fphys.2012.00465</v>
      </c>
      <c r="BG164" t="s">
        <v>74</v>
      </c>
      <c r="BH164" t="s">
        <v>74</v>
      </c>
      <c r="BI164">
        <v>8</v>
      </c>
      <c r="BJ164" t="s">
        <v>3173</v>
      </c>
      <c r="BK164" t="s">
        <v>100</v>
      </c>
      <c r="BL164" t="s">
        <v>3173</v>
      </c>
      <c r="BM164" t="s">
        <v>3174</v>
      </c>
      <c r="BN164">
        <v>23248601</v>
      </c>
      <c r="BO164" t="s">
        <v>3175</v>
      </c>
      <c r="BP164" t="s">
        <v>74</v>
      </c>
      <c r="BQ164" t="s">
        <v>74</v>
      </c>
      <c r="BR164" t="s">
        <v>102</v>
      </c>
      <c r="BS164" t="s">
        <v>3176</v>
      </c>
      <c r="BT164" t="str">
        <f>HYPERLINK("https%3A%2F%2Fwww.webofscience.com%2Fwos%2Fwoscc%2Ffull-record%2FWOS:000209173000455","View Full Record in Web of Science")</f>
        <v>View Full Record in Web of Science</v>
      </c>
    </row>
    <row r="165" spans="1:72" x14ac:dyDescent="0.15">
      <c r="A165" t="s">
        <v>72</v>
      </c>
      <c r="B165" t="s">
        <v>3177</v>
      </c>
      <c r="C165" t="s">
        <v>74</v>
      </c>
      <c r="D165" t="s">
        <v>74</v>
      </c>
      <c r="E165" t="s">
        <v>74</v>
      </c>
      <c r="F165" t="s">
        <v>3178</v>
      </c>
      <c r="G165" t="s">
        <v>74</v>
      </c>
      <c r="H165" t="s">
        <v>74</v>
      </c>
      <c r="I165" t="s">
        <v>3179</v>
      </c>
      <c r="J165" t="s">
        <v>3157</v>
      </c>
      <c r="K165" t="s">
        <v>74</v>
      </c>
      <c r="L165" t="s">
        <v>74</v>
      </c>
      <c r="M165" t="s">
        <v>78</v>
      </c>
      <c r="N165" t="s">
        <v>79</v>
      </c>
      <c r="O165" t="s">
        <v>74</v>
      </c>
      <c r="P165" t="s">
        <v>74</v>
      </c>
      <c r="Q165" t="s">
        <v>74</v>
      </c>
      <c r="R165" t="s">
        <v>74</v>
      </c>
      <c r="S165" t="s">
        <v>74</v>
      </c>
      <c r="T165" t="s">
        <v>3180</v>
      </c>
      <c r="U165" t="s">
        <v>74</v>
      </c>
      <c r="V165" t="s">
        <v>3181</v>
      </c>
      <c r="W165" t="s">
        <v>3182</v>
      </c>
      <c r="X165" t="s">
        <v>3183</v>
      </c>
      <c r="Y165" t="s">
        <v>3184</v>
      </c>
      <c r="Z165" t="s">
        <v>3185</v>
      </c>
      <c r="AA165" t="s">
        <v>74</v>
      </c>
      <c r="AB165" t="s">
        <v>3186</v>
      </c>
      <c r="AC165" t="s">
        <v>3187</v>
      </c>
      <c r="AD165" t="s">
        <v>3188</v>
      </c>
      <c r="AE165" t="s">
        <v>3189</v>
      </c>
      <c r="AF165" t="s">
        <v>74</v>
      </c>
      <c r="AG165">
        <v>58</v>
      </c>
      <c r="AH165">
        <v>20</v>
      </c>
      <c r="AI165">
        <v>24</v>
      </c>
      <c r="AJ165">
        <v>3</v>
      </c>
      <c r="AK165">
        <v>26</v>
      </c>
      <c r="AL165" t="s">
        <v>3190</v>
      </c>
      <c r="AM165" t="s">
        <v>3083</v>
      </c>
      <c r="AN165" t="s">
        <v>3191</v>
      </c>
      <c r="AO165" t="s">
        <v>3169</v>
      </c>
      <c r="AP165" t="s">
        <v>74</v>
      </c>
      <c r="AQ165" t="s">
        <v>74</v>
      </c>
      <c r="AR165" t="s">
        <v>3170</v>
      </c>
      <c r="AS165" t="s">
        <v>3171</v>
      </c>
      <c r="AT165" t="s">
        <v>74</v>
      </c>
      <c r="AU165">
        <v>2012</v>
      </c>
      <c r="AV165">
        <v>3</v>
      </c>
      <c r="AW165" t="s">
        <v>74</v>
      </c>
      <c r="AX165" t="s">
        <v>74</v>
      </c>
      <c r="AY165" t="s">
        <v>74</v>
      </c>
      <c r="AZ165" t="s">
        <v>74</v>
      </c>
      <c r="BA165" t="s">
        <v>74</v>
      </c>
      <c r="BB165" t="s">
        <v>74</v>
      </c>
      <c r="BC165" t="s">
        <v>74</v>
      </c>
      <c r="BD165" t="s">
        <v>3192</v>
      </c>
      <c r="BE165" t="s">
        <v>3193</v>
      </c>
      <c r="BF165" t="str">
        <f>HYPERLINK("http://dx.doi.org/10.3389/fphys.2012.00184","http://dx.doi.org/10.3389/fphys.2012.00184")</f>
        <v>http://dx.doi.org/10.3389/fphys.2012.00184</v>
      </c>
      <c r="BG165" t="s">
        <v>74</v>
      </c>
      <c r="BH165" t="s">
        <v>74</v>
      </c>
      <c r="BI165">
        <v>8</v>
      </c>
      <c r="BJ165" t="s">
        <v>3173</v>
      </c>
      <c r="BK165" t="s">
        <v>100</v>
      </c>
      <c r="BL165" t="s">
        <v>3173</v>
      </c>
      <c r="BM165" t="s">
        <v>3174</v>
      </c>
      <c r="BN165">
        <v>22707938</v>
      </c>
      <c r="BO165" t="s">
        <v>2136</v>
      </c>
      <c r="BP165" t="s">
        <v>74</v>
      </c>
      <c r="BQ165" t="s">
        <v>74</v>
      </c>
      <c r="BR165" t="s">
        <v>102</v>
      </c>
      <c r="BS165" t="s">
        <v>3194</v>
      </c>
      <c r="BT165" t="str">
        <f>HYPERLINK("https%3A%2F%2Fwww.webofscience.com%2Fwos%2Fwoscc%2Ffull-record%2FWOS:000209173000181","View Full Record in Web of Science")</f>
        <v>View Full Record in Web of Science</v>
      </c>
    </row>
    <row r="166" spans="1:72" x14ac:dyDescent="0.15">
      <c r="A166" t="s">
        <v>72</v>
      </c>
      <c r="B166" t="s">
        <v>3195</v>
      </c>
      <c r="C166" t="s">
        <v>74</v>
      </c>
      <c r="D166" t="s">
        <v>74</v>
      </c>
      <c r="E166" t="s">
        <v>74</v>
      </c>
      <c r="F166" t="s">
        <v>3196</v>
      </c>
      <c r="G166" t="s">
        <v>74</v>
      </c>
      <c r="H166" t="s">
        <v>74</v>
      </c>
      <c r="I166" t="s">
        <v>3197</v>
      </c>
      <c r="J166" t="s">
        <v>3198</v>
      </c>
      <c r="K166" t="s">
        <v>74</v>
      </c>
      <c r="L166" t="s">
        <v>74</v>
      </c>
      <c r="M166" t="s">
        <v>3199</v>
      </c>
      <c r="N166" t="s">
        <v>79</v>
      </c>
      <c r="O166" t="s">
        <v>74</v>
      </c>
      <c r="P166" t="s">
        <v>74</v>
      </c>
      <c r="Q166" t="s">
        <v>74</v>
      </c>
      <c r="R166" t="s">
        <v>74</v>
      </c>
      <c r="S166" t="s">
        <v>74</v>
      </c>
      <c r="T166" t="s">
        <v>3200</v>
      </c>
      <c r="U166" t="s">
        <v>3201</v>
      </c>
      <c r="V166" t="s">
        <v>3202</v>
      </c>
      <c r="W166" t="s">
        <v>3203</v>
      </c>
      <c r="X166" t="s">
        <v>3204</v>
      </c>
      <c r="Y166" t="s">
        <v>3205</v>
      </c>
      <c r="Z166" t="s">
        <v>3206</v>
      </c>
      <c r="AA166" t="s">
        <v>3207</v>
      </c>
      <c r="AB166" t="s">
        <v>3208</v>
      </c>
      <c r="AC166" t="s">
        <v>74</v>
      </c>
      <c r="AD166" t="s">
        <v>74</v>
      </c>
      <c r="AE166" t="s">
        <v>74</v>
      </c>
      <c r="AF166" t="s">
        <v>74</v>
      </c>
      <c r="AG166">
        <v>48</v>
      </c>
      <c r="AH166">
        <v>19</v>
      </c>
      <c r="AI166">
        <v>20</v>
      </c>
      <c r="AJ166">
        <v>0</v>
      </c>
      <c r="AK166">
        <v>31</v>
      </c>
      <c r="AL166" t="s">
        <v>3209</v>
      </c>
      <c r="AM166" t="s">
        <v>3210</v>
      </c>
      <c r="AN166" t="s">
        <v>3211</v>
      </c>
      <c r="AO166" t="s">
        <v>3212</v>
      </c>
      <c r="AP166" t="s">
        <v>74</v>
      </c>
      <c r="AQ166" t="s">
        <v>74</v>
      </c>
      <c r="AR166" t="s">
        <v>3213</v>
      </c>
      <c r="AS166" t="s">
        <v>3214</v>
      </c>
      <c r="AT166" t="s">
        <v>74</v>
      </c>
      <c r="AU166">
        <v>2012</v>
      </c>
      <c r="AV166">
        <v>69</v>
      </c>
      <c r="AW166">
        <v>1</v>
      </c>
      <c r="AX166" t="s">
        <v>74</v>
      </c>
      <c r="AY166" t="s">
        <v>74</v>
      </c>
      <c r="AZ166" t="s">
        <v>74</v>
      </c>
      <c r="BA166" t="s">
        <v>74</v>
      </c>
      <c r="BB166">
        <v>152</v>
      </c>
      <c r="BC166">
        <v>160</v>
      </c>
      <c r="BD166" t="s">
        <v>74</v>
      </c>
      <c r="BE166" t="s">
        <v>3215</v>
      </c>
      <c r="BF166" t="str">
        <f>HYPERLINK("http://dx.doi.org/10.4067/S0717-66432012000100015","http://dx.doi.org/10.4067/S0717-66432012000100015")</f>
        <v>http://dx.doi.org/10.4067/S0717-66432012000100015</v>
      </c>
      <c r="BG166" t="s">
        <v>74</v>
      </c>
      <c r="BH166" t="s">
        <v>74</v>
      </c>
      <c r="BI166">
        <v>9</v>
      </c>
      <c r="BJ166" t="s">
        <v>3216</v>
      </c>
      <c r="BK166" t="s">
        <v>100</v>
      </c>
      <c r="BL166" t="s">
        <v>3216</v>
      </c>
      <c r="BM166" t="s">
        <v>3217</v>
      </c>
      <c r="BN166" t="s">
        <v>74</v>
      </c>
      <c r="BO166" t="s">
        <v>1237</v>
      </c>
      <c r="BP166" t="s">
        <v>74</v>
      </c>
      <c r="BQ166" t="s">
        <v>74</v>
      </c>
      <c r="BR166" t="s">
        <v>102</v>
      </c>
      <c r="BS166" t="s">
        <v>3218</v>
      </c>
      <c r="BT166" t="str">
        <f>HYPERLINK("https%3A%2F%2Fwww.webofscience.com%2Fwos%2Fwoscc%2Ffull-record%2FWOS:000306532900015","View Full Record in Web of Science")</f>
        <v>View Full Record in Web of Science</v>
      </c>
    </row>
    <row r="167" spans="1:72" x14ac:dyDescent="0.15">
      <c r="A167" t="s">
        <v>72</v>
      </c>
      <c r="B167" t="s">
        <v>3219</v>
      </c>
      <c r="C167" t="s">
        <v>74</v>
      </c>
      <c r="D167" t="s">
        <v>74</v>
      </c>
      <c r="E167" t="s">
        <v>74</v>
      </c>
      <c r="F167" t="s">
        <v>3220</v>
      </c>
      <c r="G167" t="s">
        <v>74</v>
      </c>
      <c r="H167" t="s">
        <v>74</v>
      </c>
      <c r="I167" t="s">
        <v>3221</v>
      </c>
      <c r="J167" t="s">
        <v>3222</v>
      </c>
      <c r="K167" t="s">
        <v>74</v>
      </c>
      <c r="L167" t="s">
        <v>74</v>
      </c>
      <c r="M167" t="s">
        <v>78</v>
      </c>
      <c r="N167" t="s">
        <v>79</v>
      </c>
      <c r="O167" t="s">
        <v>74</v>
      </c>
      <c r="P167" t="s">
        <v>74</v>
      </c>
      <c r="Q167" t="s">
        <v>74</v>
      </c>
      <c r="R167" t="s">
        <v>74</v>
      </c>
      <c r="S167" t="s">
        <v>74</v>
      </c>
      <c r="T167" t="s">
        <v>3223</v>
      </c>
      <c r="U167" t="s">
        <v>3224</v>
      </c>
      <c r="V167" t="s">
        <v>3225</v>
      </c>
      <c r="W167" t="s">
        <v>3226</v>
      </c>
      <c r="X167" t="s">
        <v>3227</v>
      </c>
      <c r="Y167" t="s">
        <v>3228</v>
      </c>
      <c r="Z167" t="s">
        <v>3229</v>
      </c>
      <c r="AA167" t="s">
        <v>3230</v>
      </c>
      <c r="AB167" t="s">
        <v>3231</v>
      </c>
      <c r="AC167" t="s">
        <v>3232</v>
      </c>
      <c r="AD167" t="s">
        <v>3233</v>
      </c>
      <c r="AE167" t="s">
        <v>3234</v>
      </c>
      <c r="AF167" t="s">
        <v>74</v>
      </c>
      <c r="AG167">
        <v>60</v>
      </c>
      <c r="AH167">
        <v>11</v>
      </c>
      <c r="AI167">
        <v>12</v>
      </c>
      <c r="AJ167">
        <v>3</v>
      </c>
      <c r="AK167">
        <v>48</v>
      </c>
      <c r="AL167" t="s">
        <v>3235</v>
      </c>
      <c r="AM167" t="s">
        <v>588</v>
      </c>
      <c r="AN167" t="s">
        <v>3236</v>
      </c>
      <c r="AO167" t="s">
        <v>3237</v>
      </c>
      <c r="AP167" t="s">
        <v>3238</v>
      </c>
      <c r="AQ167" t="s">
        <v>74</v>
      </c>
      <c r="AR167" t="s">
        <v>3239</v>
      </c>
      <c r="AS167" t="s">
        <v>3240</v>
      </c>
      <c r="AT167" t="s">
        <v>162</v>
      </c>
      <c r="AU167">
        <v>2012</v>
      </c>
      <c r="AV167">
        <v>175</v>
      </c>
      <c r="AW167">
        <v>1</v>
      </c>
      <c r="AX167" t="s">
        <v>74</v>
      </c>
      <c r="AY167" t="s">
        <v>74</v>
      </c>
      <c r="AZ167" t="s">
        <v>74</v>
      </c>
      <c r="BA167" t="s">
        <v>74</v>
      </c>
      <c r="BB167">
        <v>74</v>
      </c>
      <c r="BC167">
        <v>81</v>
      </c>
      <c r="BD167" t="s">
        <v>74</v>
      </c>
      <c r="BE167" t="s">
        <v>3241</v>
      </c>
      <c r="BF167" t="str">
        <f>HYPERLINK("http://dx.doi.org/10.1016/j.ygcen.2011.10.003","http://dx.doi.org/10.1016/j.ygcen.2011.10.003")</f>
        <v>http://dx.doi.org/10.1016/j.ygcen.2011.10.003</v>
      </c>
      <c r="BG167" t="s">
        <v>74</v>
      </c>
      <c r="BH167" t="s">
        <v>74</v>
      </c>
      <c r="BI167">
        <v>8</v>
      </c>
      <c r="BJ167" t="s">
        <v>3242</v>
      </c>
      <c r="BK167" t="s">
        <v>100</v>
      </c>
      <c r="BL167" t="s">
        <v>3242</v>
      </c>
      <c r="BM167" t="s">
        <v>3243</v>
      </c>
      <c r="BN167">
        <v>22020257</v>
      </c>
      <c r="BO167" t="s">
        <v>2679</v>
      </c>
      <c r="BP167" t="s">
        <v>74</v>
      </c>
      <c r="BQ167" t="s">
        <v>74</v>
      </c>
      <c r="BR167" t="s">
        <v>102</v>
      </c>
      <c r="BS167" t="s">
        <v>3244</v>
      </c>
      <c r="BT167" t="str">
        <f>HYPERLINK("https%3A%2F%2Fwww.webofscience.com%2Fwos%2Fwoscc%2Ffull-record%2FWOS:000299065800010","View Full Record in Web of Science")</f>
        <v>View Full Record in Web of Science</v>
      </c>
    </row>
    <row r="168" spans="1:72" x14ac:dyDescent="0.15">
      <c r="A168" t="s">
        <v>72</v>
      </c>
      <c r="B168" t="s">
        <v>3245</v>
      </c>
      <c r="C168" t="s">
        <v>74</v>
      </c>
      <c r="D168" t="s">
        <v>74</v>
      </c>
      <c r="E168" t="s">
        <v>74</v>
      </c>
      <c r="F168" t="s">
        <v>3246</v>
      </c>
      <c r="G168" t="s">
        <v>74</v>
      </c>
      <c r="H168" t="s">
        <v>74</v>
      </c>
      <c r="I168" t="s">
        <v>3247</v>
      </c>
      <c r="J168" t="s">
        <v>3248</v>
      </c>
      <c r="K168" t="s">
        <v>74</v>
      </c>
      <c r="L168" t="s">
        <v>74</v>
      </c>
      <c r="M168" t="s">
        <v>78</v>
      </c>
      <c r="N168" t="s">
        <v>79</v>
      </c>
      <c r="O168" t="s">
        <v>74</v>
      </c>
      <c r="P168" t="s">
        <v>74</v>
      </c>
      <c r="Q168" t="s">
        <v>74</v>
      </c>
      <c r="R168" t="s">
        <v>74</v>
      </c>
      <c r="S168" t="s">
        <v>74</v>
      </c>
      <c r="T168" t="s">
        <v>3249</v>
      </c>
      <c r="U168" t="s">
        <v>74</v>
      </c>
      <c r="V168" t="s">
        <v>3250</v>
      </c>
      <c r="W168" t="s">
        <v>3251</v>
      </c>
      <c r="X168" t="s">
        <v>271</v>
      </c>
      <c r="Y168" t="s">
        <v>3252</v>
      </c>
      <c r="Z168" t="s">
        <v>3253</v>
      </c>
      <c r="AA168" t="s">
        <v>74</v>
      </c>
      <c r="AB168" t="s">
        <v>74</v>
      </c>
      <c r="AC168" t="s">
        <v>3254</v>
      </c>
      <c r="AD168" t="s">
        <v>3255</v>
      </c>
      <c r="AE168" t="s">
        <v>3256</v>
      </c>
      <c r="AF168" t="s">
        <v>74</v>
      </c>
      <c r="AG168">
        <v>8</v>
      </c>
      <c r="AH168">
        <v>2</v>
      </c>
      <c r="AI168">
        <v>2</v>
      </c>
      <c r="AJ168">
        <v>0</v>
      </c>
      <c r="AK168">
        <v>1</v>
      </c>
      <c r="AL168" t="s">
        <v>1150</v>
      </c>
      <c r="AM168" t="s">
        <v>1151</v>
      </c>
      <c r="AN168" t="s">
        <v>1152</v>
      </c>
      <c r="AO168" t="s">
        <v>3257</v>
      </c>
      <c r="AP168" t="s">
        <v>3258</v>
      </c>
      <c r="AQ168" t="s">
        <v>74</v>
      </c>
      <c r="AR168" t="s">
        <v>3259</v>
      </c>
      <c r="AS168" t="s">
        <v>3260</v>
      </c>
      <c r="AT168" t="s">
        <v>74</v>
      </c>
      <c r="AU168">
        <v>2012</v>
      </c>
      <c r="AV168">
        <v>15</v>
      </c>
      <c r="AW168">
        <v>1</v>
      </c>
      <c r="AX168" t="s">
        <v>74</v>
      </c>
      <c r="AY168" t="s">
        <v>74</v>
      </c>
      <c r="AZ168" t="s">
        <v>74</v>
      </c>
      <c r="BA168" t="s">
        <v>74</v>
      </c>
      <c r="BB168">
        <v>67</v>
      </c>
      <c r="BC168">
        <v>71</v>
      </c>
      <c r="BD168" t="s">
        <v>74</v>
      </c>
      <c r="BE168" t="s">
        <v>3261</v>
      </c>
      <c r="BF168" t="str">
        <f>HYPERLINK("http://dx.doi.org/10.1080/10095020.2012.708160","http://dx.doi.org/10.1080/10095020.2012.708160")</f>
        <v>http://dx.doi.org/10.1080/10095020.2012.708160</v>
      </c>
      <c r="BG168" t="s">
        <v>74</v>
      </c>
      <c r="BH168" t="s">
        <v>74</v>
      </c>
      <c r="BI168">
        <v>5</v>
      </c>
      <c r="BJ168" t="s">
        <v>3262</v>
      </c>
      <c r="BK168" t="s">
        <v>1158</v>
      </c>
      <c r="BL168" t="s">
        <v>3262</v>
      </c>
      <c r="BM168" t="s">
        <v>3263</v>
      </c>
      <c r="BN168" t="s">
        <v>74</v>
      </c>
      <c r="BO168" t="s">
        <v>623</v>
      </c>
      <c r="BP168" t="s">
        <v>74</v>
      </c>
      <c r="BQ168" t="s">
        <v>74</v>
      </c>
      <c r="BR168" t="s">
        <v>102</v>
      </c>
      <c r="BS168" t="s">
        <v>3264</v>
      </c>
      <c r="BT168" t="str">
        <f>HYPERLINK("https%3A%2F%2Fwww.webofscience.com%2Fwos%2Fwoscc%2Ffull-record%2FWOS:000410116100010","View Full Record in Web of Science")</f>
        <v>View Full Record in Web of Science</v>
      </c>
    </row>
    <row r="169" spans="1:72" x14ac:dyDescent="0.15">
      <c r="A169" t="s">
        <v>72</v>
      </c>
      <c r="B169" t="s">
        <v>3265</v>
      </c>
      <c r="C169" t="s">
        <v>74</v>
      </c>
      <c r="D169" t="s">
        <v>74</v>
      </c>
      <c r="E169" t="s">
        <v>74</v>
      </c>
      <c r="F169" t="s">
        <v>3266</v>
      </c>
      <c r="G169" t="s">
        <v>74</v>
      </c>
      <c r="H169" t="s">
        <v>74</v>
      </c>
      <c r="I169" t="s">
        <v>3267</v>
      </c>
      <c r="J169" t="s">
        <v>143</v>
      </c>
      <c r="K169" t="s">
        <v>74</v>
      </c>
      <c r="L169" t="s">
        <v>74</v>
      </c>
      <c r="M169" t="s">
        <v>78</v>
      </c>
      <c r="N169" t="s">
        <v>79</v>
      </c>
      <c r="O169" t="s">
        <v>74</v>
      </c>
      <c r="P169" t="s">
        <v>74</v>
      </c>
      <c r="Q169" t="s">
        <v>74</v>
      </c>
      <c r="R169" t="s">
        <v>74</v>
      </c>
      <c r="S169" t="s">
        <v>74</v>
      </c>
      <c r="T169" t="s">
        <v>74</v>
      </c>
      <c r="U169" t="s">
        <v>3268</v>
      </c>
      <c r="V169" t="s">
        <v>3269</v>
      </c>
      <c r="W169" t="s">
        <v>3270</v>
      </c>
      <c r="X169" t="s">
        <v>3271</v>
      </c>
      <c r="Y169" t="s">
        <v>3272</v>
      </c>
      <c r="Z169" t="s">
        <v>3273</v>
      </c>
      <c r="AA169" t="s">
        <v>3274</v>
      </c>
      <c r="AB169" t="s">
        <v>3275</v>
      </c>
      <c r="AC169" t="s">
        <v>3276</v>
      </c>
      <c r="AD169" t="s">
        <v>3277</v>
      </c>
      <c r="AE169" t="s">
        <v>3278</v>
      </c>
      <c r="AF169" t="s">
        <v>74</v>
      </c>
      <c r="AG169">
        <v>127</v>
      </c>
      <c r="AH169">
        <v>106</v>
      </c>
      <c r="AI169">
        <v>124</v>
      </c>
      <c r="AJ169">
        <v>0</v>
      </c>
      <c r="AK169">
        <v>53</v>
      </c>
      <c r="AL169" t="s">
        <v>155</v>
      </c>
      <c r="AM169" t="s">
        <v>156</v>
      </c>
      <c r="AN169" t="s">
        <v>157</v>
      </c>
      <c r="AO169" t="s">
        <v>158</v>
      </c>
      <c r="AP169" t="s">
        <v>159</v>
      </c>
      <c r="AQ169" t="s">
        <v>74</v>
      </c>
      <c r="AR169" t="s">
        <v>160</v>
      </c>
      <c r="AS169" t="s">
        <v>161</v>
      </c>
      <c r="AT169" t="s">
        <v>162</v>
      </c>
      <c r="AU169">
        <v>2012</v>
      </c>
      <c r="AV169">
        <v>76</v>
      </c>
      <c r="AW169" t="s">
        <v>74</v>
      </c>
      <c r="AX169" t="s">
        <v>74</v>
      </c>
      <c r="AY169" t="s">
        <v>74</v>
      </c>
      <c r="AZ169" t="s">
        <v>74</v>
      </c>
      <c r="BA169" t="s">
        <v>74</v>
      </c>
      <c r="BB169">
        <v>206</v>
      </c>
      <c r="BC169">
        <v>235</v>
      </c>
      <c r="BD169" t="s">
        <v>74</v>
      </c>
      <c r="BE169" t="s">
        <v>3279</v>
      </c>
      <c r="BF169" t="str">
        <f>HYPERLINK("http://dx.doi.org/10.1016/j.gca.2011.09.047","http://dx.doi.org/10.1016/j.gca.2011.09.047")</f>
        <v>http://dx.doi.org/10.1016/j.gca.2011.09.047</v>
      </c>
      <c r="BG169" t="s">
        <v>74</v>
      </c>
      <c r="BH169" t="s">
        <v>74</v>
      </c>
      <c r="BI169">
        <v>30</v>
      </c>
      <c r="BJ169" t="s">
        <v>164</v>
      </c>
      <c r="BK169" t="s">
        <v>100</v>
      </c>
      <c r="BL169" t="s">
        <v>164</v>
      </c>
      <c r="BM169" t="s">
        <v>165</v>
      </c>
      <c r="BN169" t="s">
        <v>74</v>
      </c>
      <c r="BO169" t="s">
        <v>74</v>
      </c>
      <c r="BP169" t="s">
        <v>74</v>
      </c>
      <c r="BQ169" t="s">
        <v>74</v>
      </c>
      <c r="BR169" t="s">
        <v>102</v>
      </c>
      <c r="BS169" t="s">
        <v>3280</v>
      </c>
      <c r="BT169" t="str">
        <f>HYPERLINK("https%3A%2F%2Fwww.webofscience.com%2Fwos%2Fwoscc%2Ffull-record%2FWOS:000298148700014","View Full Record in Web of Science")</f>
        <v>View Full Record in Web of Science</v>
      </c>
    </row>
    <row r="170" spans="1:72" x14ac:dyDescent="0.15">
      <c r="A170" t="s">
        <v>72</v>
      </c>
      <c r="B170" t="s">
        <v>3281</v>
      </c>
      <c r="C170" t="s">
        <v>74</v>
      </c>
      <c r="D170" t="s">
        <v>74</v>
      </c>
      <c r="E170" t="s">
        <v>74</v>
      </c>
      <c r="F170" t="s">
        <v>3282</v>
      </c>
      <c r="G170" t="s">
        <v>74</v>
      </c>
      <c r="H170" t="s">
        <v>74</v>
      </c>
      <c r="I170" t="s">
        <v>3283</v>
      </c>
      <c r="J170" t="s">
        <v>3284</v>
      </c>
      <c r="K170" t="s">
        <v>74</v>
      </c>
      <c r="L170" t="s">
        <v>74</v>
      </c>
      <c r="M170" t="s">
        <v>3285</v>
      </c>
      <c r="N170" t="s">
        <v>79</v>
      </c>
      <c r="O170" t="s">
        <v>74</v>
      </c>
      <c r="P170" t="s">
        <v>74</v>
      </c>
      <c r="Q170" t="s">
        <v>74</v>
      </c>
      <c r="R170" t="s">
        <v>74</v>
      </c>
      <c r="S170" t="s">
        <v>74</v>
      </c>
      <c r="T170" t="s">
        <v>3286</v>
      </c>
      <c r="U170" t="s">
        <v>74</v>
      </c>
      <c r="V170" t="s">
        <v>3287</v>
      </c>
      <c r="W170" t="s">
        <v>74</v>
      </c>
      <c r="X170" t="s">
        <v>74</v>
      </c>
      <c r="Y170" t="s">
        <v>74</v>
      </c>
      <c r="Z170" t="s">
        <v>74</v>
      </c>
      <c r="AA170" t="s">
        <v>3288</v>
      </c>
      <c r="AB170" t="s">
        <v>3289</v>
      </c>
      <c r="AC170" t="s">
        <v>74</v>
      </c>
      <c r="AD170" t="s">
        <v>74</v>
      </c>
      <c r="AE170" t="s">
        <v>74</v>
      </c>
      <c r="AF170" t="s">
        <v>74</v>
      </c>
      <c r="AG170">
        <v>12</v>
      </c>
      <c r="AH170">
        <v>0</v>
      </c>
      <c r="AI170">
        <v>0</v>
      </c>
      <c r="AJ170">
        <v>0</v>
      </c>
      <c r="AK170">
        <v>0</v>
      </c>
      <c r="AL170" t="s">
        <v>3290</v>
      </c>
      <c r="AM170" t="s">
        <v>3291</v>
      </c>
      <c r="AN170" t="s">
        <v>3292</v>
      </c>
      <c r="AO170" t="s">
        <v>3293</v>
      </c>
      <c r="AP170" t="s">
        <v>3294</v>
      </c>
      <c r="AQ170" t="s">
        <v>74</v>
      </c>
      <c r="AR170" t="s">
        <v>3284</v>
      </c>
      <c r="AS170" t="s">
        <v>3295</v>
      </c>
      <c r="AT170" t="s">
        <v>74</v>
      </c>
      <c r="AU170">
        <v>2012</v>
      </c>
      <c r="AV170" t="s">
        <v>74</v>
      </c>
      <c r="AW170">
        <v>12</v>
      </c>
      <c r="AX170" t="s">
        <v>74</v>
      </c>
      <c r="AY170" t="s">
        <v>74</v>
      </c>
      <c r="AZ170" t="s">
        <v>74</v>
      </c>
      <c r="BA170" t="s">
        <v>74</v>
      </c>
      <c r="BB170">
        <v>36</v>
      </c>
      <c r="BC170">
        <v>41</v>
      </c>
      <c r="BD170" t="s">
        <v>74</v>
      </c>
      <c r="BE170" t="s">
        <v>74</v>
      </c>
      <c r="BF170" t="s">
        <v>74</v>
      </c>
      <c r="BG170" t="s">
        <v>74</v>
      </c>
      <c r="BH170" t="s">
        <v>74</v>
      </c>
      <c r="BI170">
        <v>6</v>
      </c>
      <c r="BJ170" t="s">
        <v>164</v>
      </c>
      <c r="BK170" t="s">
        <v>1158</v>
      </c>
      <c r="BL170" t="s">
        <v>164</v>
      </c>
      <c r="BM170" t="s">
        <v>3296</v>
      </c>
      <c r="BN170" t="s">
        <v>74</v>
      </c>
      <c r="BO170" t="s">
        <v>74</v>
      </c>
      <c r="BP170" t="s">
        <v>74</v>
      </c>
      <c r="BQ170" t="s">
        <v>74</v>
      </c>
      <c r="BR170" t="s">
        <v>102</v>
      </c>
      <c r="BS170" t="s">
        <v>3297</v>
      </c>
      <c r="BT170" t="str">
        <f>HYPERLINK("https%3A%2F%2Fwww.webofscience.com%2Fwos%2Fwoscc%2Ffull-record%2FWOS:000442273300004","View Full Record in Web of Science")</f>
        <v>View Full Record in Web of Science</v>
      </c>
    </row>
    <row r="171" spans="1:72" x14ac:dyDescent="0.15">
      <c r="A171" t="s">
        <v>72</v>
      </c>
      <c r="B171" t="s">
        <v>3298</v>
      </c>
      <c r="C171" t="s">
        <v>74</v>
      </c>
      <c r="D171" t="s">
        <v>74</v>
      </c>
      <c r="E171" t="s">
        <v>74</v>
      </c>
      <c r="F171" t="s">
        <v>3299</v>
      </c>
      <c r="G171" t="s">
        <v>74</v>
      </c>
      <c r="H171" t="s">
        <v>74</v>
      </c>
      <c r="I171" t="s">
        <v>3300</v>
      </c>
      <c r="J171" t="s">
        <v>3284</v>
      </c>
      <c r="K171" t="s">
        <v>74</v>
      </c>
      <c r="L171" t="s">
        <v>74</v>
      </c>
      <c r="M171" t="s">
        <v>3285</v>
      </c>
      <c r="N171" t="s">
        <v>79</v>
      </c>
      <c r="O171" t="s">
        <v>74</v>
      </c>
      <c r="P171" t="s">
        <v>74</v>
      </c>
      <c r="Q171" t="s">
        <v>74</v>
      </c>
      <c r="R171" t="s">
        <v>74</v>
      </c>
      <c r="S171" t="s">
        <v>74</v>
      </c>
      <c r="T171" t="s">
        <v>3301</v>
      </c>
      <c r="U171" t="s">
        <v>74</v>
      </c>
      <c r="V171" t="s">
        <v>3302</v>
      </c>
      <c r="W171" t="s">
        <v>74</v>
      </c>
      <c r="X171" t="s">
        <v>74</v>
      </c>
      <c r="Y171" t="s">
        <v>74</v>
      </c>
      <c r="Z171" t="s">
        <v>74</v>
      </c>
      <c r="AA171" t="s">
        <v>74</v>
      </c>
      <c r="AB171" t="s">
        <v>74</v>
      </c>
      <c r="AC171" t="s">
        <v>74</v>
      </c>
      <c r="AD171" t="s">
        <v>74</v>
      </c>
      <c r="AE171" t="s">
        <v>74</v>
      </c>
      <c r="AF171" t="s">
        <v>74</v>
      </c>
      <c r="AG171">
        <v>14</v>
      </c>
      <c r="AH171">
        <v>0</v>
      </c>
      <c r="AI171">
        <v>0</v>
      </c>
      <c r="AJ171">
        <v>0</v>
      </c>
      <c r="AK171">
        <v>0</v>
      </c>
      <c r="AL171" t="s">
        <v>3290</v>
      </c>
      <c r="AM171" t="s">
        <v>3291</v>
      </c>
      <c r="AN171" t="s">
        <v>3292</v>
      </c>
      <c r="AO171" t="s">
        <v>3293</v>
      </c>
      <c r="AP171" t="s">
        <v>3294</v>
      </c>
      <c r="AQ171" t="s">
        <v>74</v>
      </c>
      <c r="AR171" t="s">
        <v>3284</v>
      </c>
      <c r="AS171" t="s">
        <v>3295</v>
      </c>
      <c r="AT171" t="s">
        <v>74</v>
      </c>
      <c r="AU171">
        <v>2012</v>
      </c>
      <c r="AV171" t="s">
        <v>74</v>
      </c>
      <c r="AW171">
        <v>12</v>
      </c>
      <c r="AX171" t="s">
        <v>74</v>
      </c>
      <c r="AY171" t="s">
        <v>74</v>
      </c>
      <c r="AZ171" t="s">
        <v>74</v>
      </c>
      <c r="BA171" t="s">
        <v>74</v>
      </c>
      <c r="BB171">
        <v>54</v>
      </c>
      <c r="BC171">
        <v>57</v>
      </c>
      <c r="BD171" t="s">
        <v>74</v>
      </c>
      <c r="BE171" t="s">
        <v>74</v>
      </c>
      <c r="BF171" t="s">
        <v>74</v>
      </c>
      <c r="BG171" t="s">
        <v>74</v>
      </c>
      <c r="BH171" t="s">
        <v>74</v>
      </c>
      <c r="BI171">
        <v>4</v>
      </c>
      <c r="BJ171" t="s">
        <v>164</v>
      </c>
      <c r="BK171" t="s">
        <v>1158</v>
      </c>
      <c r="BL171" t="s">
        <v>164</v>
      </c>
      <c r="BM171" t="s">
        <v>3296</v>
      </c>
      <c r="BN171" t="s">
        <v>74</v>
      </c>
      <c r="BO171" t="s">
        <v>74</v>
      </c>
      <c r="BP171" t="s">
        <v>74</v>
      </c>
      <c r="BQ171" t="s">
        <v>74</v>
      </c>
      <c r="BR171" t="s">
        <v>102</v>
      </c>
      <c r="BS171" t="s">
        <v>3303</v>
      </c>
      <c r="BT171" t="str">
        <f>HYPERLINK("https%3A%2F%2Fwww.webofscience.com%2Fwos%2Fwoscc%2Ffull-record%2FWOS:000442273300006","View Full Record in Web of Science")</f>
        <v>View Full Record in Web of Science</v>
      </c>
    </row>
    <row r="172" spans="1:72" x14ac:dyDescent="0.15">
      <c r="A172" t="s">
        <v>72</v>
      </c>
      <c r="B172" t="s">
        <v>3304</v>
      </c>
      <c r="C172" t="s">
        <v>74</v>
      </c>
      <c r="D172" t="s">
        <v>74</v>
      </c>
      <c r="E172" t="s">
        <v>74</v>
      </c>
      <c r="F172" t="s">
        <v>3305</v>
      </c>
      <c r="G172" t="s">
        <v>74</v>
      </c>
      <c r="H172" t="s">
        <v>74</v>
      </c>
      <c r="I172" t="s">
        <v>3306</v>
      </c>
      <c r="J172" t="s">
        <v>3284</v>
      </c>
      <c r="K172" t="s">
        <v>74</v>
      </c>
      <c r="L172" t="s">
        <v>74</v>
      </c>
      <c r="M172" t="s">
        <v>3285</v>
      </c>
      <c r="N172" t="s">
        <v>79</v>
      </c>
      <c r="O172" t="s">
        <v>74</v>
      </c>
      <c r="P172" t="s">
        <v>74</v>
      </c>
      <c r="Q172" t="s">
        <v>74</v>
      </c>
      <c r="R172" t="s">
        <v>74</v>
      </c>
      <c r="S172" t="s">
        <v>74</v>
      </c>
      <c r="T172" t="s">
        <v>3307</v>
      </c>
      <c r="U172" t="s">
        <v>74</v>
      </c>
      <c r="V172" t="s">
        <v>3308</v>
      </c>
      <c r="W172" t="s">
        <v>3309</v>
      </c>
      <c r="X172" t="s">
        <v>3310</v>
      </c>
      <c r="Y172" t="s">
        <v>3311</v>
      </c>
      <c r="Z172" t="s">
        <v>74</v>
      </c>
      <c r="AA172" t="s">
        <v>3312</v>
      </c>
      <c r="AB172" t="s">
        <v>74</v>
      </c>
      <c r="AC172" t="s">
        <v>74</v>
      </c>
      <c r="AD172" t="s">
        <v>74</v>
      </c>
      <c r="AE172" t="s">
        <v>74</v>
      </c>
      <c r="AF172" t="s">
        <v>74</v>
      </c>
      <c r="AG172">
        <v>9</v>
      </c>
      <c r="AH172">
        <v>0</v>
      </c>
      <c r="AI172">
        <v>0</v>
      </c>
      <c r="AJ172">
        <v>0</v>
      </c>
      <c r="AK172">
        <v>0</v>
      </c>
      <c r="AL172" t="s">
        <v>3290</v>
      </c>
      <c r="AM172" t="s">
        <v>3291</v>
      </c>
      <c r="AN172" t="s">
        <v>3292</v>
      </c>
      <c r="AO172" t="s">
        <v>3293</v>
      </c>
      <c r="AP172" t="s">
        <v>3294</v>
      </c>
      <c r="AQ172" t="s">
        <v>74</v>
      </c>
      <c r="AR172" t="s">
        <v>3284</v>
      </c>
      <c r="AS172" t="s">
        <v>3295</v>
      </c>
      <c r="AT172" t="s">
        <v>74</v>
      </c>
      <c r="AU172">
        <v>2012</v>
      </c>
      <c r="AV172" t="s">
        <v>74</v>
      </c>
      <c r="AW172">
        <v>13</v>
      </c>
      <c r="AX172" t="s">
        <v>74</v>
      </c>
      <c r="AY172" t="s">
        <v>74</v>
      </c>
      <c r="AZ172" t="s">
        <v>74</v>
      </c>
      <c r="BA172" t="s">
        <v>74</v>
      </c>
      <c r="BB172">
        <v>74</v>
      </c>
      <c r="BC172">
        <v>83</v>
      </c>
      <c r="BD172" t="s">
        <v>74</v>
      </c>
      <c r="BE172" t="s">
        <v>74</v>
      </c>
      <c r="BF172" t="s">
        <v>74</v>
      </c>
      <c r="BG172" t="s">
        <v>74</v>
      </c>
      <c r="BH172" t="s">
        <v>74</v>
      </c>
      <c r="BI172">
        <v>10</v>
      </c>
      <c r="BJ172" t="s">
        <v>164</v>
      </c>
      <c r="BK172" t="s">
        <v>1158</v>
      </c>
      <c r="BL172" t="s">
        <v>164</v>
      </c>
      <c r="BM172" t="s">
        <v>3313</v>
      </c>
      <c r="BN172" t="s">
        <v>74</v>
      </c>
      <c r="BO172" t="s">
        <v>74</v>
      </c>
      <c r="BP172" t="s">
        <v>74</v>
      </c>
      <c r="BQ172" t="s">
        <v>74</v>
      </c>
      <c r="BR172" t="s">
        <v>102</v>
      </c>
      <c r="BS172" t="s">
        <v>3314</v>
      </c>
      <c r="BT172" t="str">
        <f>HYPERLINK("https%3A%2F%2Fwww.webofscience.com%2Fwos%2Fwoscc%2Ffull-record%2FWOS:000442276200011","View Full Record in Web of Science")</f>
        <v>View Full Record in Web of Science</v>
      </c>
    </row>
    <row r="173" spans="1:72" x14ac:dyDescent="0.15">
      <c r="A173" t="s">
        <v>72</v>
      </c>
      <c r="B173" t="s">
        <v>3315</v>
      </c>
      <c r="C173" t="s">
        <v>74</v>
      </c>
      <c r="D173" t="s">
        <v>74</v>
      </c>
      <c r="E173" t="s">
        <v>74</v>
      </c>
      <c r="F173" t="s">
        <v>3316</v>
      </c>
      <c r="G173" t="s">
        <v>74</v>
      </c>
      <c r="H173" t="s">
        <v>74</v>
      </c>
      <c r="I173" t="s">
        <v>3317</v>
      </c>
      <c r="J173" t="s">
        <v>3318</v>
      </c>
      <c r="K173" t="s">
        <v>74</v>
      </c>
      <c r="L173" t="s">
        <v>74</v>
      </c>
      <c r="M173" t="s">
        <v>3285</v>
      </c>
      <c r="N173" t="s">
        <v>79</v>
      </c>
      <c r="O173" t="s">
        <v>74</v>
      </c>
      <c r="P173" t="s">
        <v>74</v>
      </c>
      <c r="Q173" t="s">
        <v>74</v>
      </c>
      <c r="R173" t="s">
        <v>74</v>
      </c>
      <c r="S173" t="s">
        <v>74</v>
      </c>
      <c r="T173" t="s">
        <v>3319</v>
      </c>
      <c r="U173" t="s">
        <v>3320</v>
      </c>
      <c r="V173" t="s">
        <v>3321</v>
      </c>
      <c r="W173" t="s">
        <v>3322</v>
      </c>
      <c r="X173" t="s">
        <v>3323</v>
      </c>
      <c r="Y173" t="s">
        <v>3324</v>
      </c>
      <c r="Z173" t="s">
        <v>3325</v>
      </c>
      <c r="AA173" t="s">
        <v>74</v>
      </c>
      <c r="AB173" t="s">
        <v>74</v>
      </c>
      <c r="AC173" t="s">
        <v>74</v>
      </c>
      <c r="AD173" t="s">
        <v>74</v>
      </c>
      <c r="AE173" t="s">
        <v>74</v>
      </c>
      <c r="AF173" t="s">
        <v>74</v>
      </c>
      <c r="AG173">
        <v>81</v>
      </c>
      <c r="AH173">
        <v>4</v>
      </c>
      <c r="AI173">
        <v>6</v>
      </c>
      <c r="AJ173">
        <v>0</v>
      </c>
      <c r="AK173">
        <v>0</v>
      </c>
      <c r="AL173" t="s">
        <v>3326</v>
      </c>
      <c r="AM173" t="s">
        <v>3327</v>
      </c>
      <c r="AN173" t="s">
        <v>3328</v>
      </c>
      <c r="AO173" t="s">
        <v>3329</v>
      </c>
      <c r="AP173" t="s">
        <v>74</v>
      </c>
      <c r="AQ173" t="s">
        <v>74</v>
      </c>
      <c r="AR173" t="s">
        <v>3330</v>
      </c>
      <c r="AS173" t="s">
        <v>3331</v>
      </c>
      <c r="AT173" t="s">
        <v>74</v>
      </c>
      <c r="AU173">
        <v>2012</v>
      </c>
      <c r="AV173">
        <v>3</v>
      </c>
      <c r="AW173">
        <v>1</v>
      </c>
      <c r="AX173" t="s">
        <v>74</v>
      </c>
      <c r="AY173" t="s">
        <v>74</v>
      </c>
      <c r="AZ173" t="s">
        <v>74</v>
      </c>
      <c r="BA173" t="s">
        <v>74</v>
      </c>
      <c r="BB173">
        <v>27</v>
      </c>
      <c r="BC173">
        <v>54</v>
      </c>
      <c r="BD173" t="s">
        <v>74</v>
      </c>
      <c r="BE173" t="s">
        <v>3332</v>
      </c>
      <c r="BF173" t="str">
        <f>HYPERLINK("http://dx.doi.org/10.5800/GT-2012-3-1-0060","http://dx.doi.org/10.5800/GT-2012-3-1-0060")</f>
        <v>http://dx.doi.org/10.5800/GT-2012-3-1-0060</v>
      </c>
      <c r="BG173" t="s">
        <v>74</v>
      </c>
      <c r="BH173" t="s">
        <v>74</v>
      </c>
      <c r="BI173">
        <v>28</v>
      </c>
      <c r="BJ173" t="s">
        <v>164</v>
      </c>
      <c r="BK173" t="s">
        <v>1158</v>
      </c>
      <c r="BL173" t="s">
        <v>164</v>
      </c>
      <c r="BM173" t="s">
        <v>3333</v>
      </c>
      <c r="BN173" t="s">
        <v>74</v>
      </c>
      <c r="BO173" t="s">
        <v>623</v>
      </c>
      <c r="BP173" t="s">
        <v>74</v>
      </c>
      <c r="BQ173" t="s">
        <v>74</v>
      </c>
      <c r="BR173" t="s">
        <v>102</v>
      </c>
      <c r="BS173" t="s">
        <v>3334</v>
      </c>
      <c r="BT173" t="str">
        <f>HYPERLINK("https%3A%2F%2Fwww.webofscience.com%2Fwos%2Fwoscc%2Ffull-record%2FWOS:000409677700003","View Full Record in Web of Science")</f>
        <v>View Full Record in Web of Science</v>
      </c>
    </row>
    <row r="174" spans="1:72" x14ac:dyDescent="0.15">
      <c r="A174" t="s">
        <v>72</v>
      </c>
      <c r="B174" t="s">
        <v>3335</v>
      </c>
      <c r="C174" t="s">
        <v>74</v>
      </c>
      <c r="D174" t="s">
        <v>74</v>
      </c>
      <c r="E174" t="s">
        <v>74</v>
      </c>
      <c r="F174" t="s">
        <v>3336</v>
      </c>
      <c r="G174" t="s">
        <v>74</v>
      </c>
      <c r="H174" t="s">
        <v>74</v>
      </c>
      <c r="I174" t="s">
        <v>3337</v>
      </c>
      <c r="J174" t="s">
        <v>3338</v>
      </c>
      <c r="K174" t="s">
        <v>74</v>
      </c>
      <c r="L174" t="s">
        <v>74</v>
      </c>
      <c r="M174" t="s">
        <v>3285</v>
      </c>
      <c r="N174" t="s">
        <v>79</v>
      </c>
      <c r="O174" t="s">
        <v>74</v>
      </c>
      <c r="P174" t="s">
        <v>74</v>
      </c>
      <c r="Q174" t="s">
        <v>74</v>
      </c>
      <c r="R174" t="s">
        <v>74</v>
      </c>
      <c r="S174" t="s">
        <v>74</v>
      </c>
      <c r="T174" t="s">
        <v>74</v>
      </c>
      <c r="U174" t="s">
        <v>74</v>
      </c>
      <c r="V174" t="s">
        <v>3339</v>
      </c>
      <c r="W174" t="s">
        <v>74</v>
      </c>
      <c r="X174" t="s">
        <v>74</v>
      </c>
      <c r="Y174" t="s">
        <v>74</v>
      </c>
      <c r="Z174" t="s">
        <v>74</v>
      </c>
      <c r="AA174" t="s">
        <v>74</v>
      </c>
      <c r="AB174" t="s">
        <v>74</v>
      </c>
      <c r="AC174" t="s">
        <v>74</v>
      </c>
      <c r="AD174" t="s">
        <v>74</v>
      </c>
      <c r="AE174" t="s">
        <v>74</v>
      </c>
      <c r="AF174" t="s">
        <v>74</v>
      </c>
      <c r="AG174">
        <v>41</v>
      </c>
      <c r="AH174">
        <v>1</v>
      </c>
      <c r="AI174">
        <v>1</v>
      </c>
      <c r="AJ174">
        <v>0</v>
      </c>
      <c r="AK174">
        <v>0</v>
      </c>
      <c r="AL174" t="s">
        <v>3340</v>
      </c>
      <c r="AM174" t="s">
        <v>3341</v>
      </c>
      <c r="AN174" t="s">
        <v>3342</v>
      </c>
      <c r="AO174" t="s">
        <v>3343</v>
      </c>
      <c r="AP174" t="s">
        <v>3344</v>
      </c>
      <c r="AQ174" t="s">
        <v>74</v>
      </c>
      <c r="AR174" t="s">
        <v>3345</v>
      </c>
      <c r="AS174" t="s">
        <v>3346</v>
      </c>
      <c r="AT174" t="s">
        <v>74</v>
      </c>
      <c r="AU174">
        <v>2012</v>
      </c>
      <c r="AV174">
        <v>34</v>
      </c>
      <c r="AW174">
        <v>3</v>
      </c>
      <c r="AX174" t="s">
        <v>74</v>
      </c>
      <c r="AY174" t="s">
        <v>74</v>
      </c>
      <c r="AZ174" t="s">
        <v>74</v>
      </c>
      <c r="BA174" t="s">
        <v>74</v>
      </c>
      <c r="BB174">
        <v>61</v>
      </c>
      <c r="BC174">
        <v>75</v>
      </c>
      <c r="BD174" t="s">
        <v>74</v>
      </c>
      <c r="BE174" t="s">
        <v>74</v>
      </c>
      <c r="BF174" t="s">
        <v>74</v>
      </c>
      <c r="BG174" t="s">
        <v>74</v>
      </c>
      <c r="BH174" t="s">
        <v>74</v>
      </c>
      <c r="BI174">
        <v>15</v>
      </c>
      <c r="BJ174" t="s">
        <v>164</v>
      </c>
      <c r="BK174" t="s">
        <v>1158</v>
      </c>
      <c r="BL174" t="s">
        <v>164</v>
      </c>
      <c r="BM174" t="s">
        <v>3347</v>
      </c>
      <c r="BN174" t="s">
        <v>74</v>
      </c>
      <c r="BO174" t="s">
        <v>74</v>
      </c>
      <c r="BP174" t="s">
        <v>74</v>
      </c>
      <c r="BQ174" t="s">
        <v>74</v>
      </c>
      <c r="BR174" t="s">
        <v>102</v>
      </c>
      <c r="BS174" t="s">
        <v>3348</v>
      </c>
      <c r="BT174" t="str">
        <f>HYPERLINK("https%3A%2F%2Fwww.webofscience.com%2Fwos%2Fwoscc%2Ffull-record%2FWOS:000439613400005","View Full Record in Web of Science")</f>
        <v>View Full Record in Web of Science</v>
      </c>
    </row>
    <row r="175" spans="1:72" x14ac:dyDescent="0.15">
      <c r="A175" t="s">
        <v>72</v>
      </c>
      <c r="B175" t="s">
        <v>3349</v>
      </c>
      <c r="C175" t="s">
        <v>74</v>
      </c>
      <c r="D175" t="s">
        <v>74</v>
      </c>
      <c r="E175" t="s">
        <v>74</v>
      </c>
      <c r="F175" t="s">
        <v>3350</v>
      </c>
      <c r="G175" t="s">
        <v>74</v>
      </c>
      <c r="H175" t="s">
        <v>74</v>
      </c>
      <c r="I175" t="s">
        <v>3351</v>
      </c>
      <c r="J175" t="s">
        <v>3338</v>
      </c>
      <c r="K175" t="s">
        <v>74</v>
      </c>
      <c r="L175" t="s">
        <v>74</v>
      </c>
      <c r="M175" t="s">
        <v>3285</v>
      </c>
      <c r="N175" t="s">
        <v>79</v>
      </c>
      <c r="O175" t="s">
        <v>74</v>
      </c>
      <c r="P175" t="s">
        <v>74</v>
      </c>
      <c r="Q175" t="s">
        <v>74</v>
      </c>
      <c r="R175" t="s">
        <v>74</v>
      </c>
      <c r="S175" t="s">
        <v>74</v>
      </c>
      <c r="T175" t="s">
        <v>74</v>
      </c>
      <c r="U175" t="s">
        <v>3352</v>
      </c>
      <c r="V175" t="s">
        <v>3353</v>
      </c>
      <c r="W175" t="s">
        <v>3354</v>
      </c>
      <c r="X175" t="s">
        <v>3355</v>
      </c>
      <c r="Y175" t="s">
        <v>3356</v>
      </c>
      <c r="Z175" t="s">
        <v>74</v>
      </c>
      <c r="AA175" t="s">
        <v>74</v>
      </c>
      <c r="AB175" t="s">
        <v>74</v>
      </c>
      <c r="AC175" t="s">
        <v>74</v>
      </c>
      <c r="AD175" t="s">
        <v>74</v>
      </c>
      <c r="AE175" t="s">
        <v>74</v>
      </c>
      <c r="AF175" t="s">
        <v>74</v>
      </c>
      <c r="AG175">
        <v>36</v>
      </c>
      <c r="AH175">
        <v>1</v>
      </c>
      <c r="AI175">
        <v>1</v>
      </c>
      <c r="AJ175">
        <v>0</v>
      </c>
      <c r="AK175">
        <v>0</v>
      </c>
      <c r="AL175" t="s">
        <v>3340</v>
      </c>
      <c r="AM175" t="s">
        <v>3341</v>
      </c>
      <c r="AN175" t="s">
        <v>3342</v>
      </c>
      <c r="AO175" t="s">
        <v>3343</v>
      </c>
      <c r="AP175" t="s">
        <v>3344</v>
      </c>
      <c r="AQ175" t="s">
        <v>74</v>
      </c>
      <c r="AR175" t="s">
        <v>3345</v>
      </c>
      <c r="AS175" t="s">
        <v>3346</v>
      </c>
      <c r="AT175" t="s">
        <v>74</v>
      </c>
      <c r="AU175">
        <v>2012</v>
      </c>
      <c r="AV175">
        <v>34</v>
      </c>
      <c r="AW175">
        <v>5</v>
      </c>
      <c r="AX175" t="s">
        <v>74</v>
      </c>
      <c r="AY175" t="s">
        <v>74</v>
      </c>
      <c r="AZ175" t="s">
        <v>74</v>
      </c>
      <c r="BA175" t="s">
        <v>74</v>
      </c>
      <c r="BB175">
        <v>72</v>
      </c>
      <c r="BC175">
        <v>86</v>
      </c>
      <c r="BD175" t="s">
        <v>74</v>
      </c>
      <c r="BE175" t="s">
        <v>74</v>
      </c>
      <c r="BF175" t="s">
        <v>74</v>
      </c>
      <c r="BG175" t="s">
        <v>74</v>
      </c>
      <c r="BH175" t="s">
        <v>74</v>
      </c>
      <c r="BI175">
        <v>15</v>
      </c>
      <c r="BJ175" t="s">
        <v>164</v>
      </c>
      <c r="BK175" t="s">
        <v>1158</v>
      </c>
      <c r="BL175" t="s">
        <v>164</v>
      </c>
      <c r="BM175" t="s">
        <v>3357</v>
      </c>
      <c r="BN175" t="s">
        <v>74</v>
      </c>
      <c r="BO175" t="s">
        <v>74</v>
      </c>
      <c r="BP175" t="s">
        <v>74</v>
      </c>
      <c r="BQ175" t="s">
        <v>74</v>
      </c>
      <c r="BR175" t="s">
        <v>102</v>
      </c>
      <c r="BS175" t="s">
        <v>3358</v>
      </c>
      <c r="BT175" t="str">
        <f>HYPERLINK("https%3A%2F%2Fwww.webofscience.com%2Fwos%2Fwoscc%2Ffull-record%2FWOS:000439616300005","View Full Record in Web of Science")</f>
        <v>View Full Record in Web of Science</v>
      </c>
    </row>
    <row r="176" spans="1:72" x14ac:dyDescent="0.15">
      <c r="A176" t="s">
        <v>72</v>
      </c>
      <c r="B176" t="s">
        <v>3349</v>
      </c>
      <c r="C176" t="s">
        <v>74</v>
      </c>
      <c r="D176" t="s">
        <v>74</v>
      </c>
      <c r="E176" t="s">
        <v>74</v>
      </c>
      <c r="F176" t="s">
        <v>3359</v>
      </c>
      <c r="G176" t="s">
        <v>74</v>
      </c>
      <c r="H176" t="s">
        <v>74</v>
      </c>
      <c r="I176" t="s">
        <v>3360</v>
      </c>
      <c r="J176" t="s">
        <v>3338</v>
      </c>
      <c r="K176" t="s">
        <v>74</v>
      </c>
      <c r="L176" t="s">
        <v>74</v>
      </c>
      <c r="M176" t="s">
        <v>3285</v>
      </c>
      <c r="N176" t="s">
        <v>79</v>
      </c>
      <c r="O176" t="s">
        <v>74</v>
      </c>
      <c r="P176" t="s">
        <v>74</v>
      </c>
      <c r="Q176" t="s">
        <v>74</v>
      </c>
      <c r="R176" t="s">
        <v>74</v>
      </c>
      <c r="S176" t="s">
        <v>74</v>
      </c>
      <c r="T176" t="s">
        <v>74</v>
      </c>
      <c r="U176" t="s">
        <v>74</v>
      </c>
      <c r="V176" t="s">
        <v>3361</v>
      </c>
      <c r="W176" t="s">
        <v>74</v>
      </c>
      <c r="X176" t="s">
        <v>74</v>
      </c>
      <c r="Y176" t="s">
        <v>74</v>
      </c>
      <c r="Z176" t="s">
        <v>74</v>
      </c>
      <c r="AA176" t="s">
        <v>74</v>
      </c>
      <c r="AB176" t="s">
        <v>74</v>
      </c>
      <c r="AC176" t="s">
        <v>74</v>
      </c>
      <c r="AD176" t="s">
        <v>74</v>
      </c>
      <c r="AE176" t="s">
        <v>74</v>
      </c>
      <c r="AF176" t="s">
        <v>74</v>
      </c>
      <c r="AG176">
        <v>18</v>
      </c>
      <c r="AH176">
        <v>2</v>
      </c>
      <c r="AI176">
        <v>2</v>
      </c>
      <c r="AJ176">
        <v>0</v>
      </c>
      <c r="AK176">
        <v>0</v>
      </c>
      <c r="AL176" t="s">
        <v>3340</v>
      </c>
      <c r="AM176" t="s">
        <v>3341</v>
      </c>
      <c r="AN176" t="s">
        <v>3342</v>
      </c>
      <c r="AO176" t="s">
        <v>3343</v>
      </c>
      <c r="AP176" t="s">
        <v>3344</v>
      </c>
      <c r="AQ176" t="s">
        <v>74</v>
      </c>
      <c r="AR176" t="s">
        <v>3345</v>
      </c>
      <c r="AS176" t="s">
        <v>3346</v>
      </c>
      <c r="AT176" t="s">
        <v>74</v>
      </c>
      <c r="AU176">
        <v>2012</v>
      </c>
      <c r="AV176">
        <v>34</v>
      </c>
      <c r="AW176">
        <v>2</v>
      </c>
      <c r="AX176" t="s">
        <v>74</v>
      </c>
      <c r="AY176" t="s">
        <v>74</v>
      </c>
      <c r="AZ176" t="s">
        <v>74</v>
      </c>
      <c r="BA176" t="s">
        <v>74</v>
      </c>
      <c r="BB176">
        <v>82</v>
      </c>
      <c r="BC176">
        <v>92</v>
      </c>
      <c r="BD176" t="s">
        <v>74</v>
      </c>
      <c r="BE176" t="s">
        <v>74</v>
      </c>
      <c r="BF176" t="s">
        <v>74</v>
      </c>
      <c r="BG176" t="s">
        <v>74</v>
      </c>
      <c r="BH176" t="s">
        <v>74</v>
      </c>
      <c r="BI176">
        <v>11</v>
      </c>
      <c r="BJ176" t="s">
        <v>164</v>
      </c>
      <c r="BK176" t="s">
        <v>1158</v>
      </c>
      <c r="BL176" t="s">
        <v>164</v>
      </c>
      <c r="BM176" t="s">
        <v>3362</v>
      </c>
      <c r="BN176" t="s">
        <v>74</v>
      </c>
      <c r="BO176" t="s">
        <v>74</v>
      </c>
      <c r="BP176" t="s">
        <v>74</v>
      </c>
      <c r="BQ176" t="s">
        <v>74</v>
      </c>
      <c r="BR176" t="s">
        <v>102</v>
      </c>
      <c r="BS176" t="s">
        <v>3363</v>
      </c>
      <c r="BT176" t="str">
        <f>HYPERLINK("https%3A%2F%2Fwww.webofscience.com%2Fwos%2Fwoscc%2Ffull-record%2FWOS:000439611300007","View Full Record in Web of Science")</f>
        <v>View Full Record in Web of Science</v>
      </c>
    </row>
    <row r="177" spans="1:72" x14ac:dyDescent="0.15">
      <c r="A177" t="s">
        <v>72</v>
      </c>
      <c r="B177" t="s">
        <v>3364</v>
      </c>
      <c r="C177" t="s">
        <v>74</v>
      </c>
      <c r="D177" t="s">
        <v>74</v>
      </c>
      <c r="E177" t="s">
        <v>74</v>
      </c>
      <c r="F177" t="s">
        <v>3365</v>
      </c>
      <c r="G177" t="s">
        <v>74</v>
      </c>
      <c r="H177" t="s">
        <v>74</v>
      </c>
      <c r="I177" t="s">
        <v>3366</v>
      </c>
      <c r="J177" t="s">
        <v>3367</v>
      </c>
      <c r="K177" t="s">
        <v>74</v>
      </c>
      <c r="L177" t="s">
        <v>74</v>
      </c>
      <c r="M177" t="s">
        <v>78</v>
      </c>
      <c r="N177" t="s">
        <v>79</v>
      </c>
      <c r="O177" t="s">
        <v>74</v>
      </c>
      <c r="P177" t="s">
        <v>74</v>
      </c>
      <c r="Q177" t="s">
        <v>74</v>
      </c>
      <c r="R177" t="s">
        <v>74</v>
      </c>
      <c r="S177" t="s">
        <v>74</v>
      </c>
      <c r="T177" t="s">
        <v>3368</v>
      </c>
      <c r="U177" t="s">
        <v>3369</v>
      </c>
      <c r="V177" t="s">
        <v>3370</v>
      </c>
      <c r="W177" t="s">
        <v>3371</v>
      </c>
      <c r="X177" t="s">
        <v>3372</v>
      </c>
      <c r="Y177" t="s">
        <v>3373</v>
      </c>
      <c r="Z177" t="s">
        <v>3374</v>
      </c>
      <c r="AA177" t="s">
        <v>3375</v>
      </c>
      <c r="AB177" t="s">
        <v>3376</v>
      </c>
      <c r="AC177" t="s">
        <v>3377</v>
      </c>
      <c r="AD177" t="s">
        <v>74</v>
      </c>
      <c r="AE177" t="s">
        <v>3378</v>
      </c>
      <c r="AF177" t="s">
        <v>74</v>
      </c>
      <c r="AG177">
        <v>81</v>
      </c>
      <c r="AH177">
        <v>20</v>
      </c>
      <c r="AI177">
        <v>21</v>
      </c>
      <c r="AJ177">
        <v>0</v>
      </c>
      <c r="AK177">
        <v>25</v>
      </c>
      <c r="AL177" t="s">
        <v>1150</v>
      </c>
      <c r="AM177" t="s">
        <v>1151</v>
      </c>
      <c r="AN177" t="s">
        <v>1152</v>
      </c>
      <c r="AO177" t="s">
        <v>3379</v>
      </c>
      <c r="AP177" t="s">
        <v>3380</v>
      </c>
      <c r="AQ177" t="s">
        <v>74</v>
      </c>
      <c r="AR177" t="s">
        <v>3381</v>
      </c>
      <c r="AS177" t="s">
        <v>3382</v>
      </c>
      <c r="AT177" t="s">
        <v>74</v>
      </c>
      <c r="AU177">
        <v>2012</v>
      </c>
      <c r="AV177" t="s">
        <v>3383</v>
      </c>
      <c r="AW177">
        <v>3</v>
      </c>
      <c r="AX177" t="s">
        <v>74</v>
      </c>
      <c r="AY177" t="s">
        <v>74</v>
      </c>
      <c r="AZ177" t="s">
        <v>74</v>
      </c>
      <c r="BA177" t="s">
        <v>74</v>
      </c>
      <c r="BB177">
        <v>395</v>
      </c>
      <c r="BC177">
        <v>412</v>
      </c>
      <c r="BD177" t="s">
        <v>74</v>
      </c>
      <c r="BE177" t="s">
        <v>3384</v>
      </c>
      <c r="BF177" t="str">
        <f>HYPERLINK("http://dx.doi.org/10.1111/j.1468-0459.2012.00460.x","http://dx.doi.org/10.1111/j.1468-0459.2012.00460.x")</f>
        <v>http://dx.doi.org/10.1111/j.1468-0459.2012.00460.x</v>
      </c>
      <c r="BG177" t="s">
        <v>74</v>
      </c>
      <c r="BH177" t="s">
        <v>74</v>
      </c>
      <c r="BI177">
        <v>18</v>
      </c>
      <c r="BJ177" t="s">
        <v>3385</v>
      </c>
      <c r="BK177" t="s">
        <v>100</v>
      </c>
      <c r="BL177" t="s">
        <v>227</v>
      </c>
      <c r="BM177" t="s">
        <v>3386</v>
      </c>
      <c r="BN177" t="s">
        <v>74</v>
      </c>
      <c r="BO177" t="s">
        <v>74</v>
      </c>
      <c r="BP177" t="s">
        <v>74</v>
      </c>
      <c r="BQ177" t="s">
        <v>74</v>
      </c>
      <c r="BR177" t="s">
        <v>102</v>
      </c>
      <c r="BS177" t="s">
        <v>3387</v>
      </c>
      <c r="BT177" t="str">
        <f>HYPERLINK("https%3A%2F%2Fwww.webofscience.com%2Fwos%2Fwoscc%2Ffull-record%2FWOS:000307898000008","View Full Record in Web of Science")</f>
        <v>View Full Record in Web of Science</v>
      </c>
    </row>
    <row r="178" spans="1:72" x14ac:dyDescent="0.15">
      <c r="A178" t="s">
        <v>72</v>
      </c>
      <c r="B178" t="s">
        <v>3388</v>
      </c>
      <c r="C178" t="s">
        <v>74</v>
      </c>
      <c r="D178" t="s">
        <v>74</v>
      </c>
      <c r="E178" t="s">
        <v>74</v>
      </c>
      <c r="F178" t="s">
        <v>3389</v>
      </c>
      <c r="G178" t="s">
        <v>74</v>
      </c>
      <c r="H178" t="s">
        <v>74</v>
      </c>
      <c r="I178" t="s">
        <v>3390</v>
      </c>
      <c r="J178" t="s">
        <v>3391</v>
      </c>
      <c r="K178" t="s">
        <v>74</v>
      </c>
      <c r="L178" t="s">
        <v>74</v>
      </c>
      <c r="M178" t="s">
        <v>78</v>
      </c>
      <c r="N178" t="s">
        <v>79</v>
      </c>
      <c r="O178" t="s">
        <v>74</v>
      </c>
      <c r="P178" t="s">
        <v>74</v>
      </c>
      <c r="Q178" t="s">
        <v>74</v>
      </c>
      <c r="R178" t="s">
        <v>74</v>
      </c>
      <c r="S178" t="s">
        <v>74</v>
      </c>
      <c r="T178" t="s">
        <v>74</v>
      </c>
      <c r="U178" t="s">
        <v>3392</v>
      </c>
      <c r="V178" t="s">
        <v>3393</v>
      </c>
      <c r="W178" t="s">
        <v>3394</v>
      </c>
      <c r="X178" t="s">
        <v>3395</v>
      </c>
      <c r="Y178" t="s">
        <v>3396</v>
      </c>
      <c r="Z178" t="s">
        <v>3397</v>
      </c>
      <c r="AA178" t="s">
        <v>3398</v>
      </c>
      <c r="AB178" t="s">
        <v>3399</v>
      </c>
      <c r="AC178" t="s">
        <v>74</v>
      </c>
      <c r="AD178" t="s">
        <v>74</v>
      </c>
      <c r="AE178" t="s">
        <v>74</v>
      </c>
      <c r="AF178" t="s">
        <v>74</v>
      </c>
      <c r="AG178">
        <v>68</v>
      </c>
      <c r="AH178">
        <v>390</v>
      </c>
      <c r="AI178">
        <v>406</v>
      </c>
      <c r="AJ178">
        <v>3</v>
      </c>
      <c r="AK178">
        <v>76</v>
      </c>
      <c r="AL178" t="s">
        <v>766</v>
      </c>
      <c r="AM178" t="s">
        <v>767</v>
      </c>
      <c r="AN178" t="s">
        <v>768</v>
      </c>
      <c r="AO178" t="s">
        <v>3400</v>
      </c>
      <c r="AP178" t="s">
        <v>3401</v>
      </c>
      <c r="AQ178" t="s">
        <v>74</v>
      </c>
      <c r="AR178" t="s">
        <v>3402</v>
      </c>
      <c r="AS178" t="s">
        <v>3403</v>
      </c>
      <c r="AT178" t="s">
        <v>74</v>
      </c>
      <c r="AU178">
        <v>2012</v>
      </c>
      <c r="AV178">
        <v>5</v>
      </c>
      <c r="AW178">
        <v>3</v>
      </c>
      <c r="AX178" t="s">
        <v>74</v>
      </c>
      <c r="AY178" t="s">
        <v>74</v>
      </c>
      <c r="AZ178" t="s">
        <v>74</v>
      </c>
      <c r="BA178" t="s">
        <v>74</v>
      </c>
      <c r="BB178">
        <v>773</v>
      </c>
      <c r="BC178">
        <v>791</v>
      </c>
      <c r="BD178" t="s">
        <v>74</v>
      </c>
      <c r="BE178" t="s">
        <v>3404</v>
      </c>
      <c r="BF178" t="str">
        <f>HYPERLINK("http://dx.doi.org/10.5194/gmd-5-773-2012","http://dx.doi.org/10.5194/gmd-5-773-2012")</f>
        <v>http://dx.doi.org/10.5194/gmd-5-773-2012</v>
      </c>
      <c r="BG178" t="s">
        <v>74</v>
      </c>
      <c r="BH178" t="s">
        <v>74</v>
      </c>
      <c r="BI178">
        <v>19</v>
      </c>
      <c r="BJ178" t="s">
        <v>287</v>
      </c>
      <c r="BK178" t="s">
        <v>100</v>
      </c>
      <c r="BL178" t="s">
        <v>288</v>
      </c>
      <c r="BM178" t="s">
        <v>3405</v>
      </c>
      <c r="BN178" t="s">
        <v>74</v>
      </c>
      <c r="BO178" t="s">
        <v>1108</v>
      </c>
      <c r="BP178" t="s">
        <v>74</v>
      </c>
      <c r="BQ178" t="s">
        <v>74</v>
      </c>
      <c r="BR178" t="s">
        <v>102</v>
      </c>
      <c r="BS178" t="s">
        <v>3406</v>
      </c>
      <c r="BT178" t="str">
        <f>HYPERLINK("https%3A%2F%2Fwww.webofscience.com%2Fwos%2Fwoscc%2Ffull-record%2FWOS:000305964700004","View Full Record in Web of Science")</f>
        <v>View Full Record in Web of Science</v>
      </c>
    </row>
    <row r="179" spans="1:72" x14ac:dyDescent="0.15">
      <c r="A179" t="s">
        <v>72</v>
      </c>
      <c r="B179" t="s">
        <v>3407</v>
      </c>
      <c r="C179" t="s">
        <v>74</v>
      </c>
      <c r="D179" t="s">
        <v>74</v>
      </c>
      <c r="E179" t="s">
        <v>74</v>
      </c>
      <c r="F179" t="s">
        <v>3408</v>
      </c>
      <c r="G179" t="s">
        <v>74</v>
      </c>
      <c r="H179" t="s">
        <v>74</v>
      </c>
      <c r="I179" t="s">
        <v>3409</v>
      </c>
      <c r="J179" t="s">
        <v>3391</v>
      </c>
      <c r="K179" t="s">
        <v>74</v>
      </c>
      <c r="L179" t="s">
        <v>74</v>
      </c>
      <c r="M179" t="s">
        <v>78</v>
      </c>
      <c r="N179" t="s">
        <v>79</v>
      </c>
      <c r="O179" t="s">
        <v>74</v>
      </c>
      <c r="P179" t="s">
        <v>74</v>
      </c>
      <c r="Q179" t="s">
        <v>74</v>
      </c>
      <c r="R179" t="s">
        <v>74</v>
      </c>
      <c r="S179" t="s">
        <v>74</v>
      </c>
      <c r="T179" t="s">
        <v>74</v>
      </c>
      <c r="U179" t="s">
        <v>3410</v>
      </c>
      <c r="V179" t="s">
        <v>3411</v>
      </c>
      <c r="W179" t="s">
        <v>3412</v>
      </c>
      <c r="X179" t="s">
        <v>3413</v>
      </c>
      <c r="Y179" t="s">
        <v>3414</v>
      </c>
      <c r="Z179" t="s">
        <v>3415</v>
      </c>
      <c r="AA179" t="s">
        <v>3416</v>
      </c>
      <c r="AB179" t="s">
        <v>3417</v>
      </c>
      <c r="AC179" t="s">
        <v>3418</v>
      </c>
      <c r="AD179" t="s">
        <v>3419</v>
      </c>
      <c r="AE179" t="s">
        <v>3420</v>
      </c>
      <c r="AF179" t="s">
        <v>74</v>
      </c>
      <c r="AG179">
        <v>76</v>
      </c>
      <c r="AH179">
        <v>17</v>
      </c>
      <c r="AI179">
        <v>19</v>
      </c>
      <c r="AJ179">
        <v>0</v>
      </c>
      <c r="AK179">
        <v>15</v>
      </c>
      <c r="AL179" t="s">
        <v>766</v>
      </c>
      <c r="AM179" t="s">
        <v>767</v>
      </c>
      <c r="AN179" t="s">
        <v>768</v>
      </c>
      <c r="AO179" t="s">
        <v>3400</v>
      </c>
      <c r="AP179" t="s">
        <v>3401</v>
      </c>
      <c r="AQ179" t="s">
        <v>74</v>
      </c>
      <c r="AR179" t="s">
        <v>3402</v>
      </c>
      <c r="AS179" t="s">
        <v>3403</v>
      </c>
      <c r="AT179" t="s">
        <v>74</v>
      </c>
      <c r="AU179">
        <v>2012</v>
      </c>
      <c r="AV179">
        <v>5</v>
      </c>
      <c r="AW179">
        <v>4</v>
      </c>
      <c r="AX179" t="s">
        <v>74</v>
      </c>
      <c r="AY179" t="s">
        <v>74</v>
      </c>
      <c r="AZ179" t="s">
        <v>74</v>
      </c>
      <c r="BA179" t="s">
        <v>74</v>
      </c>
      <c r="BB179">
        <v>963</v>
      </c>
      <c r="BC179">
        <v>974</v>
      </c>
      <c r="BD179" t="s">
        <v>74</v>
      </c>
      <c r="BE179" t="s">
        <v>3421</v>
      </c>
      <c r="BF179" t="str">
        <f>HYPERLINK("http://dx.doi.org/10.5194/gmd-5-963-2012","http://dx.doi.org/10.5194/gmd-5-963-2012")</f>
        <v>http://dx.doi.org/10.5194/gmd-5-963-2012</v>
      </c>
      <c r="BG179" t="s">
        <v>74</v>
      </c>
      <c r="BH179" t="s">
        <v>74</v>
      </c>
      <c r="BI179">
        <v>12</v>
      </c>
      <c r="BJ179" t="s">
        <v>287</v>
      </c>
      <c r="BK179" t="s">
        <v>100</v>
      </c>
      <c r="BL179" t="s">
        <v>288</v>
      </c>
      <c r="BM179" t="s">
        <v>3422</v>
      </c>
      <c r="BN179" t="s">
        <v>74</v>
      </c>
      <c r="BO179" t="s">
        <v>1392</v>
      </c>
      <c r="BP179" t="s">
        <v>74</v>
      </c>
      <c r="BQ179" t="s">
        <v>74</v>
      </c>
      <c r="BR179" t="s">
        <v>102</v>
      </c>
      <c r="BS179" t="s">
        <v>3423</v>
      </c>
      <c r="BT179" t="str">
        <f>HYPERLINK("https%3A%2F%2Fwww.webofscience.com%2Fwos%2Fwoscc%2Ffull-record%2FWOS:000308244900003","View Full Record in Web of Science")</f>
        <v>View Full Record in Web of Science</v>
      </c>
    </row>
    <row r="180" spans="1:72" x14ac:dyDescent="0.15">
      <c r="A180" t="s">
        <v>72</v>
      </c>
      <c r="B180" t="s">
        <v>3424</v>
      </c>
      <c r="C180" t="s">
        <v>74</v>
      </c>
      <c r="D180" t="s">
        <v>74</v>
      </c>
      <c r="E180" t="s">
        <v>74</v>
      </c>
      <c r="F180" t="s">
        <v>3425</v>
      </c>
      <c r="G180" t="s">
        <v>74</v>
      </c>
      <c r="H180" t="s">
        <v>74</v>
      </c>
      <c r="I180" t="s">
        <v>3426</v>
      </c>
      <c r="J180" t="s">
        <v>3391</v>
      </c>
      <c r="K180" t="s">
        <v>74</v>
      </c>
      <c r="L180" t="s">
        <v>74</v>
      </c>
      <c r="M180" t="s">
        <v>78</v>
      </c>
      <c r="N180" t="s">
        <v>79</v>
      </c>
      <c r="O180" t="s">
        <v>74</v>
      </c>
      <c r="P180" t="s">
        <v>74</v>
      </c>
      <c r="Q180" t="s">
        <v>74</v>
      </c>
      <c r="R180" t="s">
        <v>74</v>
      </c>
      <c r="S180" t="s">
        <v>74</v>
      </c>
      <c r="T180" t="s">
        <v>74</v>
      </c>
      <c r="U180" t="s">
        <v>3427</v>
      </c>
      <c r="V180" t="s">
        <v>3428</v>
      </c>
      <c r="W180" t="s">
        <v>3429</v>
      </c>
      <c r="X180" t="s">
        <v>3430</v>
      </c>
      <c r="Y180" t="s">
        <v>3431</v>
      </c>
      <c r="Z180" t="s">
        <v>3432</v>
      </c>
      <c r="AA180" t="s">
        <v>3433</v>
      </c>
      <c r="AB180" t="s">
        <v>3434</v>
      </c>
      <c r="AC180" t="s">
        <v>3435</v>
      </c>
      <c r="AD180" t="s">
        <v>3436</v>
      </c>
      <c r="AE180" t="s">
        <v>3437</v>
      </c>
      <c r="AF180" t="s">
        <v>74</v>
      </c>
      <c r="AG180">
        <v>53</v>
      </c>
      <c r="AH180">
        <v>23</v>
      </c>
      <c r="AI180">
        <v>24</v>
      </c>
      <c r="AJ180">
        <v>0</v>
      </c>
      <c r="AK180">
        <v>11</v>
      </c>
      <c r="AL180" t="s">
        <v>766</v>
      </c>
      <c r="AM180" t="s">
        <v>767</v>
      </c>
      <c r="AN180" t="s">
        <v>768</v>
      </c>
      <c r="AO180" t="s">
        <v>3400</v>
      </c>
      <c r="AP180" t="s">
        <v>3401</v>
      </c>
      <c r="AQ180" t="s">
        <v>74</v>
      </c>
      <c r="AR180" t="s">
        <v>3402</v>
      </c>
      <c r="AS180" t="s">
        <v>3403</v>
      </c>
      <c r="AT180" t="s">
        <v>74</v>
      </c>
      <c r="AU180">
        <v>2012</v>
      </c>
      <c r="AV180">
        <v>5</v>
      </c>
      <c r="AW180">
        <v>6</v>
      </c>
      <c r="AX180" t="s">
        <v>74</v>
      </c>
      <c r="AY180" t="s">
        <v>74</v>
      </c>
      <c r="AZ180" t="s">
        <v>74</v>
      </c>
      <c r="BA180" t="s">
        <v>74</v>
      </c>
      <c r="BB180">
        <v>1501</v>
      </c>
      <c r="BC180">
        <v>1515</v>
      </c>
      <c r="BD180" t="s">
        <v>74</v>
      </c>
      <c r="BE180" t="s">
        <v>3438</v>
      </c>
      <c r="BF180" t="str">
        <f>HYPERLINK("http://dx.doi.org/10.5194/gmd-5-1501-2012","http://dx.doi.org/10.5194/gmd-5-1501-2012")</f>
        <v>http://dx.doi.org/10.5194/gmd-5-1501-2012</v>
      </c>
      <c r="BG180" t="s">
        <v>74</v>
      </c>
      <c r="BH180" t="s">
        <v>74</v>
      </c>
      <c r="BI180">
        <v>15</v>
      </c>
      <c r="BJ180" t="s">
        <v>287</v>
      </c>
      <c r="BK180" t="s">
        <v>100</v>
      </c>
      <c r="BL180" t="s">
        <v>288</v>
      </c>
      <c r="BM180" t="s">
        <v>3439</v>
      </c>
      <c r="BN180" t="s">
        <v>74</v>
      </c>
      <c r="BO180" t="s">
        <v>1920</v>
      </c>
      <c r="BP180" t="s">
        <v>74</v>
      </c>
      <c r="BQ180" t="s">
        <v>74</v>
      </c>
      <c r="BR180" t="s">
        <v>102</v>
      </c>
      <c r="BS180" t="s">
        <v>3440</v>
      </c>
      <c r="BT180" t="str">
        <f>HYPERLINK("https%3A%2F%2Fwww.webofscience.com%2Fwos%2Fwoscc%2Ffull-record%2FWOS:000312696000011","View Full Record in Web of Science")</f>
        <v>View Full Record in Web of Science</v>
      </c>
    </row>
    <row r="181" spans="1:72" x14ac:dyDescent="0.15">
      <c r="A181" t="s">
        <v>72</v>
      </c>
      <c r="B181" t="s">
        <v>3441</v>
      </c>
      <c r="C181" t="s">
        <v>74</v>
      </c>
      <c r="D181" t="s">
        <v>74</v>
      </c>
      <c r="E181" t="s">
        <v>74</v>
      </c>
      <c r="F181" t="s">
        <v>3442</v>
      </c>
      <c r="G181" t="s">
        <v>74</v>
      </c>
      <c r="H181" t="s">
        <v>74</v>
      </c>
      <c r="I181" t="s">
        <v>3443</v>
      </c>
      <c r="J181" t="s">
        <v>3444</v>
      </c>
      <c r="K181" t="s">
        <v>74</v>
      </c>
      <c r="L181" t="s">
        <v>74</v>
      </c>
      <c r="M181" t="s">
        <v>78</v>
      </c>
      <c r="N181" t="s">
        <v>79</v>
      </c>
      <c r="O181" t="s">
        <v>74</v>
      </c>
      <c r="P181" t="s">
        <v>74</v>
      </c>
      <c r="Q181" t="s">
        <v>74</v>
      </c>
      <c r="R181" t="s">
        <v>74</v>
      </c>
      <c r="S181" t="s">
        <v>74</v>
      </c>
      <c r="T181" t="s">
        <v>3445</v>
      </c>
      <c r="U181" t="s">
        <v>3446</v>
      </c>
      <c r="V181" t="s">
        <v>3447</v>
      </c>
      <c r="W181" t="s">
        <v>3448</v>
      </c>
      <c r="X181" t="s">
        <v>3449</v>
      </c>
      <c r="Y181" t="s">
        <v>3450</v>
      </c>
      <c r="Z181" t="s">
        <v>3451</v>
      </c>
      <c r="AA181" t="s">
        <v>3452</v>
      </c>
      <c r="AB181" t="s">
        <v>3453</v>
      </c>
      <c r="AC181" t="s">
        <v>3454</v>
      </c>
      <c r="AD181" t="s">
        <v>3455</v>
      </c>
      <c r="AE181" t="s">
        <v>3456</v>
      </c>
      <c r="AF181" t="s">
        <v>74</v>
      </c>
      <c r="AG181">
        <v>82</v>
      </c>
      <c r="AH181">
        <v>10</v>
      </c>
      <c r="AI181">
        <v>12</v>
      </c>
      <c r="AJ181">
        <v>0</v>
      </c>
      <c r="AK181">
        <v>3</v>
      </c>
      <c r="AL181" t="s">
        <v>333</v>
      </c>
      <c r="AM181" t="s">
        <v>334</v>
      </c>
      <c r="AN181" t="s">
        <v>335</v>
      </c>
      <c r="AO181" t="s">
        <v>3457</v>
      </c>
      <c r="AP181" t="s">
        <v>3458</v>
      </c>
      <c r="AQ181" t="s">
        <v>74</v>
      </c>
      <c r="AR181" t="s">
        <v>3459</v>
      </c>
      <c r="AS181" t="s">
        <v>3460</v>
      </c>
      <c r="AT181" t="s">
        <v>97</v>
      </c>
      <c r="AU181">
        <v>2012</v>
      </c>
      <c r="AV181" t="s">
        <v>3461</v>
      </c>
      <c r="AW181" t="s">
        <v>74</v>
      </c>
      <c r="AX181" t="s">
        <v>74</v>
      </c>
      <c r="AY181" t="s">
        <v>74</v>
      </c>
      <c r="AZ181" t="s">
        <v>74</v>
      </c>
      <c r="BA181" t="s">
        <v>74</v>
      </c>
      <c r="BB181">
        <v>99</v>
      </c>
      <c r="BC181">
        <v>112</v>
      </c>
      <c r="BD181" t="s">
        <v>74</v>
      </c>
      <c r="BE181" t="s">
        <v>3462</v>
      </c>
      <c r="BF181" t="str">
        <f>HYPERLINK("http://dx.doi.org/10.1016/j.gloplacha.2011.08.003","http://dx.doi.org/10.1016/j.gloplacha.2011.08.003")</f>
        <v>http://dx.doi.org/10.1016/j.gloplacha.2011.08.003</v>
      </c>
      <c r="BG181" t="s">
        <v>74</v>
      </c>
      <c r="BH181" t="s">
        <v>74</v>
      </c>
      <c r="BI181">
        <v>14</v>
      </c>
      <c r="BJ181" t="s">
        <v>226</v>
      </c>
      <c r="BK181" t="s">
        <v>100</v>
      </c>
      <c r="BL181" t="s">
        <v>227</v>
      </c>
      <c r="BM181" t="s">
        <v>3463</v>
      </c>
      <c r="BN181" t="s">
        <v>74</v>
      </c>
      <c r="BO181" t="s">
        <v>74</v>
      </c>
      <c r="BP181" t="s">
        <v>74</v>
      </c>
      <c r="BQ181" t="s">
        <v>74</v>
      </c>
      <c r="BR181" t="s">
        <v>102</v>
      </c>
      <c r="BS181" t="s">
        <v>3464</v>
      </c>
      <c r="BT181" t="str">
        <f>HYPERLINK("https%3A%2F%2Fwww.webofscience.com%2Fwos%2Fwoscc%2Ffull-record%2FWOS:000299606600008","View Full Record in Web of Science")</f>
        <v>View Full Record in Web of Science</v>
      </c>
    </row>
    <row r="182" spans="1:72" x14ac:dyDescent="0.15">
      <c r="A182" t="s">
        <v>72</v>
      </c>
      <c r="B182" t="s">
        <v>3465</v>
      </c>
      <c r="C182" t="s">
        <v>74</v>
      </c>
      <c r="D182" t="s">
        <v>74</v>
      </c>
      <c r="E182" t="s">
        <v>74</v>
      </c>
      <c r="F182" t="s">
        <v>3466</v>
      </c>
      <c r="G182" t="s">
        <v>74</v>
      </c>
      <c r="H182" t="s">
        <v>74</v>
      </c>
      <c r="I182" t="s">
        <v>3467</v>
      </c>
      <c r="J182" t="s">
        <v>3444</v>
      </c>
      <c r="K182" t="s">
        <v>74</v>
      </c>
      <c r="L182" t="s">
        <v>74</v>
      </c>
      <c r="M182" t="s">
        <v>78</v>
      </c>
      <c r="N182" t="s">
        <v>79</v>
      </c>
      <c r="O182" t="s">
        <v>74</v>
      </c>
      <c r="P182" t="s">
        <v>74</v>
      </c>
      <c r="Q182" t="s">
        <v>74</v>
      </c>
      <c r="R182" t="s">
        <v>74</v>
      </c>
      <c r="S182" t="s">
        <v>74</v>
      </c>
      <c r="T182" t="s">
        <v>3468</v>
      </c>
      <c r="U182" t="s">
        <v>3469</v>
      </c>
      <c r="V182" t="s">
        <v>3470</v>
      </c>
      <c r="W182" t="s">
        <v>3471</v>
      </c>
      <c r="X182" t="s">
        <v>3472</v>
      </c>
      <c r="Y182" t="s">
        <v>3473</v>
      </c>
      <c r="Z182" t="s">
        <v>3474</v>
      </c>
      <c r="AA182" t="s">
        <v>3475</v>
      </c>
      <c r="AB182" t="s">
        <v>3476</v>
      </c>
      <c r="AC182" t="s">
        <v>3477</v>
      </c>
      <c r="AD182" t="s">
        <v>1053</v>
      </c>
      <c r="AE182" t="s">
        <v>3478</v>
      </c>
      <c r="AF182" t="s">
        <v>74</v>
      </c>
      <c r="AG182">
        <v>86</v>
      </c>
      <c r="AH182">
        <v>19</v>
      </c>
      <c r="AI182">
        <v>20</v>
      </c>
      <c r="AJ182">
        <v>1</v>
      </c>
      <c r="AK182">
        <v>38</v>
      </c>
      <c r="AL182" t="s">
        <v>3479</v>
      </c>
      <c r="AM182" t="s">
        <v>334</v>
      </c>
      <c r="AN182" t="s">
        <v>3480</v>
      </c>
      <c r="AO182" t="s">
        <v>3457</v>
      </c>
      <c r="AP182" t="s">
        <v>3458</v>
      </c>
      <c r="AQ182" t="s">
        <v>74</v>
      </c>
      <c r="AR182" t="s">
        <v>3459</v>
      </c>
      <c r="AS182" t="s">
        <v>3460</v>
      </c>
      <c r="AT182" t="s">
        <v>97</v>
      </c>
      <c r="AU182">
        <v>2012</v>
      </c>
      <c r="AV182" t="s">
        <v>3461</v>
      </c>
      <c r="AW182" t="s">
        <v>74</v>
      </c>
      <c r="AX182" t="s">
        <v>74</v>
      </c>
      <c r="AY182" t="s">
        <v>74</v>
      </c>
      <c r="AZ182" t="s">
        <v>74</v>
      </c>
      <c r="BA182" t="s">
        <v>74</v>
      </c>
      <c r="BB182">
        <v>180</v>
      </c>
      <c r="BC182">
        <v>189</v>
      </c>
      <c r="BD182" t="s">
        <v>74</v>
      </c>
      <c r="BE182" t="s">
        <v>3481</v>
      </c>
      <c r="BF182" t="str">
        <f>HYPERLINK("http://dx.doi.org/10.1016/j.gloplacha.2011.10.001","http://dx.doi.org/10.1016/j.gloplacha.2011.10.001")</f>
        <v>http://dx.doi.org/10.1016/j.gloplacha.2011.10.001</v>
      </c>
      <c r="BG182" t="s">
        <v>74</v>
      </c>
      <c r="BH182" t="s">
        <v>74</v>
      </c>
      <c r="BI182">
        <v>10</v>
      </c>
      <c r="BJ182" t="s">
        <v>226</v>
      </c>
      <c r="BK182" t="s">
        <v>100</v>
      </c>
      <c r="BL182" t="s">
        <v>227</v>
      </c>
      <c r="BM182" t="s">
        <v>3463</v>
      </c>
      <c r="BN182" t="s">
        <v>74</v>
      </c>
      <c r="BO182" t="s">
        <v>74</v>
      </c>
      <c r="BP182" t="s">
        <v>74</v>
      </c>
      <c r="BQ182" t="s">
        <v>74</v>
      </c>
      <c r="BR182" t="s">
        <v>102</v>
      </c>
      <c r="BS182" t="s">
        <v>3482</v>
      </c>
      <c r="BT182" t="str">
        <f>HYPERLINK("https%3A%2F%2Fwww.webofscience.com%2Fwos%2Fwoscc%2Ffull-record%2FWOS:000299606600014","View Full Record in Web of Science")</f>
        <v>View Full Record in Web of Science</v>
      </c>
    </row>
    <row r="183" spans="1:72" x14ac:dyDescent="0.15">
      <c r="A183" t="s">
        <v>72</v>
      </c>
      <c r="B183" t="s">
        <v>3483</v>
      </c>
      <c r="C183" t="s">
        <v>74</v>
      </c>
      <c r="D183" t="s">
        <v>74</v>
      </c>
      <c r="E183" t="s">
        <v>74</v>
      </c>
      <c r="F183" t="s">
        <v>3484</v>
      </c>
      <c r="G183" t="s">
        <v>74</v>
      </c>
      <c r="H183" t="s">
        <v>74</v>
      </c>
      <c r="I183" t="s">
        <v>3485</v>
      </c>
      <c r="J183" t="s">
        <v>3486</v>
      </c>
      <c r="K183" t="s">
        <v>74</v>
      </c>
      <c r="L183" t="s">
        <v>74</v>
      </c>
      <c r="M183" t="s">
        <v>78</v>
      </c>
      <c r="N183" t="s">
        <v>79</v>
      </c>
      <c r="O183" t="s">
        <v>74</v>
      </c>
      <c r="P183" t="s">
        <v>74</v>
      </c>
      <c r="Q183" t="s">
        <v>74</v>
      </c>
      <c r="R183" t="s">
        <v>74</v>
      </c>
      <c r="S183" t="s">
        <v>74</v>
      </c>
      <c r="T183" t="s">
        <v>3487</v>
      </c>
      <c r="U183" t="s">
        <v>3488</v>
      </c>
      <c r="V183" t="s">
        <v>3489</v>
      </c>
      <c r="W183" t="s">
        <v>3490</v>
      </c>
      <c r="X183" t="s">
        <v>3491</v>
      </c>
      <c r="Y183" t="s">
        <v>3492</v>
      </c>
      <c r="Z183" t="s">
        <v>3493</v>
      </c>
      <c r="AA183" t="s">
        <v>3494</v>
      </c>
      <c r="AB183" t="s">
        <v>3495</v>
      </c>
      <c r="AC183" t="s">
        <v>3496</v>
      </c>
      <c r="AD183" t="s">
        <v>3497</v>
      </c>
      <c r="AE183" t="s">
        <v>3498</v>
      </c>
      <c r="AF183" t="s">
        <v>74</v>
      </c>
      <c r="AG183">
        <v>56</v>
      </c>
      <c r="AH183">
        <v>49</v>
      </c>
      <c r="AI183">
        <v>52</v>
      </c>
      <c r="AJ183">
        <v>0</v>
      </c>
      <c r="AK183">
        <v>41</v>
      </c>
      <c r="AL183" t="s">
        <v>2832</v>
      </c>
      <c r="AM183" t="s">
        <v>796</v>
      </c>
      <c r="AN183" t="s">
        <v>797</v>
      </c>
      <c r="AO183" t="s">
        <v>3499</v>
      </c>
      <c r="AP183" t="s">
        <v>3500</v>
      </c>
      <c r="AQ183" t="s">
        <v>74</v>
      </c>
      <c r="AR183" t="s">
        <v>3501</v>
      </c>
      <c r="AS183" t="s">
        <v>3502</v>
      </c>
      <c r="AT183" t="s">
        <v>97</v>
      </c>
      <c r="AU183">
        <v>2012</v>
      </c>
      <c r="AV183">
        <v>18</v>
      </c>
      <c r="AW183">
        <v>1</v>
      </c>
      <c r="AX183" t="s">
        <v>74</v>
      </c>
      <c r="AY183" t="s">
        <v>74</v>
      </c>
      <c r="AZ183" t="s">
        <v>74</v>
      </c>
      <c r="BA183" t="s">
        <v>74</v>
      </c>
      <c r="BB183">
        <v>301</v>
      </c>
      <c r="BC183">
        <v>310</v>
      </c>
      <c r="BD183" t="s">
        <v>74</v>
      </c>
      <c r="BE183" t="s">
        <v>3503</v>
      </c>
      <c r="BF183" t="str">
        <f>HYPERLINK("http://dx.doi.org/10.1111/j.1365-2486.2011.02560.x","http://dx.doi.org/10.1111/j.1365-2486.2011.02560.x")</f>
        <v>http://dx.doi.org/10.1111/j.1365-2486.2011.02560.x</v>
      </c>
      <c r="BG183" t="s">
        <v>74</v>
      </c>
      <c r="BH183" t="s">
        <v>74</v>
      </c>
      <c r="BI183">
        <v>10</v>
      </c>
      <c r="BJ183" t="s">
        <v>3504</v>
      </c>
      <c r="BK183" t="s">
        <v>100</v>
      </c>
      <c r="BL183" t="s">
        <v>3505</v>
      </c>
      <c r="BM183" t="s">
        <v>3506</v>
      </c>
      <c r="BN183" t="s">
        <v>74</v>
      </c>
      <c r="BO183" t="s">
        <v>74</v>
      </c>
      <c r="BP183" t="s">
        <v>74</v>
      </c>
      <c r="BQ183" t="s">
        <v>74</v>
      </c>
      <c r="BR183" t="s">
        <v>102</v>
      </c>
      <c r="BS183" t="s">
        <v>3507</v>
      </c>
      <c r="BT183" t="str">
        <f>HYPERLINK("https%3A%2F%2Fwww.webofscience.com%2Fwos%2Fwoscc%2Ffull-record%2FWOS:000298598900025","View Full Record in Web of Science")</f>
        <v>View Full Record in Web of Science</v>
      </c>
    </row>
    <row r="184" spans="1:72" x14ac:dyDescent="0.15">
      <c r="A184" t="s">
        <v>72</v>
      </c>
      <c r="B184" t="s">
        <v>3508</v>
      </c>
      <c r="C184" t="s">
        <v>74</v>
      </c>
      <c r="D184" t="s">
        <v>74</v>
      </c>
      <c r="E184" t="s">
        <v>74</v>
      </c>
      <c r="F184" t="s">
        <v>3509</v>
      </c>
      <c r="G184" t="s">
        <v>74</v>
      </c>
      <c r="H184" t="s">
        <v>74</v>
      </c>
      <c r="I184" t="s">
        <v>3510</v>
      </c>
      <c r="J184" t="s">
        <v>3511</v>
      </c>
      <c r="K184" t="s">
        <v>74</v>
      </c>
      <c r="L184" t="s">
        <v>74</v>
      </c>
      <c r="M184" t="s">
        <v>78</v>
      </c>
      <c r="N184" t="s">
        <v>810</v>
      </c>
      <c r="O184" t="s">
        <v>74</v>
      </c>
      <c r="P184" t="s">
        <v>74</v>
      </c>
      <c r="Q184" t="s">
        <v>74</v>
      </c>
      <c r="R184" t="s">
        <v>74</v>
      </c>
      <c r="S184" t="s">
        <v>74</v>
      </c>
      <c r="T184" t="s">
        <v>3512</v>
      </c>
      <c r="U184" t="s">
        <v>3513</v>
      </c>
      <c r="V184" t="s">
        <v>74</v>
      </c>
      <c r="W184" t="s">
        <v>3514</v>
      </c>
      <c r="X184" t="s">
        <v>787</v>
      </c>
      <c r="Y184" t="s">
        <v>3515</v>
      </c>
      <c r="Z184" t="s">
        <v>3516</v>
      </c>
      <c r="AA184" t="s">
        <v>3517</v>
      </c>
      <c r="AB184" t="s">
        <v>3518</v>
      </c>
      <c r="AC184" t="s">
        <v>74</v>
      </c>
      <c r="AD184" t="s">
        <v>74</v>
      </c>
      <c r="AE184" t="s">
        <v>74</v>
      </c>
      <c r="AF184" t="s">
        <v>74</v>
      </c>
      <c r="AG184">
        <v>36</v>
      </c>
      <c r="AH184">
        <v>15</v>
      </c>
      <c r="AI184">
        <v>15</v>
      </c>
      <c r="AJ184">
        <v>0</v>
      </c>
      <c r="AK184">
        <v>6</v>
      </c>
      <c r="AL184" t="s">
        <v>3479</v>
      </c>
      <c r="AM184" t="s">
        <v>334</v>
      </c>
      <c r="AN184" t="s">
        <v>3480</v>
      </c>
      <c r="AO184" t="s">
        <v>3519</v>
      </c>
      <c r="AP184" t="s">
        <v>3520</v>
      </c>
      <c r="AQ184" t="s">
        <v>74</v>
      </c>
      <c r="AR184" t="s">
        <v>3521</v>
      </c>
      <c r="AS184" t="s">
        <v>3522</v>
      </c>
      <c r="AT184" t="s">
        <v>97</v>
      </c>
      <c r="AU184">
        <v>2012</v>
      </c>
      <c r="AV184">
        <v>21</v>
      </c>
      <c r="AW184">
        <v>1</v>
      </c>
      <c r="AX184" t="s">
        <v>74</v>
      </c>
      <c r="AY184" t="s">
        <v>74</v>
      </c>
      <c r="AZ184" t="s">
        <v>74</v>
      </c>
      <c r="BA184" t="s">
        <v>74</v>
      </c>
      <c r="BB184">
        <v>302</v>
      </c>
      <c r="BC184">
        <v>304</v>
      </c>
      <c r="BD184" t="s">
        <v>74</v>
      </c>
      <c r="BE184" t="s">
        <v>3523</v>
      </c>
      <c r="BF184" t="str">
        <f>HYPERLINK("http://dx.doi.org/10.1016/j.gr.2011.08.008","http://dx.doi.org/10.1016/j.gr.2011.08.008")</f>
        <v>http://dx.doi.org/10.1016/j.gr.2011.08.008</v>
      </c>
      <c r="BG184" t="s">
        <v>74</v>
      </c>
      <c r="BH184" t="s">
        <v>74</v>
      </c>
      <c r="BI184">
        <v>3</v>
      </c>
      <c r="BJ184" t="s">
        <v>287</v>
      </c>
      <c r="BK184" t="s">
        <v>100</v>
      </c>
      <c r="BL184" t="s">
        <v>288</v>
      </c>
      <c r="BM184" t="s">
        <v>3524</v>
      </c>
      <c r="BN184" t="s">
        <v>74</v>
      </c>
      <c r="BO184" t="s">
        <v>74</v>
      </c>
      <c r="BP184" t="s">
        <v>74</v>
      </c>
      <c r="BQ184" t="s">
        <v>74</v>
      </c>
      <c r="BR184" t="s">
        <v>102</v>
      </c>
      <c r="BS184" t="s">
        <v>3525</v>
      </c>
      <c r="BT184" t="str">
        <f>HYPERLINK("https%3A%2F%2Fwww.webofscience.com%2Fwos%2Fwoscc%2Ffull-record%2FWOS:000300204400023","View Full Record in Web of Science")</f>
        <v>View Full Record in Web of Science</v>
      </c>
    </row>
    <row r="185" spans="1:72" x14ac:dyDescent="0.15">
      <c r="A185" t="s">
        <v>393</v>
      </c>
      <c r="B185" t="s">
        <v>3526</v>
      </c>
      <c r="C185" t="s">
        <v>74</v>
      </c>
      <c r="D185" t="s">
        <v>3527</v>
      </c>
      <c r="E185" t="s">
        <v>74</v>
      </c>
      <c r="F185" t="s">
        <v>3528</v>
      </c>
      <c r="G185" t="s">
        <v>74</v>
      </c>
      <c r="H185" t="s">
        <v>74</v>
      </c>
      <c r="I185" t="s">
        <v>3529</v>
      </c>
      <c r="J185" t="s">
        <v>3530</v>
      </c>
      <c r="K185" t="s">
        <v>543</v>
      </c>
      <c r="L185" t="s">
        <v>74</v>
      </c>
      <c r="M185" t="s">
        <v>78</v>
      </c>
      <c r="N185" t="s">
        <v>400</v>
      </c>
      <c r="O185" t="s">
        <v>3531</v>
      </c>
      <c r="P185" t="s">
        <v>545</v>
      </c>
      <c r="Q185" t="s">
        <v>546</v>
      </c>
      <c r="R185" t="s">
        <v>74</v>
      </c>
      <c r="S185" t="s">
        <v>74</v>
      </c>
      <c r="T185" t="s">
        <v>3532</v>
      </c>
      <c r="U185" t="s">
        <v>74</v>
      </c>
      <c r="V185" t="s">
        <v>3533</v>
      </c>
      <c r="W185" t="s">
        <v>3534</v>
      </c>
      <c r="X185" t="s">
        <v>3535</v>
      </c>
      <c r="Y185" t="s">
        <v>3536</v>
      </c>
      <c r="Z185" t="s">
        <v>3537</v>
      </c>
      <c r="AA185" t="s">
        <v>3538</v>
      </c>
      <c r="AB185" t="s">
        <v>3539</v>
      </c>
      <c r="AC185" t="s">
        <v>74</v>
      </c>
      <c r="AD185" t="s">
        <v>74</v>
      </c>
      <c r="AE185" t="s">
        <v>74</v>
      </c>
      <c r="AF185" t="s">
        <v>74</v>
      </c>
      <c r="AG185">
        <v>4</v>
      </c>
      <c r="AH185">
        <v>5</v>
      </c>
      <c r="AI185">
        <v>5</v>
      </c>
      <c r="AJ185">
        <v>2</v>
      </c>
      <c r="AK185">
        <v>2</v>
      </c>
      <c r="AL185" t="s">
        <v>559</v>
      </c>
      <c r="AM185" t="s">
        <v>560</v>
      </c>
      <c r="AN185" t="s">
        <v>561</v>
      </c>
      <c r="AO185" t="s">
        <v>562</v>
      </c>
      <c r="AP185" t="s">
        <v>74</v>
      </c>
      <c r="AQ185" t="s">
        <v>3540</v>
      </c>
      <c r="AR185" t="s">
        <v>564</v>
      </c>
      <c r="AS185" t="s">
        <v>74</v>
      </c>
      <c r="AT185" t="s">
        <v>74</v>
      </c>
      <c r="AU185">
        <v>2012</v>
      </c>
      <c r="AV185">
        <v>8444</v>
      </c>
      <c r="AW185" t="s">
        <v>74</v>
      </c>
      <c r="AX185" t="s">
        <v>74</v>
      </c>
      <c r="AY185" t="s">
        <v>74</v>
      </c>
      <c r="AZ185" t="s">
        <v>74</v>
      </c>
      <c r="BA185" t="s">
        <v>74</v>
      </c>
      <c r="BB185" t="s">
        <v>74</v>
      </c>
      <c r="BC185" t="s">
        <v>74</v>
      </c>
      <c r="BD185" t="s">
        <v>3541</v>
      </c>
      <c r="BE185" t="s">
        <v>3542</v>
      </c>
      <c r="BF185" t="str">
        <f>HYPERLINK("http://dx.doi.org/10.1117/12.924960","http://dx.doi.org/10.1117/12.924960")</f>
        <v>http://dx.doi.org/10.1117/12.924960</v>
      </c>
      <c r="BG185" t="s">
        <v>74</v>
      </c>
      <c r="BH185" t="s">
        <v>74</v>
      </c>
      <c r="BI185">
        <v>8</v>
      </c>
      <c r="BJ185" t="s">
        <v>3543</v>
      </c>
      <c r="BK185" t="s">
        <v>419</v>
      </c>
      <c r="BL185" t="s">
        <v>3543</v>
      </c>
      <c r="BM185" t="s">
        <v>3544</v>
      </c>
      <c r="BN185" t="s">
        <v>74</v>
      </c>
      <c r="BO185" t="s">
        <v>74</v>
      </c>
      <c r="BP185" t="s">
        <v>74</v>
      </c>
      <c r="BQ185" t="s">
        <v>74</v>
      </c>
      <c r="BR185" t="s">
        <v>102</v>
      </c>
      <c r="BS185" t="s">
        <v>3545</v>
      </c>
      <c r="BT185" t="str">
        <f>HYPERLINK("https%3A%2F%2Fwww.webofscience.com%2Fwos%2Fwoscc%2Ffull-record%2FWOS:000312276100179","View Full Record in Web of Science")</f>
        <v>View Full Record in Web of Science</v>
      </c>
    </row>
    <row r="186" spans="1:72" x14ac:dyDescent="0.15">
      <c r="A186" t="s">
        <v>393</v>
      </c>
      <c r="B186" t="s">
        <v>3546</v>
      </c>
      <c r="C186" t="s">
        <v>74</v>
      </c>
      <c r="D186" t="s">
        <v>3527</v>
      </c>
      <c r="E186" t="s">
        <v>74</v>
      </c>
      <c r="F186" t="s">
        <v>3547</v>
      </c>
      <c r="G186" t="s">
        <v>74</v>
      </c>
      <c r="H186" t="s">
        <v>74</v>
      </c>
      <c r="I186" t="s">
        <v>3548</v>
      </c>
      <c r="J186" t="s">
        <v>3530</v>
      </c>
      <c r="K186" t="s">
        <v>543</v>
      </c>
      <c r="L186" t="s">
        <v>74</v>
      </c>
      <c r="M186" t="s">
        <v>78</v>
      </c>
      <c r="N186" t="s">
        <v>400</v>
      </c>
      <c r="O186" t="s">
        <v>3531</v>
      </c>
      <c r="P186" t="s">
        <v>545</v>
      </c>
      <c r="Q186" t="s">
        <v>546</v>
      </c>
      <c r="R186" t="s">
        <v>74</v>
      </c>
      <c r="S186" t="s">
        <v>74</v>
      </c>
      <c r="T186" t="s">
        <v>3549</v>
      </c>
      <c r="U186" t="s">
        <v>74</v>
      </c>
      <c r="V186" t="s">
        <v>3550</v>
      </c>
      <c r="W186" t="s">
        <v>3551</v>
      </c>
      <c r="X186" t="s">
        <v>3552</v>
      </c>
      <c r="Y186" t="s">
        <v>3553</v>
      </c>
      <c r="Z186" t="s">
        <v>3554</v>
      </c>
      <c r="AA186" t="s">
        <v>3555</v>
      </c>
      <c r="AB186" t="s">
        <v>3556</v>
      </c>
      <c r="AC186" t="s">
        <v>3557</v>
      </c>
      <c r="AD186" t="s">
        <v>3558</v>
      </c>
      <c r="AE186" t="s">
        <v>3559</v>
      </c>
      <c r="AF186" t="s">
        <v>74</v>
      </c>
      <c r="AG186">
        <v>2</v>
      </c>
      <c r="AH186">
        <v>0</v>
      </c>
      <c r="AI186">
        <v>0</v>
      </c>
      <c r="AJ186">
        <v>1</v>
      </c>
      <c r="AK186">
        <v>2</v>
      </c>
      <c r="AL186" t="s">
        <v>559</v>
      </c>
      <c r="AM186" t="s">
        <v>560</v>
      </c>
      <c r="AN186" t="s">
        <v>561</v>
      </c>
      <c r="AO186" t="s">
        <v>562</v>
      </c>
      <c r="AP186" t="s">
        <v>3560</v>
      </c>
      <c r="AQ186" t="s">
        <v>3540</v>
      </c>
      <c r="AR186" t="s">
        <v>564</v>
      </c>
      <c r="AS186" t="s">
        <v>74</v>
      </c>
      <c r="AT186" t="s">
        <v>74</v>
      </c>
      <c r="AU186">
        <v>2012</v>
      </c>
      <c r="AV186">
        <v>8444</v>
      </c>
      <c r="AW186" t="s">
        <v>74</v>
      </c>
      <c r="AX186" t="s">
        <v>74</v>
      </c>
      <c r="AY186" t="s">
        <v>74</v>
      </c>
      <c r="AZ186" t="s">
        <v>74</v>
      </c>
      <c r="BA186" t="s">
        <v>74</v>
      </c>
      <c r="BB186" t="s">
        <v>74</v>
      </c>
      <c r="BC186" t="s">
        <v>74</v>
      </c>
      <c r="BD186" t="s">
        <v>3561</v>
      </c>
      <c r="BE186" t="s">
        <v>3562</v>
      </c>
      <c r="BF186" t="str">
        <f>HYPERLINK("http://dx.doi.org/10.1117/12.925778","http://dx.doi.org/10.1117/12.925778")</f>
        <v>http://dx.doi.org/10.1117/12.925778</v>
      </c>
      <c r="BG186" t="s">
        <v>74</v>
      </c>
      <c r="BH186" t="s">
        <v>74</v>
      </c>
      <c r="BI186">
        <v>12</v>
      </c>
      <c r="BJ186" t="s">
        <v>3543</v>
      </c>
      <c r="BK186" t="s">
        <v>419</v>
      </c>
      <c r="BL186" t="s">
        <v>3543</v>
      </c>
      <c r="BM186" t="s">
        <v>3544</v>
      </c>
      <c r="BN186" t="s">
        <v>74</v>
      </c>
      <c r="BO186" t="s">
        <v>74</v>
      </c>
      <c r="BP186" t="s">
        <v>74</v>
      </c>
      <c r="BQ186" t="s">
        <v>74</v>
      </c>
      <c r="BR186" t="s">
        <v>102</v>
      </c>
      <c r="BS186" t="s">
        <v>3563</v>
      </c>
      <c r="BT186" t="str">
        <f>HYPERLINK("https%3A%2F%2Fwww.webofscience.com%2Fwos%2Fwoscc%2Ffull-record%2FWOS:000312276100169","View Full Record in Web of Science")</f>
        <v>View Full Record in Web of Science</v>
      </c>
    </row>
    <row r="187" spans="1:72" x14ac:dyDescent="0.15">
      <c r="A187" t="s">
        <v>517</v>
      </c>
      <c r="B187" t="s">
        <v>3564</v>
      </c>
      <c r="C187" t="s">
        <v>74</v>
      </c>
      <c r="D187" t="s">
        <v>3565</v>
      </c>
      <c r="E187" t="s">
        <v>74</v>
      </c>
      <c r="F187" t="s">
        <v>3566</v>
      </c>
      <c r="G187" t="s">
        <v>74</v>
      </c>
      <c r="H187" t="s">
        <v>74</v>
      </c>
      <c r="I187" t="s">
        <v>3567</v>
      </c>
      <c r="J187" t="s">
        <v>3568</v>
      </c>
      <c r="K187" t="s">
        <v>3569</v>
      </c>
      <c r="L187" t="s">
        <v>74</v>
      </c>
      <c r="M187" t="s">
        <v>78</v>
      </c>
      <c r="N187" t="s">
        <v>3570</v>
      </c>
      <c r="O187" t="s">
        <v>74</v>
      </c>
      <c r="P187" t="s">
        <v>74</v>
      </c>
      <c r="Q187" t="s">
        <v>74</v>
      </c>
      <c r="R187" t="s">
        <v>74</v>
      </c>
      <c r="S187" t="s">
        <v>74</v>
      </c>
      <c r="T187" t="s">
        <v>74</v>
      </c>
      <c r="U187" t="s">
        <v>74</v>
      </c>
      <c r="V187" t="s">
        <v>3571</v>
      </c>
      <c r="W187" t="s">
        <v>3572</v>
      </c>
      <c r="X187" t="s">
        <v>3573</v>
      </c>
      <c r="Y187" t="s">
        <v>3574</v>
      </c>
      <c r="Z187" t="s">
        <v>74</v>
      </c>
      <c r="AA187" t="s">
        <v>74</v>
      </c>
      <c r="AB187" t="s">
        <v>74</v>
      </c>
      <c r="AC187" t="s">
        <v>74</v>
      </c>
      <c r="AD187" t="s">
        <v>74</v>
      </c>
      <c r="AE187" t="s">
        <v>74</v>
      </c>
      <c r="AF187" t="s">
        <v>74</v>
      </c>
      <c r="AG187">
        <v>13</v>
      </c>
      <c r="AH187">
        <v>0</v>
      </c>
      <c r="AI187">
        <v>0</v>
      </c>
      <c r="AJ187">
        <v>0</v>
      </c>
      <c r="AK187">
        <v>1</v>
      </c>
      <c r="AL187" t="s">
        <v>1498</v>
      </c>
      <c r="AM187" t="s">
        <v>985</v>
      </c>
      <c r="AN187" t="s">
        <v>1499</v>
      </c>
      <c r="AO187" t="s">
        <v>74</v>
      </c>
      <c r="AP187" t="s">
        <v>74</v>
      </c>
      <c r="AQ187" t="s">
        <v>3575</v>
      </c>
      <c r="AR187" t="s">
        <v>3576</v>
      </c>
      <c r="AS187" t="s">
        <v>74</v>
      </c>
      <c r="AT187" t="s">
        <v>74</v>
      </c>
      <c r="AU187">
        <v>2012</v>
      </c>
      <c r="AV187">
        <v>66</v>
      </c>
      <c r="AW187" t="s">
        <v>74</v>
      </c>
      <c r="AX187" t="s">
        <v>74</v>
      </c>
      <c r="AY187" t="s">
        <v>74</v>
      </c>
      <c r="AZ187" t="s">
        <v>74</v>
      </c>
      <c r="BA187" t="s">
        <v>74</v>
      </c>
      <c r="BB187">
        <v>48</v>
      </c>
      <c r="BC187">
        <v>58</v>
      </c>
      <c r="BD187" t="s">
        <v>74</v>
      </c>
      <c r="BE187" t="s">
        <v>74</v>
      </c>
      <c r="BF187" t="s">
        <v>74</v>
      </c>
      <c r="BG187" t="s">
        <v>3577</v>
      </c>
      <c r="BH187" t="s">
        <v>74</v>
      </c>
      <c r="BI187">
        <v>11</v>
      </c>
      <c r="BJ187" t="s">
        <v>1474</v>
      </c>
      <c r="BK187" t="s">
        <v>534</v>
      </c>
      <c r="BL187" t="s">
        <v>1474</v>
      </c>
      <c r="BM187" t="s">
        <v>3578</v>
      </c>
      <c r="BN187" t="s">
        <v>74</v>
      </c>
      <c r="BO187" t="s">
        <v>74</v>
      </c>
      <c r="BP187" t="s">
        <v>74</v>
      </c>
      <c r="BQ187" t="s">
        <v>74</v>
      </c>
      <c r="BR187" t="s">
        <v>102</v>
      </c>
      <c r="BS187" t="s">
        <v>3579</v>
      </c>
      <c r="BT187" t="str">
        <f>HYPERLINK("https%3A%2F%2Fwww.webofscience.com%2Fwos%2Fwoscc%2Ffull-record%2FWOS:000336936500005","View Full Record in Web of Science")</f>
        <v>View Full Record in Web of Science</v>
      </c>
    </row>
    <row r="188" spans="1:72" x14ac:dyDescent="0.15">
      <c r="A188" t="s">
        <v>72</v>
      </c>
      <c r="B188" t="s">
        <v>3580</v>
      </c>
      <c r="C188" t="s">
        <v>74</v>
      </c>
      <c r="D188" t="s">
        <v>74</v>
      </c>
      <c r="E188" t="s">
        <v>74</v>
      </c>
      <c r="F188" t="s">
        <v>3581</v>
      </c>
      <c r="G188" t="s">
        <v>74</v>
      </c>
      <c r="H188" t="s">
        <v>74</v>
      </c>
      <c r="I188" t="s">
        <v>3582</v>
      </c>
      <c r="J188" t="s">
        <v>3583</v>
      </c>
      <c r="K188" t="s">
        <v>74</v>
      </c>
      <c r="L188" t="s">
        <v>74</v>
      </c>
      <c r="M188" t="s">
        <v>78</v>
      </c>
      <c r="N188" t="s">
        <v>79</v>
      </c>
      <c r="O188" t="s">
        <v>74</v>
      </c>
      <c r="P188" t="s">
        <v>74</v>
      </c>
      <c r="Q188" t="s">
        <v>74</v>
      </c>
      <c r="R188" t="s">
        <v>74</v>
      </c>
      <c r="S188" t="s">
        <v>74</v>
      </c>
      <c r="T188" t="s">
        <v>74</v>
      </c>
      <c r="U188" t="s">
        <v>3584</v>
      </c>
      <c r="V188" t="s">
        <v>3585</v>
      </c>
      <c r="W188" t="s">
        <v>3586</v>
      </c>
      <c r="X188" t="s">
        <v>3587</v>
      </c>
      <c r="Y188" t="s">
        <v>3588</v>
      </c>
      <c r="Z188" t="s">
        <v>3589</v>
      </c>
      <c r="AA188" t="s">
        <v>3590</v>
      </c>
      <c r="AB188" t="s">
        <v>3591</v>
      </c>
      <c r="AC188" t="s">
        <v>3592</v>
      </c>
      <c r="AD188" t="s">
        <v>3593</v>
      </c>
      <c r="AE188" t="s">
        <v>3594</v>
      </c>
      <c r="AF188" t="s">
        <v>74</v>
      </c>
      <c r="AG188">
        <v>54</v>
      </c>
      <c r="AH188">
        <v>89</v>
      </c>
      <c r="AI188">
        <v>96</v>
      </c>
      <c r="AJ188">
        <v>0</v>
      </c>
      <c r="AK188">
        <v>23</v>
      </c>
      <c r="AL188" t="s">
        <v>766</v>
      </c>
      <c r="AM188" t="s">
        <v>767</v>
      </c>
      <c r="AN188" t="s">
        <v>768</v>
      </c>
      <c r="AO188" t="s">
        <v>3595</v>
      </c>
      <c r="AP188" t="s">
        <v>74</v>
      </c>
      <c r="AQ188" t="s">
        <v>74</v>
      </c>
      <c r="AR188" t="s">
        <v>3596</v>
      </c>
      <c r="AS188" t="s">
        <v>3597</v>
      </c>
      <c r="AT188" t="s">
        <v>74</v>
      </c>
      <c r="AU188">
        <v>2012</v>
      </c>
      <c r="AV188">
        <v>16</v>
      </c>
      <c r="AW188">
        <v>3</v>
      </c>
      <c r="AX188" t="s">
        <v>74</v>
      </c>
      <c r="AY188" t="s">
        <v>74</v>
      </c>
      <c r="AZ188" t="s">
        <v>74</v>
      </c>
      <c r="BA188" t="s">
        <v>74</v>
      </c>
      <c r="BB188">
        <v>967</v>
      </c>
      <c r="BC188">
        <v>982</v>
      </c>
      <c r="BD188" t="s">
        <v>74</v>
      </c>
      <c r="BE188" t="s">
        <v>3598</v>
      </c>
      <c r="BF188" t="str">
        <f>HYPERLINK("http://dx.doi.org/10.5194/hess-16-967-2012","http://dx.doi.org/10.5194/hess-16-967-2012")</f>
        <v>http://dx.doi.org/10.5194/hess-16-967-2012</v>
      </c>
      <c r="BG188" t="s">
        <v>74</v>
      </c>
      <c r="BH188" t="s">
        <v>74</v>
      </c>
      <c r="BI188">
        <v>16</v>
      </c>
      <c r="BJ188" t="s">
        <v>3599</v>
      </c>
      <c r="BK188" t="s">
        <v>100</v>
      </c>
      <c r="BL188" t="s">
        <v>3600</v>
      </c>
      <c r="BM188" t="s">
        <v>3601</v>
      </c>
      <c r="BN188" t="s">
        <v>74</v>
      </c>
      <c r="BO188" t="s">
        <v>1108</v>
      </c>
      <c r="BP188" t="s">
        <v>74</v>
      </c>
      <c r="BQ188" t="s">
        <v>74</v>
      </c>
      <c r="BR188" t="s">
        <v>102</v>
      </c>
      <c r="BS188" t="s">
        <v>3602</v>
      </c>
      <c r="BT188" t="str">
        <f>HYPERLINK("https%3A%2F%2Fwww.webofscience.com%2Fwos%2Fwoscc%2Ffull-record%2FWOS:000302176600022","View Full Record in Web of Science")</f>
        <v>View Full Record in Web of Science</v>
      </c>
    </row>
    <row r="189" spans="1:72" x14ac:dyDescent="0.15">
      <c r="A189" t="s">
        <v>72</v>
      </c>
      <c r="B189" t="s">
        <v>3603</v>
      </c>
      <c r="C189" t="s">
        <v>74</v>
      </c>
      <c r="D189" t="s">
        <v>74</v>
      </c>
      <c r="E189" t="s">
        <v>74</v>
      </c>
      <c r="F189" t="s">
        <v>3604</v>
      </c>
      <c r="G189" t="s">
        <v>74</v>
      </c>
      <c r="H189" t="s">
        <v>74</v>
      </c>
      <c r="I189" t="s">
        <v>3605</v>
      </c>
      <c r="J189" t="s">
        <v>3606</v>
      </c>
      <c r="K189" t="s">
        <v>74</v>
      </c>
      <c r="L189" t="s">
        <v>74</v>
      </c>
      <c r="M189" t="s">
        <v>78</v>
      </c>
      <c r="N189" t="s">
        <v>79</v>
      </c>
      <c r="O189" t="s">
        <v>74</v>
      </c>
      <c r="P189" t="s">
        <v>74</v>
      </c>
      <c r="Q189" t="s">
        <v>74</v>
      </c>
      <c r="R189" t="s">
        <v>74</v>
      </c>
      <c r="S189" t="s">
        <v>74</v>
      </c>
      <c r="T189" t="s">
        <v>3607</v>
      </c>
      <c r="U189" t="s">
        <v>3608</v>
      </c>
      <c r="V189" t="s">
        <v>3609</v>
      </c>
      <c r="W189" t="s">
        <v>3610</v>
      </c>
      <c r="X189" t="s">
        <v>3611</v>
      </c>
      <c r="Y189" t="s">
        <v>3612</v>
      </c>
      <c r="Z189" t="s">
        <v>3613</v>
      </c>
      <c r="AA189" t="s">
        <v>74</v>
      </c>
      <c r="AB189" t="s">
        <v>74</v>
      </c>
      <c r="AC189" t="s">
        <v>3614</v>
      </c>
      <c r="AD189" t="s">
        <v>3615</v>
      </c>
      <c r="AE189" t="s">
        <v>3616</v>
      </c>
      <c r="AF189" t="s">
        <v>74</v>
      </c>
      <c r="AG189">
        <v>71</v>
      </c>
      <c r="AH189">
        <v>54</v>
      </c>
      <c r="AI189">
        <v>63</v>
      </c>
      <c r="AJ189">
        <v>1</v>
      </c>
      <c r="AK189">
        <v>80</v>
      </c>
      <c r="AL189" t="s">
        <v>2832</v>
      </c>
      <c r="AM189" t="s">
        <v>796</v>
      </c>
      <c r="AN189" t="s">
        <v>797</v>
      </c>
      <c r="AO189" t="s">
        <v>3617</v>
      </c>
      <c r="AP189" t="s">
        <v>3618</v>
      </c>
      <c r="AQ189" t="s">
        <v>74</v>
      </c>
      <c r="AR189" t="s">
        <v>3606</v>
      </c>
      <c r="AS189" t="s">
        <v>3619</v>
      </c>
      <c r="AT189" t="s">
        <v>97</v>
      </c>
      <c r="AU189">
        <v>2012</v>
      </c>
      <c r="AV189">
        <v>154</v>
      </c>
      <c r="AW189">
        <v>1</v>
      </c>
      <c r="AX189" t="s">
        <v>74</v>
      </c>
      <c r="AY189" t="s">
        <v>74</v>
      </c>
      <c r="AZ189" t="s">
        <v>74</v>
      </c>
      <c r="BA189" t="s">
        <v>74</v>
      </c>
      <c r="BB189">
        <v>42</v>
      </c>
      <c r="BC189">
        <v>51</v>
      </c>
      <c r="BD189" t="s">
        <v>74</v>
      </c>
      <c r="BE189" t="s">
        <v>3620</v>
      </c>
      <c r="BF189" t="str">
        <f>HYPERLINK("http://dx.doi.org/10.1111/j.1474-919X.2011.01180.x","http://dx.doi.org/10.1111/j.1474-919X.2011.01180.x")</f>
        <v>http://dx.doi.org/10.1111/j.1474-919X.2011.01180.x</v>
      </c>
      <c r="BG189" t="s">
        <v>74</v>
      </c>
      <c r="BH189" t="s">
        <v>74</v>
      </c>
      <c r="BI189">
        <v>10</v>
      </c>
      <c r="BJ189" t="s">
        <v>2880</v>
      </c>
      <c r="BK189" t="s">
        <v>100</v>
      </c>
      <c r="BL189" t="s">
        <v>2881</v>
      </c>
      <c r="BM189" t="s">
        <v>3621</v>
      </c>
      <c r="BN189" t="s">
        <v>74</v>
      </c>
      <c r="BO189" t="s">
        <v>74</v>
      </c>
      <c r="BP189" t="s">
        <v>74</v>
      </c>
      <c r="BQ189" t="s">
        <v>74</v>
      </c>
      <c r="BR189" t="s">
        <v>102</v>
      </c>
      <c r="BS189" t="s">
        <v>3622</v>
      </c>
      <c r="BT189" t="str">
        <f>HYPERLINK("https%3A%2F%2Fwww.webofscience.com%2Fwos%2Fwoscc%2Ffull-record%2FWOS:000298333400006","View Full Record in Web of Science")</f>
        <v>View Full Record in Web of Science</v>
      </c>
    </row>
    <row r="190" spans="1:72" x14ac:dyDescent="0.15">
      <c r="A190" t="s">
        <v>393</v>
      </c>
      <c r="B190" t="s">
        <v>3623</v>
      </c>
      <c r="C190" t="s">
        <v>74</v>
      </c>
      <c r="D190" t="s">
        <v>3624</v>
      </c>
      <c r="E190" t="s">
        <v>74</v>
      </c>
      <c r="F190" t="s">
        <v>3625</v>
      </c>
      <c r="G190" t="s">
        <v>74</v>
      </c>
      <c r="H190" t="s">
        <v>74</v>
      </c>
      <c r="I190" t="s">
        <v>3626</v>
      </c>
      <c r="J190" t="s">
        <v>3627</v>
      </c>
      <c r="K190" t="s">
        <v>74</v>
      </c>
      <c r="L190" t="s">
        <v>74</v>
      </c>
      <c r="M190" t="s">
        <v>78</v>
      </c>
      <c r="N190" t="s">
        <v>400</v>
      </c>
      <c r="O190" t="s">
        <v>3628</v>
      </c>
      <c r="P190" t="s">
        <v>3629</v>
      </c>
      <c r="Q190" t="s">
        <v>3630</v>
      </c>
      <c r="R190" t="s">
        <v>74</v>
      </c>
      <c r="S190" t="s">
        <v>3631</v>
      </c>
      <c r="T190" t="s">
        <v>74</v>
      </c>
      <c r="U190" t="s">
        <v>74</v>
      </c>
      <c r="V190" t="s">
        <v>3632</v>
      </c>
      <c r="W190" t="s">
        <v>3633</v>
      </c>
      <c r="X190" t="s">
        <v>3634</v>
      </c>
      <c r="Y190" t="s">
        <v>3635</v>
      </c>
      <c r="Z190" t="s">
        <v>3636</v>
      </c>
      <c r="AA190" t="s">
        <v>3637</v>
      </c>
      <c r="AB190" t="s">
        <v>3638</v>
      </c>
      <c r="AC190" t="s">
        <v>3639</v>
      </c>
      <c r="AD190" t="s">
        <v>3640</v>
      </c>
      <c r="AE190" t="s">
        <v>3641</v>
      </c>
      <c r="AF190" t="s">
        <v>74</v>
      </c>
      <c r="AG190">
        <v>4</v>
      </c>
      <c r="AH190">
        <v>1</v>
      </c>
      <c r="AI190">
        <v>1</v>
      </c>
      <c r="AJ190">
        <v>0</v>
      </c>
      <c r="AK190">
        <v>2</v>
      </c>
      <c r="AL190" t="s">
        <v>3642</v>
      </c>
      <c r="AM190" t="s">
        <v>3643</v>
      </c>
      <c r="AN190" t="s">
        <v>3644</v>
      </c>
      <c r="AO190" t="s">
        <v>74</v>
      </c>
      <c r="AP190" t="s">
        <v>74</v>
      </c>
      <c r="AQ190" t="s">
        <v>3645</v>
      </c>
      <c r="AR190" t="s">
        <v>74</v>
      </c>
      <c r="AS190" t="s">
        <v>74</v>
      </c>
      <c r="AT190" t="s">
        <v>74</v>
      </c>
      <c r="AU190">
        <v>2012</v>
      </c>
      <c r="AV190" t="s">
        <v>74</v>
      </c>
      <c r="AW190" t="s">
        <v>74</v>
      </c>
      <c r="AX190" t="s">
        <v>74</v>
      </c>
      <c r="AY190" t="s">
        <v>74</v>
      </c>
      <c r="AZ190" t="s">
        <v>74</v>
      </c>
      <c r="BA190" t="s">
        <v>74</v>
      </c>
      <c r="BB190">
        <v>1046</v>
      </c>
      <c r="BC190">
        <v>1057</v>
      </c>
      <c r="BD190" t="s">
        <v>74</v>
      </c>
      <c r="BE190" t="s">
        <v>74</v>
      </c>
      <c r="BF190" t="s">
        <v>74</v>
      </c>
      <c r="BG190" t="s">
        <v>74</v>
      </c>
      <c r="BH190" t="s">
        <v>74</v>
      </c>
      <c r="BI190">
        <v>12</v>
      </c>
      <c r="BJ190" t="s">
        <v>3646</v>
      </c>
      <c r="BK190" t="s">
        <v>419</v>
      </c>
      <c r="BL190" t="s">
        <v>3647</v>
      </c>
      <c r="BM190" t="s">
        <v>3648</v>
      </c>
      <c r="BN190" t="s">
        <v>74</v>
      </c>
      <c r="BO190" t="s">
        <v>74</v>
      </c>
      <c r="BP190" t="s">
        <v>74</v>
      </c>
      <c r="BQ190" t="s">
        <v>74</v>
      </c>
      <c r="BR190" t="s">
        <v>102</v>
      </c>
      <c r="BS190" t="s">
        <v>3649</v>
      </c>
      <c r="BT190" t="str">
        <f>HYPERLINK("https%3A%2F%2Fwww.webofscience.com%2Fwos%2Fwoscc%2Ffull-record%2FWOS:000396804100100","View Full Record in Web of Science")</f>
        <v>View Full Record in Web of Science</v>
      </c>
    </row>
    <row r="191" spans="1:72" x14ac:dyDescent="0.15">
      <c r="A191" t="s">
        <v>393</v>
      </c>
      <c r="B191" t="s">
        <v>3650</v>
      </c>
      <c r="C191" t="s">
        <v>74</v>
      </c>
      <c r="D191" t="s">
        <v>3624</v>
      </c>
      <c r="E191" t="s">
        <v>74</v>
      </c>
      <c r="F191" t="s">
        <v>3651</v>
      </c>
      <c r="G191" t="s">
        <v>74</v>
      </c>
      <c r="H191" t="s">
        <v>74</v>
      </c>
      <c r="I191" t="s">
        <v>3652</v>
      </c>
      <c r="J191" t="s">
        <v>3627</v>
      </c>
      <c r="K191" t="s">
        <v>74</v>
      </c>
      <c r="L191" t="s">
        <v>74</v>
      </c>
      <c r="M191" t="s">
        <v>78</v>
      </c>
      <c r="N191" t="s">
        <v>400</v>
      </c>
      <c r="O191" t="s">
        <v>3628</v>
      </c>
      <c r="P191" t="s">
        <v>3629</v>
      </c>
      <c r="Q191" t="s">
        <v>3630</v>
      </c>
      <c r="R191" t="s">
        <v>74</v>
      </c>
      <c r="S191" t="s">
        <v>3631</v>
      </c>
      <c r="T191" t="s">
        <v>74</v>
      </c>
      <c r="U191" t="s">
        <v>74</v>
      </c>
      <c r="V191" t="s">
        <v>3653</v>
      </c>
      <c r="W191" t="s">
        <v>3654</v>
      </c>
      <c r="X191" t="s">
        <v>3655</v>
      </c>
      <c r="Y191" t="s">
        <v>3656</v>
      </c>
      <c r="Z191" t="s">
        <v>3657</v>
      </c>
      <c r="AA191" t="s">
        <v>3658</v>
      </c>
      <c r="AB191" t="s">
        <v>3659</v>
      </c>
      <c r="AC191" t="s">
        <v>3660</v>
      </c>
      <c r="AD191" t="s">
        <v>3661</v>
      </c>
      <c r="AE191" t="s">
        <v>3662</v>
      </c>
      <c r="AF191" t="s">
        <v>74</v>
      </c>
      <c r="AG191">
        <v>7</v>
      </c>
      <c r="AH191">
        <v>0</v>
      </c>
      <c r="AI191">
        <v>0</v>
      </c>
      <c r="AJ191">
        <v>0</v>
      </c>
      <c r="AK191">
        <v>0</v>
      </c>
      <c r="AL191" t="s">
        <v>3642</v>
      </c>
      <c r="AM191" t="s">
        <v>3643</v>
      </c>
      <c r="AN191" t="s">
        <v>3644</v>
      </c>
      <c r="AO191" t="s">
        <v>74</v>
      </c>
      <c r="AP191" t="s">
        <v>74</v>
      </c>
      <c r="AQ191" t="s">
        <v>3645</v>
      </c>
      <c r="AR191" t="s">
        <v>74</v>
      </c>
      <c r="AS191" t="s">
        <v>74</v>
      </c>
      <c r="AT191" t="s">
        <v>74</v>
      </c>
      <c r="AU191">
        <v>2012</v>
      </c>
      <c r="AV191" t="s">
        <v>74</v>
      </c>
      <c r="AW191" t="s">
        <v>74</v>
      </c>
      <c r="AX191" t="s">
        <v>74</v>
      </c>
      <c r="AY191" t="s">
        <v>74</v>
      </c>
      <c r="AZ191" t="s">
        <v>74</v>
      </c>
      <c r="BA191" t="s">
        <v>74</v>
      </c>
      <c r="BB191">
        <v>1243</v>
      </c>
      <c r="BC191">
        <v>1247</v>
      </c>
      <c r="BD191" t="s">
        <v>74</v>
      </c>
      <c r="BE191" t="s">
        <v>74</v>
      </c>
      <c r="BF191" t="s">
        <v>74</v>
      </c>
      <c r="BG191" t="s">
        <v>74</v>
      </c>
      <c r="BH191" t="s">
        <v>74</v>
      </c>
      <c r="BI191">
        <v>5</v>
      </c>
      <c r="BJ191" t="s">
        <v>3646</v>
      </c>
      <c r="BK191" t="s">
        <v>419</v>
      </c>
      <c r="BL191" t="s">
        <v>3647</v>
      </c>
      <c r="BM191" t="s">
        <v>3648</v>
      </c>
      <c r="BN191" t="s">
        <v>74</v>
      </c>
      <c r="BO191" t="s">
        <v>74</v>
      </c>
      <c r="BP191" t="s">
        <v>74</v>
      </c>
      <c r="BQ191" t="s">
        <v>74</v>
      </c>
      <c r="BR191" t="s">
        <v>102</v>
      </c>
      <c r="BS191" t="s">
        <v>3663</v>
      </c>
      <c r="BT191" t="str">
        <f>HYPERLINK("https%3A%2F%2Fwww.webofscience.com%2Fwos%2Fwoscc%2Ffull-record%2FWOS:000396804100117","View Full Record in Web of Science")</f>
        <v>View Full Record in Web of Science</v>
      </c>
    </row>
    <row r="192" spans="1:72" x14ac:dyDescent="0.15">
      <c r="A192" t="s">
        <v>393</v>
      </c>
      <c r="B192" t="s">
        <v>3664</v>
      </c>
      <c r="C192" t="s">
        <v>74</v>
      </c>
      <c r="D192" t="s">
        <v>3665</v>
      </c>
      <c r="E192" t="s">
        <v>74</v>
      </c>
      <c r="F192" t="s">
        <v>3666</v>
      </c>
      <c r="G192" t="s">
        <v>74</v>
      </c>
      <c r="H192" t="s">
        <v>74</v>
      </c>
      <c r="I192" t="s">
        <v>3667</v>
      </c>
      <c r="J192" t="s">
        <v>3668</v>
      </c>
      <c r="K192" t="s">
        <v>3669</v>
      </c>
      <c r="L192" t="s">
        <v>74</v>
      </c>
      <c r="M192" t="s">
        <v>78</v>
      </c>
      <c r="N192" t="s">
        <v>400</v>
      </c>
      <c r="O192" t="s">
        <v>3670</v>
      </c>
      <c r="P192" t="s">
        <v>3671</v>
      </c>
      <c r="Q192" t="s">
        <v>3672</v>
      </c>
      <c r="R192" t="s">
        <v>74</v>
      </c>
      <c r="S192" t="s">
        <v>74</v>
      </c>
      <c r="T192" t="s">
        <v>3673</v>
      </c>
      <c r="U192" t="s">
        <v>74</v>
      </c>
      <c r="V192" t="s">
        <v>3674</v>
      </c>
      <c r="W192" t="s">
        <v>3675</v>
      </c>
      <c r="X192" t="s">
        <v>3676</v>
      </c>
      <c r="Y192" t="s">
        <v>3677</v>
      </c>
      <c r="Z192" t="s">
        <v>3678</v>
      </c>
      <c r="AA192" t="s">
        <v>3679</v>
      </c>
      <c r="AB192" t="s">
        <v>3680</v>
      </c>
      <c r="AC192" t="s">
        <v>3681</v>
      </c>
      <c r="AD192" t="s">
        <v>3682</v>
      </c>
      <c r="AE192" t="s">
        <v>3683</v>
      </c>
      <c r="AF192" t="s">
        <v>74</v>
      </c>
      <c r="AG192">
        <v>6</v>
      </c>
      <c r="AH192">
        <v>4</v>
      </c>
      <c r="AI192">
        <v>5</v>
      </c>
      <c r="AJ192">
        <v>1</v>
      </c>
      <c r="AK192">
        <v>27</v>
      </c>
      <c r="AL192" t="s">
        <v>3479</v>
      </c>
      <c r="AM192" t="s">
        <v>334</v>
      </c>
      <c r="AN192" t="s">
        <v>3684</v>
      </c>
      <c r="AO192" t="s">
        <v>3685</v>
      </c>
      <c r="AP192" t="s">
        <v>74</v>
      </c>
      <c r="AQ192" t="s">
        <v>74</v>
      </c>
      <c r="AR192" t="s">
        <v>3686</v>
      </c>
      <c r="AS192" t="s">
        <v>74</v>
      </c>
      <c r="AT192" t="s">
        <v>74</v>
      </c>
      <c r="AU192">
        <v>2012</v>
      </c>
      <c r="AV192">
        <v>1</v>
      </c>
      <c r="AW192" t="s">
        <v>74</v>
      </c>
      <c r="AX192" t="s">
        <v>74</v>
      </c>
      <c r="AY192" t="s">
        <v>74</v>
      </c>
      <c r="AZ192" t="s">
        <v>74</v>
      </c>
      <c r="BA192" t="s">
        <v>74</v>
      </c>
      <c r="BB192">
        <v>177</v>
      </c>
      <c r="BC192">
        <v>181</v>
      </c>
      <c r="BD192" t="s">
        <v>74</v>
      </c>
      <c r="BE192" t="s">
        <v>3687</v>
      </c>
      <c r="BF192" t="str">
        <f>HYPERLINK("http://dx.doi.org/10.1016/j.apcbee.2012.03.028","http://dx.doi.org/10.1016/j.apcbee.2012.03.028")</f>
        <v>http://dx.doi.org/10.1016/j.apcbee.2012.03.028</v>
      </c>
      <c r="BG192" t="s">
        <v>74</v>
      </c>
      <c r="BH192" t="s">
        <v>74</v>
      </c>
      <c r="BI192">
        <v>5</v>
      </c>
      <c r="BJ192" t="s">
        <v>3688</v>
      </c>
      <c r="BK192" t="s">
        <v>419</v>
      </c>
      <c r="BL192" t="s">
        <v>3689</v>
      </c>
      <c r="BM192" t="s">
        <v>3690</v>
      </c>
      <c r="BN192" t="s">
        <v>74</v>
      </c>
      <c r="BO192" t="s">
        <v>74</v>
      </c>
      <c r="BP192" t="s">
        <v>74</v>
      </c>
      <c r="BQ192" t="s">
        <v>74</v>
      </c>
      <c r="BR192" t="s">
        <v>102</v>
      </c>
      <c r="BS192" t="s">
        <v>3691</v>
      </c>
      <c r="BT192" t="str">
        <f>HYPERLINK("https%3A%2F%2Fwww.webofscience.com%2Fwos%2Fwoscc%2Ffull-record%2FWOS:000314466700027","View Full Record in Web of Science")</f>
        <v>View Full Record in Web of Science</v>
      </c>
    </row>
    <row r="193" spans="1:72" x14ac:dyDescent="0.15">
      <c r="A193" t="s">
        <v>72</v>
      </c>
      <c r="B193" t="s">
        <v>3692</v>
      </c>
      <c r="C193" t="s">
        <v>74</v>
      </c>
      <c r="D193" t="s">
        <v>74</v>
      </c>
      <c r="E193" t="s">
        <v>74</v>
      </c>
      <c r="F193" t="s">
        <v>3693</v>
      </c>
      <c r="G193" t="s">
        <v>74</v>
      </c>
      <c r="H193" t="s">
        <v>74</v>
      </c>
      <c r="I193" t="s">
        <v>3694</v>
      </c>
      <c r="J193" t="s">
        <v>3695</v>
      </c>
      <c r="K193" t="s">
        <v>74</v>
      </c>
      <c r="L193" t="s">
        <v>74</v>
      </c>
      <c r="M193" t="s">
        <v>78</v>
      </c>
      <c r="N193" t="s">
        <v>79</v>
      </c>
      <c r="O193" t="s">
        <v>74</v>
      </c>
      <c r="P193" t="s">
        <v>74</v>
      </c>
      <c r="Q193" t="s">
        <v>74</v>
      </c>
      <c r="R193" t="s">
        <v>74</v>
      </c>
      <c r="S193" t="s">
        <v>74</v>
      </c>
      <c r="T193" t="s">
        <v>3696</v>
      </c>
      <c r="U193" t="s">
        <v>74</v>
      </c>
      <c r="V193" t="s">
        <v>3697</v>
      </c>
      <c r="W193" t="s">
        <v>3698</v>
      </c>
      <c r="X193" t="s">
        <v>3699</v>
      </c>
      <c r="Y193" t="s">
        <v>3700</v>
      </c>
      <c r="Z193" t="s">
        <v>3701</v>
      </c>
      <c r="AA193" t="s">
        <v>74</v>
      </c>
      <c r="AB193" t="s">
        <v>74</v>
      </c>
      <c r="AC193" t="s">
        <v>74</v>
      </c>
      <c r="AD193" t="s">
        <v>74</v>
      </c>
      <c r="AE193" t="s">
        <v>74</v>
      </c>
      <c r="AF193" t="s">
        <v>74</v>
      </c>
      <c r="AG193">
        <v>16</v>
      </c>
      <c r="AH193">
        <v>0</v>
      </c>
      <c r="AI193">
        <v>0</v>
      </c>
      <c r="AJ193">
        <v>0</v>
      </c>
      <c r="AK193">
        <v>0</v>
      </c>
      <c r="AL193" t="s">
        <v>3702</v>
      </c>
      <c r="AM193" t="s">
        <v>3703</v>
      </c>
      <c r="AN193" t="s">
        <v>3704</v>
      </c>
      <c r="AO193" t="s">
        <v>3705</v>
      </c>
      <c r="AP193" t="s">
        <v>3706</v>
      </c>
      <c r="AQ193" t="s">
        <v>74</v>
      </c>
      <c r="AR193" t="s">
        <v>3707</v>
      </c>
      <c r="AS193" t="s">
        <v>3708</v>
      </c>
      <c r="AT193" t="s">
        <v>74</v>
      </c>
      <c r="AU193">
        <v>2012</v>
      </c>
      <c r="AV193">
        <v>63</v>
      </c>
      <c r="AW193">
        <v>2</v>
      </c>
      <c r="AX193" t="s">
        <v>74</v>
      </c>
      <c r="AY193" t="s">
        <v>74</v>
      </c>
      <c r="AZ193" t="s">
        <v>74</v>
      </c>
      <c r="BA193" t="s">
        <v>74</v>
      </c>
      <c r="BB193">
        <v>102</v>
      </c>
      <c r="BC193">
        <v>105</v>
      </c>
      <c r="BD193" t="s">
        <v>74</v>
      </c>
      <c r="BE193" t="s">
        <v>74</v>
      </c>
      <c r="BF193" t="s">
        <v>74</v>
      </c>
      <c r="BG193" t="s">
        <v>74</v>
      </c>
      <c r="BH193" t="s">
        <v>74</v>
      </c>
      <c r="BI193">
        <v>4</v>
      </c>
      <c r="BJ193" t="s">
        <v>3709</v>
      </c>
      <c r="BK193" t="s">
        <v>1158</v>
      </c>
      <c r="BL193" t="s">
        <v>3709</v>
      </c>
      <c r="BM193" t="s">
        <v>3710</v>
      </c>
      <c r="BN193">
        <v>22972550</v>
      </c>
      <c r="BO193" t="s">
        <v>74</v>
      </c>
      <c r="BP193" t="s">
        <v>74</v>
      </c>
      <c r="BQ193" t="s">
        <v>74</v>
      </c>
      <c r="BR193" t="s">
        <v>102</v>
      </c>
      <c r="BS193" t="s">
        <v>3711</v>
      </c>
      <c r="BT193" t="str">
        <f>HYPERLINK("https%3A%2F%2Fwww.webofscience.com%2Fwos%2Fwoscc%2Ffull-record%2FWOS:000216851300005","View Full Record in Web of Science")</f>
        <v>View Full Record in Web of Science</v>
      </c>
    </row>
    <row r="194" spans="1:72" x14ac:dyDescent="0.15">
      <c r="A194" t="s">
        <v>72</v>
      </c>
      <c r="B194" t="s">
        <v>3712</v>
      </c>
      <c r="C194" t="s">
        <v>74</v>
      </c>
      <c r="D194" t="s">
        <v>74</v>
      </c>
      <c r="E194" t="s">
        <v>74</v>
      </c>
      <c r="F194" t="s">
        <v>3713</v>
      </c>
      <c r="G194" t="s">
        <v>74</v>
      </c>
      <c r="H194" t="s">
        <v>74</v>
      </c>
      <c r="I194" t="s">
        <v>3714</v>
      </c>
      <c r="J194" t="s">
        <v>3715</v>
      </c>
      <c r="K194" t="s">
        <v>74</v>
      </c>
      <c r="L194" t="s">
        <v>74</v>
      </c>
      <c r="M194" t="s">
        <v>78</v>
      </c>
      <c r="N194" t="s">
        <v>79</v>
      </c>
      <c r="O194" t="s">
        <v>74</v>
      </c>
      <c r="P194" t="s">
        <v>74</v>
      </c>
      <c r="Q194" t="s">
        <v>74</v>
      </c>
      <c r="R194" t="s">
        <v>74</v>
      </c>
      <c r="S194" t="s">
        <v>74</v>
      </c>
      <c r="T194" t="s">
        <v>74</v>
      </c>
      <c r="U194" t="s">
        <v>3716</v>
      </c>
      <c r="V194" t="s">
        <v>3717</v>
      </c>
      <c r="W194" t="s">
        <v>3718</v>
      </c>
      <c r="X194" t="s">
        <v>3719</v>
      </c>
      <c r="Y194" t="s">
        <v>3720</v>
      </c>
      <c r="Z194" t="s">
        <v>3721</v>
      </c>
      <c r="AA194" t="s">
        <v>3722</v>
      </c>
      <c r="AB194" t="s">
        <v>3723</v>
      </c>
      <c r="AC194" t="s">
        <v>3724</v>
      </c>
      <c r="AD194" t="s">
        <v>3725</v>
      </c>
      <c r="AE194" t="s">
        <v>3726</v>
      </c>
      <c r="AF194" t="s">
        <v>74</v>
      </c>
      <c r="AG194">
        <v>83</v>
      </c>
      <c r="AH194">
        <v>32</v>
      </c>
      <c r="AI194">
        <v>34</v>
      </c>
      <c r="AJ194">
        <v>1</v>
      </c>
      <c r="AK194">
        <v>31</v>
      </c>
      <c r="AL194" t="s">
        <v>3727</v>
      </c>
      <c r="AM194" t="s">
        <v>3728</v>
      </c>
      <c r="AN194" t="s">
        <v>3729</v>
      </c>
      <c r="AO194" t="s">
        <v>3730</v>
      </c>
      <c r="AP194" t="s">
        <v>3731</v>
      </c>
      <c r="AQ194" t="s">
        <v>74</v>
      </c>
      <c r="AR194" t="s">
        <v>3732</v>
      </c>
      <c r="AS194" t="s">
        <v>3733</v>
      </c>
      <c r="AT194" t="s">
        <v>74</v>
      </c>
      <c r="AU194">
        <v>2012</v>
      </c>
      <c r="AV194">
        <v>26</v>
      </c>
      <c r="AW194" t="s">
        <v>3734</v>
      </c>
      <c r="AX194" t="s">
        <v>74</v>
      </c>
      <c r="AY194" t="s">
        <v>74</v>
      </c>
      <c r="AZ194" t="s">
        <v>74</v>
      </c>
      <c r="BA194" t="s">
        <v>74</v>
      </c>
      <c r="BB194">
        <v>526</v>
      </c>
      <c r="BC194">
        <v>538</v>
      </c>
      <c r="BD194" t="s">
        <v>74</v>
      </c>
      <c r="BE194" t="s">
        <v>3735</v>
      </c>
      <c r="BF194" t="str">
        <f>HYPERLINK("http://dx.doi.org/10.1071/IS12034","http://dx.doi.org/10.1071/IS12034")</f>
        <v>http://dx.doi.org/10.1071/IS12034</v>
      </c>
      <c r="BG194" t="s">
        <v>74</v>
      </c>
      <c r="BH194" t="s">
        <v>74</v>
      </c>
      <c r="BI194">
        <v>13</v>
      </c>
      <c r="BJ194" t="s">
        <v>3736</v>
      </c>
      <c r="BK194" t="s">
        <v>100</v>
      </c>
      <c r="BL194" t="s">
        <v>3736</v>
      </c>
      <c r="BM194" t="s">
        <v>3737</v>
      </c>
      <c r="BN194" t="s">
        <v>74</v>
      </c>
      <c r="BO194" t="s">
        <v>74</v>
      </c>
      <c r="BP194" t="s">
        <v>74</v>
      </c>
      <c r="BQ194" t="s">
        <v>74</v>
      </c>
      <c r="BR194" t="s">
        <v>102</v>
      </c>
      <c r="BS194" t="s">
        <v>3738</v>
      </c>
      <c r="BT194" t="str">
        <f>HYPERLINK("https%3A%2F%2Fwww.webofscience.com%2Fwos%2Fwoscc%2Ffull-record%2FWOS:000312483900010","View Full Record in Web of Science")</f>
        <v>View Full Record in Web of Science</v>
      </c>
    </row>
    <row r="195" spans="1:72" x14ac:dyDescent="0.15">
      <c r="A195" t="s">
        <v>72</v>
      </c>
      <c r="B195" t="s">
        <v>3739</v>
      </c>
      <c r="C195" t="s">
        <v>74</v>
      </c>
      <c r="D195" t="s">
        <v>74</v>
      </c>
      <c r="E195" t="s">
        <v>74</v>
      </c>
      <c r="F195" t="s">
        <v>3740</v>
      </c>
      <c r="G195" t="s">
        <v>74</v>
      </c>
      <c r="H195" t="s">
        <v>74</v>
      </c>
      <c r="I195" t="s">
        <v>3741</v>
      </c>
      <c r="J195" t="s">
        <v>3742</v>
      </c>
      <c r="K195" t="s">
        <v>74</v>
      </c>
      <c r="L195" t="s">
        <v>74</v>
      </c>
      <c r="M195" t="s">
        <v>78</v>
      </c>
      <c r="N195" t="s">
        <v>79</v>
      </c>
      <c r="O195" t="s">
        <v>74</v>
      </c>
      <c r="P195" t="s">
        <v>74</v>
      </c>
      <c r="Q195" t="s">
        <v>74</v>
      </c>
      <c r="R195" t="s">
        <v>74</v>
      </c>
      <c r="S195" t="s">
        <v>74</v>
      </c>
      <c r="T195" t="s">
        <v>74</v>
      </c>
      <c r="U195" t="s">
        <v>3743</v>
      </c>
      <c r="V195" t="s">
        <v>3744</v>
      </c>
      <c r="W195" t="s">
        <v>3745</v>
      </c>
      <c r="X195" t="s">
        <v>3746</v>
      </c>
      <c r="Y195" t="s">
        <v>3747</v>
      </c>
      <c r="Z195" t="s">
        <v>3748</v>
      </c>
      <c r="AA195" t="s">
        <v>3749</v>
      </c>
      <c r="AB195" t="s">
        <v>3750</v>
      </c>
      <c r="AC195" t="s">
        <v>3751</v>
      </c>
      <c r="AD195" t="s">
        <v>3752</v>
      </c>
      <c r="AE195" t="s">
        <v>3753</v>
      </c>
      <c r="AF195" t="s">
        <v>74</v>
      </c>
      <c r="AG195">
        <v>56</v>
      </c>
      <c r="AH195">
        <v>68</v>
      </c>
      <c r="AI195">
        <v>74</v>
      </c>
      <c r="AJ195">
        <v>3</v>
      </c>
      <c r="AK195">
        <v>77</v>
      </c>
      <c r="AL195" t="s">
        <v>1728</v>
      </c>
      <c r="AM195" t="s">
        <v>814</v>
      </c>
      <c r="AN195" t="s">
        <v>1729</v>
      </c>
      <c r="AO195" t="s">
        <v>3754</v>
      </c>
      <c r="AP195" t="s">
        <v>3755</v>
      </c>
      <c r="AQ195" t="s">
        <v>74</v>
      </c>
      <c r="AR195" t="s">
        <v>3756</v>
      </c>
      <c r="AS195" t="s">
        <v>3757</v>
      </c>
      <c r="AT195" t="s">
        <v>74</v>
      </c>
      <c r="AU195">
        <v>2012</v>
      </c>
      <c r="AV195">
        <v>27</v>
      </c>
      <c r="AW195">
        <v>2</v>
      </c>
      <c r="AX195" t="s">
        <v>74</v>
      </c>
      <c r="AY195" t="s">
        <v>74</v>
      </c>
      <c r="AZ195" t="s">
        <v>74</v>
      </c>
      <c r="BA195" t="s">
        <v>74</v>
      </c>
      <c r="BB195">
        <v>310</v>
      </c>
      <c r="BC195">
        <v>317</v>
      </c>
      <c r="BD195" t="s">
        <v>74</v>
      </c>
      <c r="BE195" t="s">
        <v>3758</v>
      </c>
      <c r="BF195" t="str">
        <f>HYPERLINK("http://dx.doi.org/10.1039/c1ja10276a","http://dx.doi.org/10.1039/c1ja10276a")</f>
        <v>http://dx.doi.org/10.1039/c1ja10276a</v>
      </c>
      <c r="BG195" t="s">
        <v>74</v>
      </c>
      <c r="BH195" t="s">
        <v>74</v>
      </c>
      <c r="BI195">
        <v>8</v>
      </c>
      <c r="BJ195" t="s">
        <v>3759</v>
      </c>
      <c r="BK195" t="s">
        <v>100</v>
      </c>
      <c r="BL195" t="s">
        <v>3760</v>
      </c>
      <c r="BM195" t="s">
        <v>3761</v>
      </c>
      <c r="BN195" t="s">
        <v>74</v>
      </c>
      <c r="BO195" t="s">
        <v>1796</v>
      </c>
      <c r="BP195" t="s">
        <v>74</v>
      </c>
      <c r="BQ195" t="s">
        <v>74</v>
      </c>
      <c r="BR195" t="s">
        <v>102</v>
      </c>
      <c r="BS195" t="s">
        <v>3762</v>
      </c>
      <c r="BT195" t="str">
        <f>HYPERLINK("https%3A%2F%2Fwww.webofscience.com%2Fwos%2Fwoscc%2Ffull-record%2FWOS:000299292900013","View Full Record in Web of Science")</f>
        <v>View Full Record in Web of Science</v>
      </c>
    </row>
    <row r="196" spans="1:72" x14ac:dyDescent="0.15">
      <c r="A196" t="s">
        <v>72</v>
      </c>
      <c r="B196" t="s">
        <v>3763</v>
      </c>
      <c r="C196" t="s">
        <v>74</v>
      </c>
      <c r="D196" t="s">
        <v>74</v>
      </c>
      <c r="E196" t="s">
        <v>74</v>
      </c>
      <c r="F196" t="s">
        <v>3764</v>
      </c>
      <c r="G196" t="s">
        <v>74</v>
      </c>
      <c r="H196" t="s">
        <v>74</v>
      </c>
      <c r="I196" t="s">
        <v>3765</v>
      </c>
      <c r="J196" t="s">
        <v>3766</v>
      </c>
      <c r="K196" t="s">
        <v>74</v>
      </c>
      <c r="L196" t="s">
        <v>74</v>
      </c>
      <c r="M196" t="s">
        <v>78</v>
      </c>
      <c r="N196" t="s">
        <v>79</v>
      </c>
      <c r="O196" t="s">
        <v>74</v>
      </c>
      <c r="P196" t="s">
        <v>74</v>
      </c>
      <c r="Q196" t="s">
        <v>74</v>
      </c>
      <c r="R196" t="s">
        <v>74</v>
      </c>
      <c r="S196" t="s">
        <v>74</v>
      </c>
      <c r="T196" t="s">
        <v>74</v>
      </c>
      <c r="U196" t="s">
        <v>3767</v>
      </c>
      <c r="V196" t="s">
        <v>3768</v>
      </c>
      <c r="W196" t="s">
        <v>3769</v>
      </c>
      <c r="X196" t="s">
        <v>3770</v>
      </c>
      <c r="Y196" t="s">
        <v>3771</v>
      </c>
      <c r="Z196" t="s">
        <v>3772</v>
      </c>
      <c r="AA196" t="s">
        <v>3773</v>
      </c>
      <c r="AB196" t="s">
        <v>3774</v>
      </c>
      <c r="AC196" t="s">
        <v>74</v>
      </c>
      <c r="AD196" t="s">
        <v>74</v>
      </c>
      <c r="AE196" t="s">
        <v>74</v>
      </c>
      <c r="AF196" t="s">
        <v>74</v>
      </c>
      <c r="AG196">
        <v>21</v>
      </c>
      <c r="AH196">
        <v>21</v>
      </c>
      <c r="AI196">
        <v>23</v>
      </c>
      <c r="AJ196">
        <v>0</v>
      </c>
      <c r="AK196">
        <v>8</v>
      </c>
      <c r="AL196" t="s">
        <v>3775</v>
      </c>
      <c r="AM196" t="s">
        <v>3776</v>
      </c>
      <c r="AN196" t="s">
        <v>3777</v>
      </c>
      <c r="AO196" t="s">
        <v>3778</v>
      </c>
      <c r="AP196" t="s">
        <v>3779</v>
      </c>
      <c r="AQ196" t="s">
        <v>74</v>
      </c>
      <c r="AR196" t="s">
        <v>3780</v>
      </c>
      <c r="AS196" t="s">
        <v>3781</v>
      </c>
      <c r="AT196" t="s">
        <v>97</v>
      </c>
      <c r="AU196">
        <v>2012</v>
      </c>
      <c r="AV196">
        <v>29</v>
      </c>
      <c r="AW196">
        <v>1</v>
      </c>
      <c r="AX196" t="s">
        <v>74</v>
      </c>
      <c r="AY196" t="s">
        <v>74</v>
      </c>
      <c r="AZ196" t="s">
        <v>74</v>
      </c>
      <c r="BA196" t="s">
        <v>74</v>
      </c>
      <c r="BB196">
        <v>77</v>
      </c>
      <c r="BC196">
        <v>88</v>
      </c>
      <c r="BD196" t="s">
        <v>74</v>
      </c>
      <c r="BE196" t="s">
        <v>3782</v>
      </c>
      <c r="BF196" t="str">
        <f>HYPERLINK("http://dx.doi.org/10.1175/JTECH-D-11-00020.1","http://dx.doi.org/10.1175/JTECH-D-11-00020.1")</f>
        <v>http://dx.doi.org/10.1175/JTECH-D-11-00020.1</v>
      </c>
      <c r="BG196" t="s">
        <v>74</v>
      </c>
      <c r="BH196" t="s">
        <v>74</v>
      </c>
      <c r="BI196">
        <v>12</v>
      </c>
      <c r="BJ196" t="s">
        <v>3783</v>
      </c>
      <c r="BK196" t="s">
        <v>100</v>
      </c>
      <c r="BL196" t="s">
        <v>3784</v>
      </c>
      <c r="BM196" t="s">
        <v>3785</v>
      </c>
      <c r="BN196" t="s">
        <v>74</v>
      </c>
      <c r="BO196" t="s">
        <v>3786</v>
      </c>
      <c r="BP196" t="s">
        <v>74</v>
      </c>
      <c r="BQ196" t="s">
        <v>74</v>
      </c>
      <c r="BR196" t="s">
        <v>102</v>
      </c>
      <c r="BS196" t="s">
        <v>3787</v>
      </c>
      <c r="BT196" t="str">
        <f>HYPERLINK("https%3A%2F%2Fwww.webofscience.com%2Fwos%2Fwoscc%2Ffull-record%2FWOS:000299497400006","View Full Record in Web of Science")</f>
        <v>View Full Record in Web of Science</v>
      </c>
    </row>
    <row r="197" spans="1:72" x14ac:dyDescent="0.15">
      <c r="A197" t="s">
        <v>72</v>
      </c>
      <c r="B197" t="s">
        <v>3788</v>
      </c>
      <c r="C197" t="s">
        <v>74</v>
      </c>
      <c r="D197" t="s">
        <v>74</v>
      </c>
      <c r="E197" t="s">
        <v>74</v>
      </c>
      <c r="F197" t="s">
        <v>3789</v>
      </c>
      <c r="G197" t="s">
        <v>74</v>
      </c>
      <c r="H197" t="s">
        <v>74</v>
      </c>
      <c r="I197" t="s">
        <v>3790</v>
      </c>
      <c r="J197" t="s">
        <v>3791</v>
      </c>
      <c r="K197" t="s">
        <v>74</v>
      </c>
      <c r="L197" t="s">
        <v>74</v>
      </c>
      <c r="M197" t="s">
        <v>78</v>
      </c>
      <c r="N197" t="s">
        <v>79</v>
      </c>
      <c r="O197" t="s">
        <v>74</v>
      </c>
      <c r="P197" t="s">
        <v>74</v>
      </c>
      <c r="Q197" t="s">
        <v>74</v>
      </c>
      <c r="R197" t="s">
        <v>74</v>
      </c>
      <c r="S197" t="s">
        <v>74</v>
      </c>
      <c r="T197" t="s">
        <v>74</v>
      </c>
      <c r="U197" t="s">
        <v>3792</v>
      </c>
      <c r="V197" t="s">
        <v>3793</v>
      </c>
      <c r="W197" t="s">
        <v>3794</v>
      </c>
      <c r="X197" t="s">
        <v>3795</v>
      </c>
      <c r="Y197" t="s">
        <v>3796</v>
      </c>
      <c r="Z197" t="s">
        <v>3797</v>
      </c>
      <c r="AA197" t="s">
        <v>74</v>
      </c>
      <c r="AB197" t="s">
        <v>3798</v>
      </c>
      <c r="AC197" t="s">
        <v>3799</v>
      </c>
      <c r="AD197" t="s">
        <v>3800</v>
      </c>
      <c r="AE197" t="s">
        <v>3801</v>
      </c>
      <c r="AF197" t="s">
        <v>74</v>
      </c>
      <c r="AG197">
        <v>53</v>
      </c>
      <c r="AH197">
        <v>43</v>
      </c>
      <c r="AI197">
        <v>44</v>
      </c>
      <c r="AJ197">
        <v>1</v>
      </c>
      <c r="AK197">
        <v>25</v>
      </c>
      <c r="AL197" t="s">
        <v>3802</v>
      </c>
      <c r="AM197" t="s">
        <v>985</v>
      </c>
      <c r="AN197" t="s">
        <v>3803</v>
      </c>
      <c r="AO197" t="s">
        <v>3804</v>
      </c>
      <c r="AP197" t="s">
        <v>74</v>
      </c>
      <c r="AQ197" t="s">
        <v>74</v>
      </c>
      <c r="AR197" t="s">
        <v>3805</v>
      </c>
      <c r="AS197" t="s">
        <v>3806</v>
      </c>
      <c r="AT197" t="s">
        <v>97</v>
      </c>
      <c r="AU197">
        <v>2012</v>
      </c>
      <c r="AV197">
        <v>8</v>
      </c>
      <c r="AW197">
        <v>1</v>
      </c>
      <c r="AX197" t="s">
        <v>74</v>
      </c>
      <c r="AY197" t="s">
        <v>74</v>
      </c>
      <c r="AZ197" t="s">
        <v>74</v>
      </c>
      <c r="BA197" t="s">
        <v>74</v>
      </c>
      <c r="BB197">
        <v>322</v>
      </c>
      <c r="BC197">
        <v>334</v>
      </c>
      <c r="BD197" t="s">
        <v>74</v>
      </c>
      <c r="BE197" t="s">
        <v>3807</v>
      </c>
      <c r="BF197" t="str">
        <f>HYPERLINK("http://dx.doi.org/10.1021/ct2005837","http://dx.doi.org/10.1021/ct2005837")</f>
        <v>http://dx.doi.org/10.1021/ct2005837</v>
      </c>
      <c r="BG197" t="s">
        <v>74</v>
      </c>
      <c r="BH197" t="s">
        <v>74</v>
      </c>
      <c r="BI197">
        <v>13</v>
      </c>
      <c r="BJ197" t="s">
        <v>3808</v>
      </c>
      <c r="BK197" t="s">
        <v>100</v>
      </c>
      <c r="BL197" t="s">
        <v>3809</v>
      </c>
      <c r="BM197" t="s">
        <v>3810</v>
      </c>
      <c r="BN197">
        <v>26592893</v>
      </c>
      <c r="BO197" t="s">
        <v>74</v>
      </c>
      <c r="BP197" t="s">
        <v>74</v>
      </c>
      <c r="BQ197" t="s">
        <v>74</v>
      </c>
      <c r="BR197" t="s">
        <v>102</v>
      </c>
      <c r="BS197" t="s">
        <v>3811</v>
      </c>
      <c r="BT197" t="str">
        <f>HYPERLINK("https%3A%2F%2Fwww.webofscience.com%2Fwos%2Fwoscc%2Ffull-record%2FWOS:000298908500034","View Full Record in Web of Science")</f>
        <v>View Full Record in Web of Science</v>
      </c>
    </row>
    <row r="198" spans="1:72" x14ac:dyDescent="0.15">
      <c r="A198" t="s">
        <v>72</v>
      </c>
      <c r="B198" t="s">
        <v>3812</v>
      </c>
      <c r="C198" t="s">
        <v>74</v>
      </c>
      <c r="D198" t="s">
        <v>74</v>
      </c>
      <c r="E198" t="s">
        <v>74</v>
      </c>
      <c r="F198" t="s">
        <v>3813</v>
      </c>
      <c r="G198" t="s">
        <v>74</v>
      </c>
      <c r="H198" t="s">
        <v>74</v>
      </c>
      <c r="I198" t="s">
        <v>3814</v>
      </c>
      <c r="J198" t="s">
        <v>3815</v>
      </c>
      <c r="K198" t="s">
        <v>74</v>
      </c>
      <c r="L198" t="s">
        <v>74</v>
      </c>
      <c r="M198" t="s">
        <v>78</v>
      </c>
      <c r="N198" t="s">
        <v>79</v>
      </c>
      <c r="O198" t="s">
        <v>74</v>
      </c>
      <c r="P198" t="s">
        <v>74</v>
      </c>
      <c r="Q198" t="s">
        <v>74</v>
      </c>
      <c r="R198" t="s">
        <v>74</v>
      </c>
      <c r="S198" t="s">
        <v>74</v>
      </c>
      <c r="T198" t="s">
        <v>74</v>
      </c>
      <c r="U198" t="s">
        <v>3816</v>
      </c>
      <c r="V198" t="s">
        <v>3817</v>
      </c>
      <c r="W198" t="s">
        <v>3818</v>
      </c>
      <c r="X198" t="s">
        <v>3819</v>
      </c>
      <c r="Y198" t="s">
        <v>3820</v>
      </c>
      <c r="Z198" t="s">
        <v>3821</v>
      </c>
      <c r="AA198" t="s">
        <v>3822</v>
      </c>
      <c r="AB198" t="s">
        <v>3823</v>
      </c>
      <c r="AC198" t="s">
        <v>3824</v>
      </c>
      <c r="AD198" t="s">
        <v>3825</v>
      </c>
      <c r="AE198" t="s">
        <v>3826</v>
      </c>
      <c r="AF198" t="s">
        <v>74</v>
      </c>
      <c r="AG198">
        <v>45</v>
      </c>
      <c r="AH198">
        <v>109</v>
      </c>
      <c r="AI198">
        <v>116</v>
      </c>
      <c r="AJ198">
        <v>1</v>
      </c>
      <c r="AK198">
        <v>51</v>
      </c>
      <c r="AL198" t="s">
        <v>3775</v>
      </c>
      <c r="AM198" t="s">
        <v>3776</v>
      </c>
      <c r="AN198" t="s">
        <v>3777</v>
      </c>
      <c r="AO198" t="s">
        <v>3827</v>
      </c>
      <c r="AP198" t="s">
        <v>3828</v>
      </c>
      <c r="AQ198" t="s">
        <v>74</v>
      </c>
      <c r="AR198" t="s">
        <v>3829</v>
      </c>
      <c r="AS198" t="s">
        <v>3830</v>
      </c>
      <c r="AT198" t="s">
        <v>97</v>
      </c>
      <c r="AU198">
        <v>2012</v>
      </c>
      <c r="AV198">
        <v>25</v>
      </c>
      <c r="AW198">
        <v>1</v>
      </c>
      <c r="AX198" t="s">
        <v>74</v>
      </c>
      <c r="AY198" t="s">
        <v>74</v>
      </c>
      <c r="AZ198" t="s">
        <v>74</v>
      </c>
      <c r="BA198" t="s">
        <v>74</v>
      </c>
      <c r="BB198">
        <v>99</v>
      </c>
      <c r="BC198">
        <v>110</v>
      </c>
      <c r="BD198" t="s">
        <v>74</v>
      </c>
      <c r="BE198" t="s">
        <v>3831</v>
      </c>
      <c r="BF198" t="str">
        <f>HYPERLINK("http://dx.doi.org/10.1175/2011JCLI4204.1","http://dx.doi.org/10.1175/2011JCLI4204.1")</f>
        <v>http://dx.doi.org/10.1175/2011JCLI4204.1</v>
      </c>
      <c r="BG198" t="s">
        <v>74</v>
      </c>
      <c r="BH198" t="s">
        <v>74</v>
      </c>
      <c r="BI198">
        <v>12</v>
      </c>
      <c r="BJ198" t="s">
        <v>463</v>
      </c>
      <c r="BK198" t="s">
        <v>100</v>
      </c>
      <c r="BL198" t="s">
        <v>463</v>
      </c>
      <c r="BM198" t="s">
        <v>3832</v>
      </c>
      <c r="BN198" t="s">
        <v>74</v>
      </c>
      <c r="BO198" t="s">
        <v>3833</v>
      </c>
      <c r="BP198" t="s">
        <v>74</v>
      </c>
      <c r="BQ198" t="s">
        <v>74</v>
      </c>
      <c r="BR198" t="s">
        <v>102</v>
      </c>
      <c r="BS198" t="s">
        <v>3834</v>
      </c>
      <c r="BT198" t="str">
        <f>HYPERLINK("https%3A%2F%2Fwww.webofscience.com%2Fwos%2Fwoscc%2Ffull-record%2FWOS:000299130000007","View Full Record in Web of Science")</f>
        <v>View Full Record in Web of Science</v>
      </c>
    </row>
    <row r="199" spans="1:72" x14ac:dyDescent="0.15">
      <c r="A199" t="s">
        <v>72</v>
      </c>
      <c r="B199" t="s">
        <v>3835</v>
      </c>
      <c r="C199" t="s">
        <v>74</v>
      </c>
      <c r="D199" t="s">
        <v>74</v>
      </c>
      <c r="E199" t="s">
        <v>74</v>
      </c>
      <c r="F199" t="s">
        <v>3836</v>
      </c>
      <c r="G199" t="s">
        <v>74</v>
      </c>
      <c r="H199" t="s">
        <v>74</v>
      </c>
      <c r="I199" t="s">
        <v>3837</v>
      </c>
      <c r="J199" t="s">
        <v>3815</v>
      </c>
      <c r="K199" t="s">
        <v>74</v>
      </c>
      <c r="L199" t="s">
        <v>74</v>
      </c>
      <c r="M199" t="s">
        <v>78</v>
      </c>
      <c r="N199" t="s">
        <v>79</v>
      </c>
      <c r="O199" t="s">
        <v>74</v>
      </c>
      <c r="P199" t="s">
        <v>74</v>
      </c>
      <c r="Q199" t="s">
        <v>74</v>
      </c>
      <c r="R199" t="s">
        <v>74</v>
      </c>
      <c r="S199" t="s">
        <v>74</v>
      </c>
      <c r="T199" t="s">
        <v>74</v>
      </c>
      <c r="U199" t="s">
        <v>3838</v>
      </c>
      <c r="V199" t="s">
        <v>3839</v>
      </c>
      <c r="W199" t="s">
        <v>3840</v>
      </c>
      <c r="X199" t="s">
        <v>3841</v>
      </c>
      <c r="Y199" t="s">
        <v>3842</v>
      </c>
      <c r="Z199" t="s">
        <v>3843</v>
      </c>
      <c r="AA199" t="s">
        <v>3844</v>
      </c>
      <c r="AB199" t="s">
        <v>3845</v>
      </c>
      <c r="AC199" t="s">
        <v>3846</v>
      </c>
      <c r="AD199" t="s">
        <v>3847</v>
      </c>
      <c r="AE199" t="s">
        <v>3848</v>
      </c>
      <c r="AF199" t="s">
        <v>74</v>
      </c>
      <c r="AG199">
        <v>30</v>
      </c>
      <c r="AH199">
        <v>15</v>
      </c>
      <c r="AI199">
        <v>16</v>
      </c>
      <c r="AJ199">
        <v>0</v>
      </c>
      <c r="AK199">
        <v>8</v>
      </c>
      <c r="AL199" t="s">
        <v>3775</v>
      </c>
      <c r="AM199" t="s">
        <v>3776</v>
      </c>
      <c r="AN199" t="s">
        <v>3777</v>
      </c>
      <c r="AO199" t="s">
        <v>3827</v>
      </c>
      <c r="AP199" t="s">
        <v>3828</v>
      </c>
      <c r="AQ199" t="s">
        <v>74</v>
      </c>
      <c r="AR199" t="s">
        <v>3829</v>
      </c>
      <c r="AS199" t="s">
        <v>3830</v>
      </c>
      <c r="AT199" t="s">
        <v>97</v>
      </c>
      <c r="AU199">
        <v>2012</v>
      </c>
      <c r="AV199">
        <v>25</v>
      </c>
      <c r="AW199">
        <v>1</v>
      </c>
      <c r="AX199" t="s">
        <v>74</v>
      </c>
      <c r="AY199" t="s">
        <v>74</v>
      </c>
      <c r="AZ199" t="s">
        <v>74</v>
      </c>
      <c r="BA199" t="s">
        <v>74</v>
      </c>
      <c r="BB199">
        <v>282</v>
      </c>
      <c r="BC199">
        <v>298</v>
      </c>
      <c r="BD199" t="s">
        <v>74</v>
      </c>
      <c r="BE199" t="s">
        <v>3849</v>
      </c>
      <c r="BF199" t="str">
        <f>HYPERLINK("http://dx.doi.org/10.1175/2011JCLI4245.1","http://dx.doi.org/10.1175/2011JCLI4245.1")</f>
        <v>http://dx.doi.org/10.1175/2011JCLI4245.1</v>
      </c>
      <c r="BG199" t="s">
        <v>74</v>
      </c>
      <c r="BH199" t="s">
        <v>74</v>
      </c>
      <c r="BI199">
        <v>17</v>
      </c>
      <c r="BJ199" t="s">
        <v>463</v>
      </c>
      <c r="BK199" t="s">
        <v>100</v>
      </c>
      <c r="BL199" t="s">
        <v>463</v>
      </c>
      <c r="BM199" t="s">
        <v>3832</v>
      </c>
      <c r="BN199" t="s">
        <v>74</v>
      </c>
      <c r="BO199" t="s">
        <v>365</v>
      </c>
      <c r="BP199" t="s">
        <v>74</v>
      </c>
      <c r="BQ199" t="s">
        <v>74</v>
      </c>
      <c r="BR199" t="s">
        <v>102</v>
      </c>
      <c r="BS199" t="s">
        <v>3850</v>
      </c>
      <c r="BT199" t="str">
        <f>HYPERLINK("https%3A%2F%2Fwww.webofscience.com%2Fwos%2Fwoscc%2Ffull-record%2FWOS:000299130000017","View Full Record in Web of Science")</f>
        <v>View Full Record in Web of Science</v>
      </c>
    </row>
    <row r="200" spans="1:72" x14ac:dyDescent="0.15">
      <c r="A200" t="s">
        <v>72</v>
      </c>
      <c r="B200" t="s">
        <v>3851</v>
      </c>
      <c r="C200" t="s">
        <v>74</v>
      </c>
      <c r="D200" t="s">
        <v>74</v>
      </c>
      <c r="E200" t="s">
        <v>74</v>
      </c>
      <c r="F200" t="s">
        <v>3852</v>
      </c>
      <c r="G200" t="s">
        <v>74</v>
      </c>
      <c r="H200" t="s">
        <v>74</v>
      </c>
      <c r="I200" t="s">
        <v>3853</v>
      </c>
      <c r="J200" t="s">
        <v>3854</v>
      </c>
      <c r="K200" t="s">
        <v>74</v>
      </c>
      <c r="L200" t="s">
        <v>74</v>
      </c>
      <c r="M200" t="s">
        <v>78</v>
      </c>
      <c r="N200" t="s">
        <v>1513</v>
      </c>
      <c r="O200" t="s">
        <v>74</v>
      </c>
      <c r="P200" t="s">
        <v>74</v>
      </c>
      <c r="Q200" t="s">
        <v>74</v>
      </c>
      <c r="R200" t="s">
        <v>74</v>
      </c>
      <c r="S200" t="s">
        <v>74</v>
      </c>
      <c r="T200" t="s">
        <v>3855</v>
      </c>
      <c r="U200" t="s">
        <v>3856</v>
      </c>
      <c r="V200" t="s">
        <v>3857</v>
      </c>
      <c r="W200" t="s">
        <v>3858</v>
      </c>
      <c r="X200" t="s">
        <v>527</v>
      </c>
      <c r="Y200" t="s">
        <v>3859</v>
      </c>
      <c r="Z200" t="s">
        <v>3860</v>
      </c>
      <c r="AA200" t="s">
        <v>3861</v>
      </c>
      <c r="AB200" t="s">
        <v>3862</v>
      </c>
      <c r="AC200" t="s">
        <v>3863</v>
      </c>
      <c r="AD200" t="s">
        <v>1007</v>
      </c>
      <c r="AE200" t="s">
        <v>74</v>
      </c>
      <c r="AF200" t="s">
        <v>74</v>
      </c>
      <c r="AG200">
        <v>135</v>
      </c>
      <c r="AH200">
        <v>65</v>
      </c>
      <c r="AI200">
        <v>67</v>
      </c>
      <c r="AJ200">
        <v>0</v>
      </c>
      <c r="AK200">
        <v>62</v>
      </c>
      <c r="AL200" t="s">
        <v>3864</v>
      </c>
      <c r="AM200" t="s">
        <v>221</v>
      </c>
      <c r="AN200" t="s">
        <v>3865</v>
      </c>
      <c r="AO200" t="s">
        <v>3866</v>
      </c>
      <c r="AP200" t="s">
        <v>3867</v>
      </c>
      <c r="AQ200" t="s">
        <v>74</v>
      </c>
      <c r="AR200" t="s">
        <v>3868</v>
      </c>
      <c r="AS200" t="s">
        <v>3869</v>
      </c>
      <c r="AT200" t="s">
        <v>97</v>
      </c>
      <c r="AU200">
        <v>2012</v>
      </c>
      <c r="AV200">
        <v>93</v>
      </c>
      <c r="AW200">
        <v>1</v>
      </c>
      <c r="AX200" t="s">
        <v>74</v>
      </c>
      <c r="AY200" t="s">
        <v>74</v>
      </c>
      <c r="AZ200" t="s">
        <v>74</v>
      </c>
      <c r="BA200" t="s">
        <v>74</v>
      </c>
      <c r="BB200">
        <v>52</v>
      </c>
      <c r="BC200">
        <v>66</v>
      </c>
      <c r="BD200" t="s">
        <v>74</v>
      </c>
      <c r="BE200" t="s">
        <v>3870</v>
      </c>
      <c r="BF200" t="str">
        <f>HYPERLINK("http://dx.doi.org/10.1016/j.jenvman.2011.08.017","http://dx.doi.org/10.1016/j.jenvman.2011.08.017")</f>
        <v>http://dx.doi.org/10.1016/j.jenvman.2011.08.017</v>
      </c>
      <c r="BG200" t="s">
        <v>74</v>
      </c>
      <c r="BH200" t="s">
        <v>74</v>
      </c>
      <c r="BI200">
        <v>15</v>
      </c>
      <c r="BJ200" t="s">
        <v>2924</v>
      </c>
      <c r="BK200" t="s">
        <v>100</v>
      </c>
      <c r="BL200" t="s">
        <v>2837</v>
      </c>
      <c r="BM200" t="s">
        <v>3871</v>
      </c>
      <c r="BN200">
        <v>22054571</v>
      </c>
      <c r="BO200" t="s">
        <v>74</v>
      </c>
      <c r="BP200" t="s">
        <v>74</v>
      </c>
      <c r="BQ200" t="s">
        <v>74</v>
      </c>
      <c r="BR200" t="s">
        <v>102</v>
      </c>
      <c r="BS200" t="s">
        <v>3872</v>
      </c>
      <c r="BT200" t="str">
        <f>HYPERLINK("https%3A%2F%2Fwww.webofscience.com%2Fwos%2Fwoscc%2Ffull-record%2FWOS:000297971000007","View Full Record in Web of Science")</f>
        <v>View Full Record in Web of Science</v>
      </c>
    </row>
    <row r="201" spans="1:72" x14ac:dyDescent="0.15">
      <c r="A201" t="s">
        <v>72</v>
      </c>
      <c r="B201" t="s">
        <v>3873</v>
      </c>
      <c r="C201" t="s">
        <v>74</v>
      </c>
      <c r="D201" t="s">
        <v>74</v>
      </c>
      <c r="E201" t="s">
        <v>74</v>
      </c>
      <c r="F201" t="s">
        <v>3874</v>
      </c>
      <c r="G201" t="s">
        <v>74</v>
      </c>
      <c r="H201" t="s">
        <v>74</v>
      </c>
      <c r="I201" t="s">
        <v>3875</v>
      </c>
      <c r="J201" t="s">
        <v>3876</v>
      </c>
      <c r="K201" t="s">
        <v>74</v>
      </c>
      <c r="L201" t="s">
        <v>74</v>
      </c>
      <c r="M201" t="s">
        <v>451</v>
      </c>
      <c r="N201" t="s">
        <v>1513</v>
      </c>
      <c r="O201" t="s">
        <v>74</v>
      </c>
      <c r="P201" t="s">
        <v>74</v>
      </c>
      <c r="Q201" t="s">
        <v>74</v>
      </c>
      <c r="R201" t="s">
        <v>74</v>
      </c>
      <c r="S201" t="s">
        <v>74</v>
      </c>
      <c r="T201" t="s">
        <v>3877</v>
      </c>
      <c r="U201" t="s">
        <v>3878</v>
      </c>
      <c r="V201" t="s">
        <v>3879</v>
      </c>
      <c r="W201" t="s">
        <v>3880</v>
      </c>
      <c r="X201" t="s">
        <v>3881</v>
      </c>
      <c r="Y201" t="s">
        <v>3882</v>
      </c>
      <c r="Z201" t="s">
        <v>74</v>
      </c>
      <c r="AA201" t="s">
        <v>74</v>
      </c>
      <c r="AB201" t="s">
        <v>74</v>
      </c>
      <c r="AC201" t="s">
        <v>3883</v>
      </c>
      <c r="AD201" t="s">
        <v>3884</v>
      </c>
      <c r="AE201" t="s">
        <v>74</v>
      </c>
      <c r="AF201" t="s">
        <v>74</v>
      </c>
      <c r="AG201">
        <v>89</v>
      </c>
      <c r="AH201">
        <v>2</v>
      </c>
      <c r="AI201">
        <v>2</v>
      </c>
      <c r="AJ201">
        <v>0</v>
      </c>
      <c r="AK201">
        <v>1</v>
      </c>
      <c r="AL201" t="s">
        <v>3885</v>
      </c>
      <c r="AM201" t="s">
        <v>93</v>
      </c>
      <c r="AN201" t="s">
        <v>3886</v>
      </c>
      <c r="AO201" t="s">
        <v>3887</v>
      </c>
      <c r="AP201" t="s">
        <v>3888</v>
      </c>
      <c r="AQ201" t="s">
        <v>74</v>
      </c>
      <c r="AR201" t="s">
        <v>3889</v>
      </c>
      <c r="AS201" t="s">
        <v>3890</v>
      </c>
      <c r="AT201" t="s">
        <v>74</v>
      </c>
      <c r="AU201">
        <v>2012</v>
      </c>
      <c r="AV201">
        <v>121</v>
      </c>
      <c r="AW201">
        <v>2</v>
      </c>
      <c r="AX201" t="s">
        <v>74</v>
      </c>
      <c r="AY201" t="s">
        <v>74</v>
      </c>
      <c r="AZ201" t="s">
        <v>339</v>
      </c>
      <c r="BA201" t="s">
        <v>74</v>
      </c>
      <c r="BB201">
        <v>215</v>
      </c>
      <c r="BC201">
        <v>234</v>
      </c>
      <c r="BD201" t="s">
        <v>74</v>
      </c>
      <c r="BE201" t="s">
        <v>3891</v>
      </c>
      <c r="BF201" t="str">
        <f>HYPERLINK("http://dx.doi.org/10.5026/jgeography.121.215","http://dx.doi.org/10.5026/jgeography.121.215")</f>
        <v>http://dx.doi.org/10.5026/jgeography.121.215</v>
      </c>
      <c r="BG201" t="s">
        <v>74</v>
      </c>
      <c r="BH201" t="s">
        <v>74</v>
      </c>
      <c r="BI201">
        <v>20</v>
      </c>
      <c r="BJ201" t="s">
        <v>3892</v>
      </c>
      <c r="BK201" t="s">
        <v>1158</v>
      </c>
      <c r="BL201" t="s">
        <v>3893</v>
      </c>
      <c r="BM201" t="s">
        <v>3894</v>
      </c>
      <c r="BN201" t="s">
        <v>74</v>
      </c>
      <c r="BO201" t="s">
        <v>365</v>
      </c>
      <c r="BP201" t="s">
        <v>74</v>
      </c>
      <c r="BQ201" t="s">
        <v>74</v>
      </c>
      <c r="BR201" t="s">
        <v>102</v>
      </c>
      <c r="BS201" t="s">
        <v>3895</v>
      </c>
      <c r="BT201" t="str">
        <f>HYPERLINK("https%3A%2F%2Fwww.webofscience.com%2Fwos%2Fwoscc%2Ffull-record%2FWOS:000446272600003","View Full Record in Web of Science")</f>
        <v>View Full Record in Web of Science</v>
      </c>
    </row>
    <row r="202" spans="1:72" x14ac:dyDescent="0.15">
      <c r="A202" t="s">
        <v>72</v>
      </c>
      <c r="B202" t="s">
        <v>3896</v>
      </c>
      <c r="C202" t="s">
        <v>74</v>
      </c>
      <c r="D202" t="s">
        <v>74</v>
      </c>
      <c r="E202" t="s">
        <v>74</v>
      </c>
      <c r="F202" t="s">
        <v>3897</v>
      </c>
      <c r="G202" t="s">
        <v>74</v>
      </c>
      <c r="H202" t="s">
        <v>74</v>
      </c>
      <c r="I202" t="s">
        <v>3898</v>
      </c>
      <c r="J202" t="s">
        <v>3876</v>
      </c>
      <c r="K202" t="s">
        <v>74</v>
      </c>
      <c r="L202" t="s">
        <v>74</v>
      </c>
      <c r="M202" t="s">
        <v>78</v>
      </c>
      <c r="N202" t="s">
        <v>79</v>
      </c>
      <c r="O202" t="s">
        <v>74</v>
      </c>
      <c r="P202" t="s">
        <v>74</v>
      </c>
      <c r="Q202" t="s">
        <v>74</v>
      </c>
      <c r="R202" t="s">
        <v>74</v>
      </c>
      <c r="S202" t="s">
        <v>74</v>
      </c>
      <c r="T202" t="s">
        <v>74</v>
      </c>
      <c r="U202" t="s">
        <v>74</v>
      </c>
      <c r="V202" t="s">
        <v>74</v>
      </c>
      <c r="W202" t="s">
        <v>3899</v>
      </c>
      <c r="X202" t="s">
        <v>3900</v>
      </c>
      <c r="Y202" t="s">
        <v>3901</v>
      </c>
      <c r="Z202" t="s">
        <v>74</v>
      </c>
      <c r="AA202" t="s">
        <v>74</v>
      </c>
      <c r="AB202" t="s">
        <v>74</v>
      </c>
      <c r="AC202" t="s">
        <v>74</v>
      </c>
      <c r="AD202" t="s">
        <v>74</v>
      </c>
      <c r="AE202" t="s">
        <v>74</v>
      </c>
      <c r="AF202" t="s">
        <v>74</v>
      </c>
      <c r="AG202">
        <v>5</v>
      </c>
      <c r="AH202">
        <v>0</v>
      </c>
      <c r="AI202">
        <v>0</v>
      </c>
      <c r="AJ202">
        <v>0</v>
      </c>
      <c r="AK202">
        <v>0</v>
      </c>
      <c r="AL202" t="s">
        <v>3885</v>
      </c>
      <c r="AM202" t="s">
        <v>93</v>
      </c>
      <c r="AN202" t="s">
        <v>3886</v>
      </c>
      <c r="AO202" t="s">
        <v>3887</v>
      </c>
      <c r="AP202" t="s">
        <v>3888</v>
      </c>
      <c r="AQ202" t="s">
        <v>74</v>
      </c>
      <c r="AR202" t="s">
        <v>3889</v>
      </c>
      <c r="AS202" t="s">
        <v>3890</v>
      </c>
      <c r="AT202" t="s">
        <v>74</v>
      </c>
      <c r="AU202">
        <v>2012</v>
      </c>
      <c r="AV202">
        <v>121</v>
      </c>
      <c r="AW202">
        <v>3</v>
      </c>
      <c r="AX202" t="s">
        <v>74</v>
      </c>
      <c r="AY202" t="s">
        <v>74</v>
      </c>
      <c r="AZ202" t="s">
        <v>339</v>
      </c>
      <c r="BA202" t="s">
        <v>74</v>
      </c>
      <c r="BB202">
        <v>471</v>
      </c>
      <c r="BC202">
        <v>473</v>
      </c>
      <c r="BD202" t="s">
        <v>74</v>
      </c>
      <c r="BE202" t="s">
        <v>3902</v>
      </c>
      <c r="BF202" t="str">
        <f>HYPERLINK("http://dx.doi.org/10.5026/jgeography.121.471","http://dx.doi.org/10.5026/jgeography.121.471")</f>
        <v>http://dx.doi.org/10.5026/jgeography.121.471</v>
      </c>
      <c r="BG202" t="s">
        <v>74</v>
      </c>
      <c r="BH202" t="s">
        <v>74</v>
      </c>
      <c r="BI202">
        <v>3</v>
      </c>
      <c r="BJ202" t="s">
        <v>3892</v>
      </c>
      <c r="BK202" t="s">
        <v>1158</v>
      </c>
      <c r="BL202" t="s">
        <v>3893</v>
      </c>
      <c r="BM202" t="s">
        <v>3903</v>
      </c>
      <c r="BN202" t="s">
        <v>74</v>
      </c>
      <c r="BO202" t="s">
        <v>365</v>
      </c>
      <c r="BP202" t="s">
        <v>74</v>
      </c>
      <c r="BQ202" t="s">
        <v>74</v>
      </c>
      <c r="BR202" t="s">
        <v>102</v>
      </c>
      <c r="BS202" t="s">
        <v>3904</v>
      </c>
      <c r="BT202" t="str">
        <f>HYPERLINK("https%3A%2F%2Fwww.webofscience.com%2Fwos%2Fwoscc%2Ffull-record%2FWOS:000446273000005","View Full Record in Web of Science")</f>
        <v>View Full Record in Web of Science</v>
      </c>
    </row>
    <row r="203" spans="1:72" x14ac:dyDescent="0.15">
      <c r="A203" t="s">
        <v>72</v>
      </c>
      <c r="B203" t="s">
        <v>3896</v>
      </c>
      <c r="C203" t="s">
        <v>74</v>
      </c>
      <c r="D203" t="s">
        <v>74</v>
      </c>
      <c r="E203" t="s">
        <v>74</v>
      </c>
      <c r="F203" t="s">
        <v>3897</v>
      </c>
      <c r="G203" t="s">
        <v>74</v>
      </c>
      <c r="H203" t="s">
        <v>74</v>
      </c>
      <c r="I203" t="s">
        <v>3905</v>
      </c>
      <c r="J203" t="s">
        <v>3876</v>
      </c>
      <c r="K203" t="s">
        <v>74</v>
      </c>
      <c r="L203" t="s">
        <v>74</v>
      </c>
      <c r="M203" t="s">
        <v>451</v>
      </c>
      <c r="N203" t="s">
        <v>810</v>
      </c>
      <c r="O203" t="s">
        <v>74</v>
      </c>
      <c r="P203" t="s">
        <v>74</v>
      </c>
      <c r="Q203" t="s">
        <v>74</v>
      </c>
      <c r="R203" t="s">
        <v>74</v>
      </c>
      <c r="S203" t="s">
        <v>74</v>
      </c>
      <c r="T203" t="s">
        <v>74</v>
      </c>
      <c r="U203" t="s">
        <v>74</v>
      </c>
      <c r="V203" t="s">
        <v>74</v>
      </c>
      <c r="W203" t="s">
        <v>3906</v>
      </c>
      <c r="X203" t="s">
        <v>3900</v>
      </c>
      <c r="Y203" t="s">
        <v>3901</v>
      </c>
      <c r="Z203" t="s">
        <v>74</v>
      </c>
      <c r="AA203" t="s">
        <v>74</v>
      </c>
      <c r="AB203" t="s">
        <v>74</v>
      </c>
      <c r="AC203" t="s">
        <v>74</v>
      </c>
      <c r="AD203" t="s">
        <v>74</v>
      </c>
      <c r="AE203" t="s">
        <v>74</v>
      </c>
      <c r="AF203" t="s">
        <v>74</v>
      </c>
      <c r="AG203">
        <v>5</v>
      </c>
      <c r="AH203">
        <v>0</v>
      </c>
      <c r="AI203">
        <v>0</v>
      </c>
      <c r="AJ203">
        <v>0</v>
      </c>
      <c r="AK203">
        <v>0</v>
      </c>
      <c r="AL203" t="s">
        <v>3885</v>
      </c>
      <c r="AM203" t="s">
        <v>93</v>
      </c>
      <c r="AN203" t="s">
        <v>3886</v>
      </c>
      <c r="AO203" t="s">
        <v>3887</v>
      </c>
      <c r="AP203" t="s">
        <v>3888</v>
      </c>
      <c r="AQ203" t="s">
        <v>74</v>
      </c>
      <c r="AR203" t="s">
        <v>3889</v>
      </c>
      <c r="AS203" t="s">
        <v>3890</v>
      </c>
      <c r="AT203" t="s">
        <v>74</v>
      </c>
      <c r="AU203">
        <v>2012</v>
      </c>
      <c r="AV203">
        <v>121</v>
      </c>
      <c r="AW203">
        <v>3</v>
      </c>
      <c r="AX203" t="s">
        <v>74</v>
      </c>
      <c r="AY203" t="s">
        <v>74</v>
      </c>
      <c r="AZ203" t="s">
        <v>339</v>
      </c>
      <c r="BA203" t="s">
        <v>74</v>
      </c>
      <c r="BB203">
        <v>474</v>
      </c>
      <c r="BC203">
        <v>477</v>
      </c>
      <c r="BD203" t="s">
        <v>74</v>
      </c>
      <c r="BE203" t="s">
        <v>3907</v>
      </c>
      <c r="BF203" t="str">
        <f>HYPERLINK("http://dx.doi.org/10.5026/jgeography.121.474","http://dx.doi.org/10.5026/jgeography.121.474")</f>
        <v>http://dx.doi.org/10.5026/jgeography.121.474</v>
      </c>
      <c r="BG203" t="s">
        <v>74</v>
      </c>
      <c r="BH203" t="s">
        <v>74</v>
      </c>
      <c r="BI203">
        <v>4</v>
      </c>
      <c r="BJ203" t="s">
        <v>3892</v>
      </c>
      <c r="BK203" t="s">
        <v>1158</v>
      </c>
      <c r="BL203" t="s">
        <v>3893</v>
      </c>
      <c r="BM203" t="s">
        <v>3903</v>
      </c>
      <c r="BN203" t="s">
        <v>74</v>
      </c>
      <c r="BO203" t="s">
        <v>365</v>
      </c>
      <c r="BP203" t="s">
        <v>74</v>
      </c>
      <c r="BQ203" t="s">
        <v>74</v>
      </c>
      <c r="BR203" t="s">
        <v>102</v>
      </c>
      <c r="BS203" t="s">
        <v>3908</v>
      </c>
      <c r="BT203" t="str">
        <f>HYPERLINK("https%3A%2F%2Fwww.webofscience.com%2Fwos%2Fwoscc%2Ffull-record%2FWOS:000446273000006","View Full Record in Web of Science")</f>
        <v>View Full Record in Web of Science</v>
      </c>
    </row>
    <row r="204" spans="1:72" x14ac:dyDescent="0.15">
      <c r="A204" t="s">
        <v>72</v>
      </c>
      <c r="B204" t="s">
        <v>3909</v>
      </c>
      <c r="C204" t="s">
        <v>74</v>
      </c>
      <c r="D204" t="s">
        <v>74</v>
      </c>
      <c r="E204" t="s">
        <v>74</v>
      </c>
      <c r="F204" t="s">
        <v>3910</v>
      </c>
      <c r="G204" t="s">
        <v>74</v>
      </c>
      <c r="H204" t="s">
        <v>74</v>
      </c>
      <c r="I204" t="s">
        <v>3911</v>
      </c>
      <c r="J204" t="s">
        <v>3876</v>
      </c>
      <c r="K204" t="s">
        <v>74</v>
      </c>
      <c r="L204" t="s">
        <v>74</v>
      </c>
      <c r="M204" t="s">
        <v>451</v>
      </c>
      <c r="N204" t="s">
        <v>1513</v>
      </c>
      <c r="O204" t="s">
        <v>74</v>
      </c>
      <c r="P204" t="s">
        <v>74</v>
      </c>
      <c r="Q204" t="s">
        <v>74</v>
      </c>
      <c r="R204" t="s">
        <v>74</v>
      </c>
      <c r="S204" t="s">
        <v>74</v>
      </c>
      <c r="T204" t="s">
        <v>3912</v>
      </c>
      <c r="U204" t="s">
        <v>3913</v>
      </c>
      <c r="V204" t="s">
        <v>3914</v>
      </c>
      <c r="W204" t="s">
        <v>3915</v>
      </c>
      <c r="X204" t="s">
        <v>3916</v>
      </c>
      <c r="Y204" t="s">
        <v>3917</v>
      </c>
      <c r="Z204" t="s">
        <v>74</v>
      </c>
      <c r="AA204" t="s">
        <v>74</v>
      </c>
      <c r="AB204" t="s">
        <v>3918</v>
      </c>
      <c r="AC204" t="s">
        <v>74</v>
      </c>
      <c r="AD204" t="s">
        <v>74</v>
      </c>
      <c r="AE204" t="s">
        <v>74</v>
      </c>
      <c r="AF204" t="s">
        <v>74</v>
      </c>
      <c r="AG204">
        <v>59</v>
      </c>
      <c r="AH204">
        <v>2</v>
      </c>
      <c r="AI204">
        <v>2</v>
      </c>
      <c r="AJ204">
        <v>0</v>
      </c>
      <c r="AK204">
        <v>2</v>
      </c>
      <c r="AL204" t="s">
        <v>3885</v>
      </c>
      <c r="AM204" t="s">
        <v>93</v>
      </c>
      <c r="AN204" t="s">
        <v>3886</v>
      </c>
      <c r="AO204" t="s">
        <v>3887</v>
      </c>
      <c r="AP204" t="s">
        <v>3888</v>
      </c>
      <c r="AQ204" t="s">
        <v>74</v>
      </c>
      <c r="AR204" t="s">
        <v>3889</v>
      </c>
      <c r="AS204" t="s">
        <v>3890</v>
      </c>
      <c r="AT204" t="s">
        <v>74</v>
      </c>
      <c r="AU204">
        <v>2012</v>
      </c>
      <c r="AV204">
        <v>121</v>
      </c>
      <c r="AW204">
        <v>3</v>
      </c>
      <c r="AX204" t="s">
        <v>74</v>
      </c>
      <c r="AY204" t="s">
        <v>74</v>
      </c>
      <c r="AZ204" t="s">
        <v>339</v>
      </c>
      <c r="BA204" t="s">
        <v>74</v>
      </c>
      <c r="BB204">
        <v>493</v>
      </c>
      <c r="BC204">
        <v>517</v>
      </c>
      <c r="BD204" t="s">
        <v>74</v>
      </c>
      <c r="BE204" t="s">
        <v>3919</v>
      </c>
      <c r="BF204" t="str">
        <f>HYPERLINK("http://dx.doi.org/10.5026/jgeography.121.493","http://dx.doi.org/10.5026/jgeography.121.493")</f>
        <v>http://dx.doi.org/10.5026/jgeography.121.493</v>
      </c>
      <c r="BG204" t="s">
        <v>74</v>
      </c>
      <c r="BH204" t="s">
        <v>74</v>
      </c>
      <c r="BI204">
        <v>25</v>
      </c>
      <c r="BJ204" t="s">
        <v>3892</v>
      </c>
      <c r="BK204" t="s">
        <v>1158</v>
      </c>
      <c r="BL204" t="s">
        <v>3893</v>
      </c>
      <c r="BM204" t="s">
        <v>3903</v>
      </c>
      <c r="BN204" t="s">
        <v>74</v>
      </c>
      <c r="BO204" t="s">
        <v>365</v>
      </c>
      <c r="BP204" t="s">
        <v>74</v>
      </c>
      <c r="BQ204" t="s">
        <v>74</v>
      </c>
      <c r="BR204" t="s">
        <v>102</v>
      </c>
      <c r="BS204" t="s">
        <v>3920</v>
      </c>
      <c r="BT204" t="str">
        <f>HYPERLINK("https%3A%2F%2Fwww.webofscience.com%2Fwos%2Fwoscc%2Ffull-record%2FWOS:000446273000008","View Full Record in Web of Science")</f>
        <v>View Full Record in Web of Science</v>
      </c>
    </row>
    <row r="205" spans="1:72" x14ac:dyDescent="0.15">
      <c r="A205" t="s">
        <v>72</v>
      </c>
      <c r="B205" t="s">
        <v>3921</v>
      </c>
      <c r="C205" t="s">
        <v>74</v>
      </c>
      <c r="D205" t="s">
        <v>74</v>
      </c>
      <c r="E205" t="s">
        <v>74</v>
      </c>
      <c r="F205" t="s">
        <v>3922</v>
      </c>
      <c r="G205" t="s">
        <v>74</v>
      </c>
      <c r="H205" t="s">
        <v>74</v>
      </c>
      <c r="I205" t="s">
        <v>3923</v>
      </c>
      <c r="J205" t="s">
        <v>3876</v>
      </c>
      <c r="K205" t="s">
        <v>74</v>
      </c>
      <c r="L205" t="s">
        <v>74</v>
      </c>
      <c r="M205" t="s">
        <v>451</v>
      </c>
      <c r="N205" t="s">
        <v>1513</v>
      </c>
      <c r="O205" t="s">
        <v>74</v>
      </c>
      <c r="P205" t="s">
        <v>74</v>
      </c>
      <c r="Q205" t="s">
        <v>74</v>
      </c>
      <c r="R205" t="s">
        <v>74</v>
      </c>
      <c r="S205" t="s">
        <v>74</v>
      </c>
      <c r="T205" t="s">
        <v>3924</v>
      </c>
      <c r="U205" t="s">
        <v>74</v>
      </c>
      <c r="V205" t="s">
        <v>3925</v>
      </c>
      <c r="W205" t="s">
        <v>3926</v>
      </c>
      <c r="X205" t="s">
        <v>3927</v>
      </c>
      <c r="Y205" t="s">
        <v>3928</v>
      </c>
      <c r="Z205" t="s">
        <v>74</v>
      </c>
      <c r="AA205" t="s">
        <v>74</v>
      </c>
      <c r="AB205" t="s">
        <v>74</v>
      </c>
      <c r="AC205" t="s">
        <v>74</v>
      </c>
      <c r="AD205" t="s">
        <v>74</v>
      </c>
      <c r="AE205" t="s">
        <v>74</v>
      </c>
      <c r="AF205" t="s">
        <v>74</v>
      </c>
      <c r="AG205">
        <v>53</v>
      </c>
      <c r="AH205">
        <v>2</v>
      </c>
      <c r="AI205">
        <v>2</v>
      </c>
      <c r="AJ205">
        <v>0</v>
      </c>
      <c r="AK205">
        <v>4</v>
      </c>
      <c r="AL205" t="s">
        <v>3885</v>
      </c>
      <c r="AM205" t="s">
        <v>93</v>
      </c>
      <c r="AN205" t="s">
        <v>3886</v>
      </c>
      <c r="AO205" t="s">
        <v>3887</v>
      </c>
      <c r="AP205" t="s">
        <v>3888</v>
      </c>
      <c r="AQ205" t="s">
        <v>74</v>
      </c>
      <c r="AR205" t="s">
        <v>3889</v>
      </c>
      <c r="AS205" t="s">
        <v>3890</v>
      </c>
      <c r="AT205" t="s">
        <v>74</v>
      </c>
      <c r="AU205">
        <v>2012</v>
      </c>
      <c r="AV205">
        <v>121</v>
      </c>
      <c r="AW205">
        <v>3</v>
      </c>
      <c r="AX205" t="s">
        <v>74</v>
      </c>
      <c r="AY205" t="s">
        <v>74</v>
      </c>
      <c r="AZ205" t="s">
        <v>339</v>
      </c>
      <c r="BA205" t="s">
        <v>74</v>
      </c>
      <c r="BB205">
        <v>518</v>
      </c>
      <c r="BC205">
        <v>535</v>
      </c>
      <c r="BD205" t="s">
        <v>74</v>
      </c>
      <c r="BE205" t="s">
        <v>3929</v>
      </c>
      <c r="BF205" t="str">
        <f>HYPERLINK("http://dx.doi.org/10.5026/jgeography.121.518","http://dx.doi.org/10.5026/jgeography.121.518")</f>
        <v>http://dx.doi.org/10.5026/jgeography.121.518</v>
      </c>
      <c r="BG205" t="s">
        <v>74</v>
      </c>
      <c r="BH205" t="s">
        <v>74</v>
      </c>
      <c r="BI205">
        <v>18</v>
      </c>
      <c r="BJ205" t="s">
        <v>3892</v>
      </c>
      <c r="BK205" t="s">
        <v>1158</v>
      </c>
      <c r="BL205" t="s">
        <v>3893</v>
      </c>
      <c r="BM205" t="s">
        <v>3903</v>
      </c>
      <c r="BN205" t="s">
        <v>74</v>
      </c>
      <c r="BO205" t="s">
        <v>365</v>
      </c>
      <c r="BP205" t="s">
        <v>74</v>
      </c>
      <c r="BQ205" t="s">
        <v>74</v>
      </c>
      <c r="BR205" t="s">
        <v>102</v>
      </c>
      <c r="BS205" t="s">
        <v>3930</v>
      </c>
      <c r="BT205" t="str">
        <f>HYPERLINK("https%3A%2F%2Fwww.webofscience.com%2Fwos%2Fwoscc%2Ffull-record%2FWOS:000446273000009","View Full Record in Web of Science")</f>
        <v>View Full Record in Web of Science</v>
      </c>
    </row>
    <row r="206" spans="1:72" x14ac:dyDescent="0.15">
      <c r="A206" t="s">
        <v>72</v>
      </c>
      <c r="B206" t="s">
        <v>3931</v>
      </c>
      <c r="C206" t="s">
        <v>74</v>
      </c>
      <c r="D206" t="s">
        <v>74</v>
      </c>
      <c r="E206" t="s">
        <v>74</v>
      </c>
      <c r="F206" t="s">
        <v>3932</v>
      </c>
      <c r="G206" t="s">
        <v>74</v>
      </c>
      <c r="H206" t="s">
        <v>74</v>
      </c>
      <c r="I206" t="s">
        <v>3933</v>
      </c>
      <c r="J206" t="s">
        <v>3876</v>
      </c>
      <c r="K206" t="s">
        <v>74</v>
      </c>
      <c r="L206" t="s">
        <v>74</v>
      </c>
      <c r="M206" t="s">
        <v>451</v>
      </c>
      <c r="N206" t="s">
        <v>1513</v>
      </c>
      <c r="O206" t="s">
        <v>74</v>
      </c>
      <c r="P206" t="s">
        <v>74</v>
      </c>
      <c r="Q206" t="s">
        <v>74</v>
      </c>
      <c r="R206" t="s">
        <v>74</v>
      </c>
      <c r="S206" t="s">
        <v>74</v>
      </c>
      <c r="T206" t="s">
        <v>3934</v>
      </c>
      <c r="U206" t="s">
        <v>3935</v>
      </c>
      <c r="V206" t="s">
        <v>3936</v>
      </c>
      <c r="W206" t="s">
        <v>3937</v>
      </c>
      <c r="X206" t="s">
        <v>3938</v>
      </c>
      <c r="Y206" t="s">
        <v>3939</v>
      </c>
      <c r="Z206" t="s">
        <v>74</v>
      </c>
      <c r="AA206" t="s">
        <v>74</v>
      </c>
      <c r="AB206" t="s">
        <v>74</v>
      </c>
      <c r="AC206" t="s">
        <v>74</v>
      </c>
      <c r="AD206" t="s">
        <v>74</v>
      </c>
      <c r="AE206" t="s">
        <v>74</v>
      </c>
      <c r="AF206" t="s">
        <v>74</v>
      </c>
      <c r="AG206">
        <v>91</v>
      </c>
      <c r="AH206">
        <v>3</v>
      </c>
      <c r="AI206">
        <v>3</v>
      </c>
      <c r="AJ206">
        <v>1</v>
      </c>
      <c r="AK206">
        <v>3</v>
      </c>
      <c r="AL206" t="s">
        <v>3885</v>
      </c>
      <c r="AM206" t="s">
        <v>93</v>
      </c>
      <c r="AN206" t="s">
        <v>3886</v>
      </c>
      <c r="AO206" t="s">
        <v>3887</v>
      </c>
      <c r="AP206" t="s">
        <v>3888</v>
      </c>
      <c r="AQ206" t="s">
        <v>74</v>
      </c>
      <c r="AR206" t="s">
        <v>3889</v>
      </c>
      <c r="AS206" t="s">
        <v>3890</v>
      </c>
      <c r="AT206" t="s">
        <v>74</v>
      </c>
      <c r="AU206">
        <v>2012</v>
      </c>
      <c r="AV206">
        <v>121</v>
      </c>
      <c r="AW206">
        <v>3</v>
      </c>
      <c r="AX206" t="s">
        <v>74</v>
      </c>
      <c r="AY206" t="s">
        <v>74</v>
      </c>
      <c r="AZ206" t="s">
        <v>339</v>
      </c>
      <c r="BA206" t="s">
        <v>74</v>
      </c>
      <c r="BB206">
        <v>536</v>
      </c>
      <c r="BC206">
        <v>554</v>
      </c>
      <c r="BD206" t="s">
        <v>74</v>
      </c>
      <c r="BE206" t="s">
        <v>3940</v>
      </c>
      <c r="BF206" t="str">
        <f>HYPERLINK("http://dx.doi.org/10.5026/jgeography.121.536","http://dx.doi.org/10.5026/jgeography.121.536")</f>
        <v>http://dx.doi.org/10.5026/jgeography.121.536</v>
      </c>
      <c r="BG206" t="s">
        <v>74</v>
      </c>
      <c r="BH206" t="s">
        <v>74</v>
      </c>
      <c r="BI206">
        <v>19</v>
      </c>
      <c r="BJ206" t="s">
        <v>3892</v>
      </c>
      <c r="BK206" t="s">
        <v>1158</v>
      </c>
      <c r="BL206" t="s">
        <v>3893</v>
      </c>
      <c r="BM206" t="s">
        <v>3903</v>
      </c>
      <c r="BN206" t="s">
        <v>74</v>
      </c>
      <c r="BO206" t="s">
        <v>365</v>
      </c>
      <c r="BP206" t="s">
        <v>74</v>
      </c>
      <c r="BQ206" t="s">
        <v>74</v>
      </c>
      <c r="BR206" t="s">
        <v>102</v>
      </c>
      <c r="BS206" t="s">
        <v>3941</v>
      </c>
      <c r="BT206" t="str">
        <f>HYPERLINK("https%3A%2F%2Fwww.webofscience.com%2Fwos%2Fwoscc%2Ffull-record%2FWOS:000446273000010","View Full Record in Web of Science")</f>
        <v>View Full Record in Web of Science</v>
      </c>
    </row>
    <row r="207" spans="1:72" x14ac:dyDescent="0.15">
      <c r="A207" t="s">
        <v>72</v>
      </c>
      <c r="B207" t="s">
        <v>3942</v>
      </c>
      <c r="C207" t="s">
        <v>74</v>
      </c>
      <c r="D207" t="s">
        <v>74</v>
      </c>
      <c r="E207" t="s">
        <v>74</v>
      </c>
      <c r="F207" t="s">
        <v>3943</v>
      </c>
      <c r="G207" t="s">
        <v>74</v>
      </c>
      <c r="H207" t="s">
        <v>74</v>
      </c>
      <c r="I207" t="s">
        <v>3944</v>
      </c>
      <c r="J207" t="s">
        <v>3945</v>
      </c>
      <c r="K207" t="s">
        <v>74</v>
      </c>
      <c r="L207" t="s">
        <v>74</v>
      </c>
      <c r="M207" t="s">
        <v>78</v>
      </c>
      <c r="N207" t="s">
        <v>79</v>
      </c>
      <c r="O207" t="s">
        <v>74</v>
      </c>
      <c r="P207" t="s">
        <v>74</v>
      </c>
      <c r="Q207" t="s">
        <v>74</v>
      </c>
      <c r="R207" t="s">
        <v>74</v>
      </c>
      <c r="S207" t="s">
        <v>74</v>
      </c>
      <c r="T207" t="s">
        <v>74</v>
      </c>
      <c r="U207" t="s">
        <v>3946</v>
      </c>
      <c r="V207" t="s">
        <v>3947</v>
      </c>
      <c r="W207" t="s">
        <v>3948</v>
      </c>
      <c r="X207" t="s">
        <v>3949</v>
      </c>
      <c r="Y207" t="s">
        <v>3950</v>
      </c>
      <c r="Z207" t="s">
        <v>3951</v>
      </c>
      <c r="AA207" t="s">
        <v>3952</v>
      </c>
      <c r="AB207" t="s">
        <v>3953</v>
      </c>
      <c r="AC207" t="s">
        <v>3954</v>
      </c>
      <c r="AD207" t="s">
        <v>3955</v>
      </c>
      <c r="AE207" t="s">
        <v>3956</v>
      </c>
      <c r="AF207" t="s">
        <v>74</v>
      </c>
      <c r="AG207">
        <v>66</v>
      </c>
      <c r="AH207">
        <v>18</v>
      </c>
      <c r="AI207">
        <v>20</v>
      </c>
      <c r="AJ207">
        <v>0</v>
      </c>
      <c r="AK207">
        <v>20</v>
      </c>
      <c r="AL207" t="s">
        <v>813</v>
      </c>
      <c r="AM207" t="s">
        <v>814</v>
      </c>
      <c r="AN207" t="s">
        <v>815</v>
      </c>
      <c r="AO207" t="s">
        <v>3957</v>
      </c>
      <c r="AP207" t="s">
        <v>3958</v>
      </c>
      <c r="AQ207" t="s">
        <v>74</v>
      </c>
      <c r="AR207" t="s">
        <v>3959</v>
      </c>
      <c r="AS207" t="s">
        <v>3960</v>
      </c>
      <c r="AT207" t="s">
        <v>74</v>
      </c>
      <c r="AU207">
        <v>2012</v>
      </c>
      <c r="AV207">
        <v>58</v>
      </c>
      <c r="AW207">
        <v>208</v>
      </c>
      <c r="AX207" t="s">
        <v>74</v>
      </c>
      <c r="AY207" t="s">
        <v>74</v>
      </c>
      <c r="AZ207" t="s">
        <v>74</v>
      </c>
      <c r="BA207" t="s">
        <v>74</v>
      </c>
      <c r="BB207">
        <v>265</v>
      </c>
      <c r="BC207">
        <v>277</v>
      </c>
      <c r="BD207" t="s">
        <v>74</v>
      </c>
      <c r="BE207" t="s">
        <v>3961</v>
      </c>
      <c r="BF207" t="str">
        <f>HYPERLINK("http://dx.doi.org/10.3189/2012JoG11J072","http://dx.doi.org/10.3189/2012JoG11J072")</f>
        <v>http://dx.doi.org/10.3189/2012JoG11J072</v>
      </c>
      <c r="BG207" t="s">
        <v>74</v>
      </c>
      <c r="BH207" t="s">
        <v>74</v>
      </c>
      <c r="BI207">
        <v>13</v>
      </c>
      <c r="BJ207" t="s">
        <v>226</v>
      </c>
      <c r="BK207" t="s">
        <v>100</v>
      </c>
      <c r="BL207" t="s">
        <v>227</v>
      </c>
      <c r="BM207" t="s">
        <v>3962</v>
      </c>
      <c r="BN207" t="s">
        <v>74</v>
      </c>
      <c r="BO207" t="s">
        <v>3786</v>
      </c>
      <c r="BP207" t="s">
        <v>74</v>
      </c>
      <c r="BQ207" t="s">
        <v>74</v>
      </c>
      <c r="BR207" t="s">
        <v>102</v>
      </c>
      <c r="BS207" t="s">
        <v>3963</v>
      </c>
      <c r="BT207" t="str">
        <f>HYPERLINK("https%3A%2F%2Fwww.webofscience.com%2Fwos%2Fwoscc%2Ffull-record%2FWOS:000303782900007","View Full Record in Web of Science")</f>
        <v>View Full Record in Web of Science</v>
      </c>
    </row>
    <row r="208" spans="1:72" x14ac:dyDescent="0.15">
      <c r="A208" t="s">
        <v>72</v>
      </c>
      <c r="B208" t="s">
        <v>3964</v>
      </c>
      <c r="C208" t="s">
        <v>74</v>
      </c>
      <c r="D208" t="s">
        <v>74</v>
      </c>
      <c r="E208" t="s">
        <v>74</v>
      </c>
      <c r="F208" t="s">
        <v>3965</v>
      </c>
      <c r="G208" t="s">
        <v>74</v>
      </c>
      <c r="H208" t="s">
        <v>74</v>
      </c>
      <c r="I208" t="s">
        <v>3966</v>
      </c>
      <c r="J208" t="s">
        <v>3945</v>
      </c>
      <c r="K208" t="s">
        <v>74</v>
      </c>
      <c r="L208" t="s">
        <v>74</v>
      </c>
      <c r="M208" t="s">
        <v>78</v>
      </c>
      <c r="N208" t="s">
        <v>79</v>
      </c>
      <c r="O208" t="s">
        <v>74</v>
      </c>
      <c r="P208" t="s">
        <v>74</v>
      </c>
      <c r="Q208" t="s">
        <v>74</v>
      </c>
      <c r="R208" t="s">
        <v>74</v>
      </c>
      <c r="S208" t="s">
        <v>74</v>
      </c>
      <c r="T208" t="s">
        <v>74</v>
      </c>
      <c r="U208" t="s">
        <v>3967</v>
      </c>
      <c r="V208" t="s">
        <v>3968</v>
      </c>
      <c r="W208" t="s">
        <v>526</v>
      </c>
      <c r="X208" t="s">
        <v>527</v>
      </c>
      <c r="Y208" t="s">
        <v>3969</v>
      </c>
      <c r="Z208" t="s">
        <v>3970</v>
      </c>
      <c r="AA208" t="s">
        <v>3971</v>
      </c>
      <c r="AB208" t="s">
        <v>3972</v>
      </c>
      <c r="AC208" t="s">
        <v>3973</v>
      </c>
      <c r="AD208" t="s">
        <v>3974</v>
      </c>
      <c r="AE208" t="s">
        <v>3975</v>
      </c>
      <c r="AF208" t="s">
        <v>74</v>
      </c>
      <c r="AG208">
        <v>37</v>
      </c>
      <c r="AH208">
        <v>32</v>
      </c>
      <c r="AI208">
        <v>33</v>
      </c>
      <c r="AJ208">
        <v>0</v>
      </c>
      <c r="AK208">
        <v>9</v>
      </c>
      <c r="AL208" t="s">
        <v>813</v>
      </c>
      <c r="AM208" t="s">
        <v>814</v>
      </c>
      <c r="AN208" t="s">
        <v>815</v>
      </c>
      <c r="AO208" t="s">
        <v>3957</v>
      </c>
      <c r="AP208" t="s">
        <v>3958</v>
      </c>
      <c r="AQ208" t="s">
        <v>74</v>
      </c>
      <c r="AR208" t="s">
        <v>3959</v>
      </c>
      <c r="AS208" t="s">
        <v>3960</v>
      </c>
      <c r="AT208" t="s">
        <v>74</v>
      </c>
      <c r="AU208">
        <v>2012</v>
      </c>
      <c r="AV208">
        <v>58</v>
      </c>
      <c r="AW208">
        <v>208</v>
      </c>
      <c r="AX208" t="s">
        <v>74</v>
      </c>
      <c r="AY208" t="s">
        <v>74</v>
      </c>
      <c r="AZ208" t="s">
        <v>74</v>
      </c>
      <c r="BA208" t="s">
        <v>74</v>
      </c>
      <c r="BB208">
        <v>375</v>
      </c>
      <c r="BC208">
        <v>387</v>
      </c>
      <c r="BD208" t="s">
        <v>74</v>
      </c>
      <c r="BE208" t="s">
        <v>3976</v>
      </c>
      <c r="BF208" t="str">
        <f>HYPERLINK("http://dx.doi.org/10.3189/2012JoG11J206","http://dx.doi.org/10.3189/2012JoG11J206")</f>
        <v>http://dx.doi.org/10.3189/2012JoG11J206</v>
      </c>
      <c r="BG208" t="s">
        <v>74</v>
      </c>
      <c r="BH208" t="s">
        <v>74</v>
      </c>
      <c r="BI208">
        <v>13</v>
      </c>
      <c r="BJ208" t="s">
        <v>226</v>
      </c>
      <c r="BK208" t="s">
        <v>100</v>
      </c>
      <c r="BL208" t="s">
        <v>227</v>
      </c>
      <c r="BM208" t="s">
        <v>3962</v>
      </c>
      <c r="BN208" t="s">
        <v>74</v>
      </c>
      <c r="BO208" t="s">
        <v>365</v>
      </c>
      <c r="BP208" t="s">
        <v>74</v>
      </c>
      <c r="BQ208" t="s">
        <v>74</v>
      </c>
      <c r="BR208" t="s">
        <v>102</v>
      </c>
      <c r="BS208" t="s">
        <v>3977</v>
      </c>
      <c r="BT208" t="str">
        <f>HYPERLINK("https%3A%2F%2Fwww.webofscience.com%2Fwos%2Fwoscc%2Ffull-record%2FWOS:000303782900016","View Full Record in Web of Science")</f>
        <v>View Full Record in Web of Science</v>
      </c>
    </row>
    <row r="209" spans="1:72" x14ac:dyDescent="0.15">
      <c r="A209" t="s">
        <v>72</v>
      </c>
      <c r="B209" t="s">
        <v>3978</v>
      </c>
      <c r="C209" t="s">
        <v>74</v>
      </c>
      <c r="D209" t="s">
        <v>74</v>
      </c>
      <c r="E209" t="s">
        <v>74</v>
      </c>
      <c r="F209" t="s">
        <v>3979</v>
      </c>
      <c r="G209" t="s">
        <v>74</v>
      </c>
      <c r="H209" t="s">
        <v>74</v>
      </c>
      <c r="I209" t="s">
        <v>3980</v>
      </c>
      <c r="J209" t="s">
        <v>3945</v>
      </c>
      <c r="K209" t="s">
        <v>74</v>
      </c>
      <c r="L209" t="s">
        <v>74</v>
      </c>
      <c r="M209" t="s">
        <v>78</v>
      </c>
      <c r="N209" t="s">
        <v>79</v>
      </c>
      <c r="O209" t="s">
        <v>74</v>
      </c>
      <c r="P209" t="s">
        <v>74</v>
      </c>
      <c r="Q209" t="s">
        <v>74</v>
      </c>
      <c r="R209" t="s">
        <v>74</v>
      </c>
      <c r="S209" t="s">
        <v>74</v>
      </c>
      <c r="T209" t="s">
        <v>74</v>
      </c>
      <c r="U209" t="s">
        <v>3981</v>
      </c>
      <c r="V209" t="s">
        <v>3982</v>
      </c>
      <c r="W209" t="s">
        <v>3983</v>
      </c>
      <c r="X209" t="s">
        <v>3984</v>
      </c>
      <c r="Y209" t="s">
        <v>3985</v>
      </c>
      <c r="Z209" t="s">
        <v>3986</v>
      </c>
      <c r="AA209" t="s">
        <v>3987</v>
      </c>
      <c r="AB209" t="s">
        <v>3988</v>
      </c>
      <c r="AC209" t="s">
        <v>3989</v>
      </c>
      <c r="AD209" t="s">
        <v>3990</v>
      </c>
      <c r="AE209" t="s">
        <v>3991</v>
      </c>
      <c r="AF209" t="s">
        <v>74</v>
      </c>
      <c r="AG209">
        <v>52</v>
      </c>
      <c r="AH209">
        <v>23</v>
      </c>
      <c r="AI209">
        <v>24</v>
      </c>
      <c r="AJ209">
        <v>0</v>
      </c>
      <c r="AK209">
        <v>23</v>
      </c>
      <c r="AL209" t="s">
        <v>813</v>
      </c>
      <c r="AM209" t="s">
        <v>814</v>
      </c>
      <c r="AN209" t="s">
        <v>815</v>
      </c>
      <c r="AO209" t="s">
        <v>3957</v>
      </c>
      <c r="AP209" t="s">
        <v>3958</v>
      </c>
      <c r="AQ209" t="s">
        <v>74</v>
      </c>
      <c r="AR209" t="s">
        <v>3959</v>
      </c>
      <c r="AS209" t="s">
        <v>3960</v>
      </c>
      <c r="AT209" t="s">
        <v>74</v>
      </c>
      <c r="AU209">
        <v>2012</v>
      </c>
      <c r="AV209">
        <v>58</v>
      </c>
      <c r="AW209">
        <v>209</v>
      </c>
      <c r="AX209" t="s">
        <v>74</v>
      </c>
      <c r="AY209" t="s">
        <v>74</v>
      </c>
      <c r="AZ209" t="s">
        <v>74</v>
      </c>
      <c r="BA209" t="s">
        <v>74</v>
      </c>
      <c r="BB209">
        <v>613</v>
      </c>
      <c r="BC209">
        <v>624</v>
      </c>
      <c r="BD209" t="s">
        <v>74</v>
      </c>
      <c r="BE209" t="s">
        <v>3992</v>
      </c>
      <c r="BF209" t="str">
        <f>HYPERLINK("http://dx.doi.org/10.3189/2012JoG11J114","http://dx.doi.org/10.3189/2012JoG11J114")</f>
        <v>http://dx.doi.org/10.3189/2012JoG11J114</v>
      </c>
      <c r="BG209" t="s">
        <v>74</v>
      </c>
      <c r="BH209" t="s">
        <v>74</v>
      </c>
      <c r="BI209">
        <v>12</v>
      </c>
      <c r="BJ209" t="s">
        <v>226</v>
      </c>
      <c r="BK209" t="s">
        <v>100</v>
      </c>
      <c r="BL209" t="s">
        <v>227</v>
      </c>
      <c r="BM209" t="s">
        <v>3993</v>
      </c>
      <c r="BN209" t="s">
        <v>74</v>
      </c>
      <c r="BO209" t="s">
        <v>892</v>
      </c>
      <c r="BP209" t="s">
        <v>74</v>
      </c>
      <c r="BQ209" t="s">
        <v>74</v>
      </c>
      <c r="BR209" t="s">
        <v>102</v>
      </c>
      <c r="BS209" t="s">
        <v>3994</v>
      </c>
      <c r="BT209" t="str">
        <f>HYPERLINK("https%3A%2F%2Fwww.webofscience.com%2Fwos%2Fwoscc%2Ffull-record%2FWOS:000305310200015","View Full Record in Web of Science")</f>
        <v>View Full Record in Web of Science</v>
      </c>
    </row>
    <row r="210" spans="1:72" x14ac:dyDescent="0.15">
      <c r="A210" t="s">
        <v>72</v>
      </c>
      <c r="B210" t="s">
        <v>3995</v>
      </c>
      <c r="C210" t="s">
        <v>74</v>
      </c>
      <c r="D210" t="s">
        <v>74</v>
      </c>
      <c r="E210" t="s">
        <v>74</v>
      </c>
      <c r="F210" t="s">
        <v>3996</v>
      </c>
      <c r="G210" t="s">
        <v>74</v>
      </c>
      <c r="H210" t="s">
        <v>74</v>
      </c>
      <c r="I210" t="s">
        <v>3997</v>
      </c>
      <c r="J210" t="s">
        <v>3945</v>
      </c>
      <c r="K210" t="s">
        <v>74</v>
      </c>
      <c r="L210" t="s">
        <v>74</v>
      </c>
      <c r="M210" t="s">
        <v>78</v>
      </c>
      <c r="N210" t="s">
        <v>79</v>
      </c>
      <c r="O210" t="s">
        <v>74</v>
      </c>
      <c r="P210" t="s">
        <v>74</v>
      </c>
      <c r="Q210" t="s">
        <v>74</v>
      </c>
      <c r="R210" t="s">
        <v>74</v>
      </c>
      <c r="S210" t="s">
        <v>74</v>
      </c>
      <c r="T210" t="s">
        <v>74</v>
      </c>
      <c r="U210" t="s">
        <v>3998</v>
      </c>
      <c r="V210" t="s">
        <v>3999</v>
      </c>
      <c r="W210" t="s">
        <v>4000</v>
      </c>
      <c r="X210" t="s">
        <v>4001</v>
      </c>
      <c r="Y210" t="s">
        <v>4002</v>
      </c>
      <c r="Z210" t="s">
        <v>4003</v>
      </c>
      <c r="AA210" t="s">
        <v>4004</v>
      </c>
      <c r="AB210" t="s">
        <v>4005</v>
      </c>
      <c r="AC210" t="s">
        <v>4006</v>
      </c>
      <c r="AD210" t="s">
        <v>4007</v>
      </c>
      <c r="AE210" t="s">
        <v>4008</v>
      </c>
      <c r="AF210" t="s">
        <v>74</v>
      </c>
      <c r="AG210">
        <v>60</v>
      </c>
      <c r="AH210">
        <v>67</v>
      </c>
      <c r="AI210">
        <v>75</v>
      </c>
      <c r="AJ210">
        <v>2</v>
      </c>
      <c r="AK210">
        <v>28</v>
      </c>
      <c r="AL210" t="s">
        <v>813</v>
      </c>
      <c r="AM210" t="s">
        <v>814</v>
      </c>
      <c r="AN210" t="s">
        <v>815</v>
      </c>
      <c r="AO210" t="s">
        <v>3957</v>
      </c>
      <c r="AP210" t="s">
        <v>3958</v>
      </c>
      <c r="AQ210" t="s">
        <v>74</v>
      </c>
      <c r="AR210" t="s">
        <v>3959</v>
      </c>
      <c r="AS210" t="s">
        <v>3960</v>
      </c>
      <c r="AT210" t="s">
        <v>74</v>
      </c>
      <c r="AU210">
        <v>2012</v>
      </c>
      <c r="AV210">
        <v>58</v>
      </c>
      <c r="AW210">
        <v>210</v>
      </c>
      <c r="AX210" t="s">
        <v>74</v>
      </c>
      <c r="AY210" t="s">
        <v>74</v>
      </c>
      <c r="AZ210" t="s">
        <v>74</v>
      </c>
      <c r="BA210" t="s">
        <v>74</v>
      </c>
      <c r="BB210">
        <v>633</v>
      </c>
      <c r="BC210">
        <v>647</v>
      </c>
      <c r="BD210" t="s">
        <v>74</v>
      </c>
      <c r="BE210" t="s">
        <v>4009</v>
      </c>
      <c r="BF210" t="str">
        <f>HYPERLINK("http://dx.doi.org/10.3189/2012JoG11J232","http://dx.doi.org/10.3189/2012JoG11J232")</f>
        <v>http://dx.doi.org/10.3189/2012JoG11J232</v>
      </c>
      <c r="BG210" t="s">
        <v>74</v>
      </c>
      <c r="BH210" t="s">
        <v>74</v>
      </c>
      <c r="BI210">
        <v>15</v>
      </c>
      <c r="BJ210" t="s">
        <v>226</v>
      </c>
      <c r="BK210" t="s">
        <v>100</v>
      </c>
      <c r="BL210" t="s">
        <v>227</v>
      </c>
      <c r="BM210" t="s">
        <v>4010</v>
      </c>
      <c r="BN210" t="s">
        <v>74</v>
      </c>
      <c r="BO210" t="s">
        <v>892</v>
      </c>
      <c r="BP210" t="s">
        <v>74</v>
      </c>
      <c r="BQ210" t="s">
        <v>74</v>
      </c>
      <c r="BR210" t="s">
        <v>102</v>
      </c>
      <c r="BS210" t="s">
        <v>4011</v>
      </c>
      <c r="BT210" t="str">
        <f>HYPERLINK("https%3A%2F%2Fwww.webofscience.com%2Fwos%2Fwoscc%2Ffull-record%2FWOS:000307208200001","View Full Record in Web of Science")</f>
        <v>View Full Record in Web of Science</v>
      </c>
    </row>
    <row r="211" spans="1:72" x14ac:dyDescent="0.15">
      <c r="A211" t="s">
        <v>72</v>
      </c>
      <c r="B211" t="s">
        <v>4012</v>
      </c>
      <c r="C211" t="s">
        <v>74</v>
      </c>
      <c r="D211" t="s">
        <v>74</v>
      </c>
      <c r="E211" t="s">
        <v>74</v>
      </c>
      <c r="F211" t="s">
        <v>4013</v>
      </c>
      <c r="G211" t="s">
        <v>74</v>
      </c>
      <c r="H211" t="s">
        <v>74</v>
      </c>
      <c r="I211" t="s">
        <v>4014</v>
      </c>
      <c r="J211" t="s">
        <v>3945</v>
      </c>
      <c r="K211" t="s">
        <v>74</v>
      </c>
      <c r="L211" t="s">
        <v>74</v>
      </c>
      <c r="M211" t="s">
        <v>78</v>
      </c>
      <c r="N211" t="s">
        <v>79</v>
      </c>
      <c r="O211" t="s">
        <v>74</v>
      </c>
      <c r="P211" t="s">
        <v>74</v>
      </c>
      <c r="Q211" t="s">
        <v>74</v>
      </c>
      <c r="R211" t="s">
        <v>74</v>
      </c>
      <c r="S211" t="s">
        <v>74</v>
      </c>
      <c r="T211" t="s">
        <v>74</v>
      </c>
      <c r="U211" t="s">
        <v>4015</v>
      </c>
      <c r="V211" t="s">
        <v>4016</v>
      </c>
      <c r="W211" t="s">
        <v>4017</v>
      </c>
      <c r="X211" t="s">
        <v>4018</v>
      </c>
      <c r="Y211" t="s">
        <v>4019</v>
      </c>
      <c r="Z211" t="s">
        <v>2288</v>
      </c>
      <c r="AA211" t="s">
        <v>74</v>
      </c>
      <c r="AB211" t="s">
        <v>4020</v>
      </c>
      <c r="AC211" t="s">
        <v>4021</v>
      </c>
      <c r="AD211" t="s">
        <v>4022</v>
      </c>
      <c r="AE211" t="s">
        <v>4023</v>
      </c>
      <c r="AF211" t="s">
        <v>74</v>
      </c>
      <c r="AG211">
        <v>95</v>
      </c>
      <c r="AH211">
        <v>139</v>
      </c>
      <c r="AI211">
        <v>145</v>
      </c>
      <c r="AJ211">
        <v>0</v>
      </c>
      <c r="AK211">
        <v>48</v>
      </c>
      <c r="AL211" t="s">
        <v>813</v>
      </c>
      <c r="AM211" t="s">
        <v>814</v>
      </c>
      <c r="AN211" t="s">
        <v>815</v>
      </c>
      <c r="AO211" t="s">
        <v>3957</v>
      </c>
      <c r="AP211" t="s">
        <v>3958</v>
      </c>
      <c r="AQ211" t="s">
        <v>74</v>
      </c>
      <c r="AR211" t="s">
        <v>3959</v>
      </c>
      <c r="AS211" t="s">
        <v>3960</v>
      </c>
      <c r="AT211" t="s">
        <v>74</v>
      </c>
      <c r="AU211">
        <v>2012</v>
      </c>
      <c r="AV211">
        <v>58</v>
      </c>
      <c r="AW211">
        <v>212</v>
      </c>
      <c r="AX211" t="s">
        <v>74</v>
      </c>
      <c r="AY211" t="s">
        <v>74</v>
      </c>
      <c r="AZ211" t="s">
        <v>74</v>
      </c>
      <c r="BA211" t="s">
        <v>74</v>
      </c>
      <c r="BB211">
        <v>1063</v>
      </c>
      <c r="BC211">
        <v>1084</v>
      </c>
      <c r="BD211" t="s">
        <v>74</v>
      </c>
      <c r="BE211" t="s">
        <v>4024</v>
      </c>
      <c r="BF211" t="str">
        <f>HYPERLINK("http://dx.doi.org/10.3189/2012JoG12J026","http://dx.doi.org/10.3189/2012JoG12J026")</f>
        <v>http://dx.doi.org/10.3189/2012JoG12J026</v>
      </c>
      <c r="BG211" t="s">
        <v>74</v>
      </c>
      <c r="BH211" t="s">
        <v>74</v>
      </c>
      <c r="BI211">
        <v>22</v>
      </c>
      <c r="BJ211" t="s">
        <v>226</v>
      </c>
      <c r="BK211" t="s">
        <v>100</v>
      </c>
      <c r="BL211" t="s">
        <v>227</v>
      </c>
      <c r="BM211" t="s">
        <v>4025</v>
      </c>
      <c r="BN211" t="s">
        <v>74</v>
      </c>
      <c r="BO211" t="s">
        <v>365</v>
      </c>
      <c r="BP211" t="s">
        <v>74</v>
      </c>
      <c r="BQ211" t="s">
        <v>74</v>
      </c>
      <c r="BR211" t="s">
        <v>102</v>
      </c>
      <c r="BS211" t="s">
        <v>4026</v>
      </c>
      <c r="BT211" t="str">
        <f>HYPERLINK("https%3A%2F%2Fwww.webofscience.com%2Fwos%2Fwoscc%2Ffull-record%2FWOS:000312479400004","View Full Record in Web of Science")</f>
        <v>View Full Record in Web of Science</v>
      </c>
    </row>
    <row r="212" spans="1:72" x14ac:dyDescent="0.15">
      <c r="A212" t="s">
        <v>72</v>
      </c>
      <c r="B212" t="s">
        <v>649</v>
      </c>
      <c r="C212" t="s">
        <v>74</v>
      </c>
      <c r="D212" t="s">
        <v>74</v>
      </c>
      <c r="E212" t="s">
        <v>74</v>
      </c>
      <c r="F212" t="s">
        <v>651</v>
      </c>
      <c r="G212" t="s">
        <v>74</v>
      </c>
      <c r="H212" t="s">
        <v>74</v>
      </c>
      <c r="I212" t="s">
        <v>4027</v>
      </c>
      <c r="J212" t="s">
        <v>3945</v>
      </c>
      <c r="K212" t="s">
        <v>74</v>
      </c>
      <c r="L212" t="s">
        <v>74</v>
      </c>
      <c r="M212" t="s">
        <v>78</v>
      </c>
      <c r="N212" t="s">
        <v>79</v>
      </c>
      <c r="O212" t="s">
        <v>74</v>
      </c>
      <c r="P212" t="s">
        <v>74</v>
      </c>
      <c r="Q212" t="s">
        <v>74</v>
      </c>
      <c r="R212" t="s">
        <v>74</v>
      </c>
      <c r="S212" t="s">
        <v>74</v>
      </c>
      <c r="T212" t="s">
        <v>74</v>
      </c>
      <c r="U212" t="s">
        <v>4028</v>
      </c>
      <c r="V212" t="s">
        <v>4029</v>
      </c>
      <c r="W212" t="s">
        <v>4030</v>
      </c>
      <c r="X212" t="s">
        <v>4031</v>
      </c>
      <c r="Y212" t="s">
        <v>4032</v>
      </c>
      <c r="Z212" t="s">
        <v>4033</v>
      </c>
      <c r="AA212" t="s">
        <v>74</v>
      </c>
      <c r="AB212" t="s">
        <v>4034</v>
      </c>
      <c r="AC212" t="s">
        <v>4035</v>
      </c>
      <c r="AD212" t="s">
        <v>4036</v>
      </c>
      <c r="AE212" t="s">
        <v>4037</v>
      </c>
      <c r="AF212" t="s">
        <v>74</v>
      </c>
      <c r="AG212">
        <v>28</v>
      </c>
      <c r="AH212">
        <v>3</v>
      </c>
      <c r="AI212">
        <v>3</v>
      </c>
      <c r="AJ212">
        <v>0</v>
      </c>
      <c r="AK212">
        <v>27</v>
      </c>
      <c r="AL212" t="s">
        <v>889</v>
      </c>
      <c r="AM212" t="s">
        <v>814</v>
      </c>
      <c r="AN212" t="s">
        <v>890</v>
      </c>
      <c r="AO212" t="s">
        <v>3957</v>
      </c>
      <c r="AP212" t="s">
        <v>74</v>
      </c>
      <c r="AQ212" t="s">
        <v>74</v>
      </c>
      <c r="AR212" t="s">
        <v>3959</v>
      </c>
      <c r="AS212" t="s">
        <v>3960</v>
      </c>
      <c r="AT212" t="s">
        <v>74</v>
      </c>
      <c r="AU212">
        <v>2012</v>
      </c>
      <c r="AV212">
        <v>58</v>
      </c>
      <c r="AW212">
        <v>212</v>
      </c>
      <c r="AX212" t="s">
        <v>74</v>
      </c>
      <c r="AY212" t="s">
        <v>74</v>
      </c>
      <c r="AZ212" t="s">
        <v>74</v>
      </c>
      <c r="BA212" t="s">
        <v>74</v>
      </c>
      <c r="BB212">
        <v>1085</v>
      </c>
      <c r="BC212">
        <v>1097</v>
      </c>
      <c r="BD212" t="s">
        <v>74</v>
      </c>
      <c r="BE212" t="s">
        <v>4038</v>
      </c>
      <c r="BF212" t="str">
        <f>HYPERLINK("http://dx.doi.org/10.3189/2012JoG12J007","http://dx.doi.org/10.3189/2012JoG12J007")</f>
        <v>http://dx.doi.org/10.3189/2012JoG12J007</v>
      </c>
      <c r="BG212" t="s">
        <v>74</v>
      </c>
      <c r="BH212" t="s">
        <v>74</v>
      </c>
      <c r="BI212">
        <v>13</v>
      </c>
      <c r="BJ212" t="s">
        <v>226</v>
      </c>
      <c r="BK212" t="s">
        <v>100</v>
      </c>
      <c r="BL212" t="s">
        <v>227</v>
      </c>
      <c r="BM212" t="s">
        <v>4025</v>
      </c>
      <c r="BN212" t="s">
        <v>74</v>
      </c>
      <c r="BO212" t="s">
        <v>365</v>
      </c>
      <c r="BP212" t="s">
        <v>74</v>
      </c>
      <c r="BQ212" t="s">
        <v>74</v>
      </c>
      <c r="BR212" t="s">
        <v>102</v>
      </c>
      <c r="BS212" t="s">
        <v>4039</v>
      </c>
      <c r="BT212" t="str">
        <f>HYPERLINK("https%3A%2F%2Fwww.webofscience.com%2Fwos%2Fwoscc%2Ffull-record%2FWOS:000312479400005","View Full Record in Web of Science")</f>
        <v>View Full Record in Web of Science</v>
      </c>
    </row>
    <row r="213" spans="1:72" x14ac:dyDescent="0.15">
      <c r="A213" t="s">
        <v>72</v>
      </c>
      <c r="B213" t="s">
        <v>4040</v>
      </c>
      <c r="C213" t="s">
        <v>74</v>
      </c>
      <c r="D213" t="s">
        <v>74</v>
      </c>
      <c r="E213" t="s">
        <v>74</v>
      </c>
      <c r="F213" t="s">
        <v>4041</v>
      </c>
      <c r="G213" t="s">
        <v>74</v>
      </c>
      <c r="H213" t="s">
        <v>74</v>
      </c>
      <c r="I213" t="s">
        <v>4042</v>
      </c>
      <c r="J213" t="s">
        <v>3945</v>
      </c>
      <c r="K213" t="s">
        <v>74</v>
      </c>
      <c r="L213" t="s">
        <v>74</v>
      </c>
      <c r="M213" t="s">
        <v>78</v>
      </c>
      <c r="N213" t="s">
        <v>79</v>
      </c>
      <c r="O213" t="s">
        <v>74</v>
      </c>
      <c r="P213" t="s">
        <v>74</v>
      </c>
      <c r="Q213" t="s">
        <v>74</v>
      </c>
      <c r="R213" t="s">
        <v>74</v>
      </c>
      <c r="S213" t="s">
        <v>74</v>
      </c>
      <c r="T213" t="s">
        <v>74</v>
      </c>
      <c r="U213" t="s">
        <v>4043</v>
      </c>
      <c r="V213" t="s">
        <v>4044</v>
      </c>
      <c r="W213" t="s">
        <v>4045</v>
      </c>
      <c r="X213" t="s">
        <v>4046</v>
      </c>
      <c r="Y213" t="s">
        <v>4047</v>
      </c>
      <c r="Z213" t="s">
        <v>4048</v>
      </c>
      <c r="AA213" t="s">
        <v>4049</v>
      </c>
      <c r="AB213" t="s">
        <v>4050</v>
      </c>
      <c r="AC213" t="s">
        <v>4051</v>
      </c>
      <c r="AD213" t="s">
        <v>4052</v>
      </c>
      <c r="AE213" t="s">
        <v>4053</v>
      </c>
      <c r="AF213" t="s">
        <v>74</v>
      </c>
      <c r="AG213">
        <v>88</v>
      </c>
      <c r="AH213">
        <v>41</v>
      </c>
      <c r="AI213">
        <v>46</v>
      </c>
      <c r="AJ213">
        <v>0</v>
      </c>
      <c r="AK213">
        <v>19</v>
      </c>
      <c r="AL213" t="s">
        <v>813</v>
      </c>
      <c r="AM213" t="s">
        <v>814</v>
      </c>
      <c r="AN213" t="s">
        <v>815</v>
      </c>
      <c r="AO213" t="s">
        <v>3957</v>
      </c>
      <c r="AP213" t="s">
        <v>3958</v>
      </c>
      <c r="AQ213" t="s">
        <v>74</v>
      </c>
      <c r="AR213" t="s">
        <v>3959</v>
      </c>
      <c r="AS213" t="s">
        <v>3960</v>
      </c>
      <c r="AT213" t="s">
        <v>74</v>
      </c>
      <c r="AU213">
        <v>2012</v>
      </c>
      <c r="AV213">
        <v>58</v>
      </c>
      <c r="AW213">
        <v>212</v>
      </c>
      <c r="AX213" t="s">
        <v>74</v>
      </c>
      <c r="AY213" t="s">
        <v>74</v>
      </c>
      <c r="AZ213" t="s">
        <v>74</v>
      </c>
      <c r="BA213" t="s">
        <v>74</v>
      </c>
      <c r="BB213">
        <v>1176</v>
      </c>
      <c r="BC213">
        <v>1190</v>
      </c>
      <c r="BD213" t="s">
        <v>74</v>
      </c>
      <c r="BE213" t="s">
        <v>4054</v>
      </c>
      <c r="BF213" t="str">
        <f>HYPERLINK("http://dx.doi.org/10.3189/2012JoG11J148","http://dx.doi.org/10.3189/2012JoG11J148")</f>
        <v>http://dx.doi.org/10.3189/2012JoG11J148</v>
      </c>
      <c r="BG213" t="s">
        <v>74</v>
      </c>
      <c r="BH213" t="s">
        <v>74</v>
      </c>
      <c r="BI213">
        <v>15</v>
      </c>
      <c r="BJ213" t="s">
        <v>226</v>
      </c>
      <c r="BK213" t="s">
        <v>100</v>
      </c>
      <c r="BL213" t="s">
        <v>227</v>
      </c>
      <c r="BM213" t="s">
        <v>4025</v>
      </c>
      <c r="BN213" t="s">
        <v>74</v>
      </c>
      <c r="BO213" t="s">
        <v>365</v>
      </c>
      <c r="BP213" t="s">
        <v>74</v>
      </c>
      <c r="BQ213" t="s">
        <v>74</v>
      </c>
      <c r="BR213" t="s">
        <v>102</v>
      </c>
      <c r="BS213" t="s">
        <v>4055</v>
      </c>
      <c r="BT213" t="str">
        <f>HYPERLINK("https%3A%2F%2Fwww.webofscience.com%2Fwos%2Fwoscc%2Ffull-record%2FWOS:000312479400013","View Full Record in Web of Science")</f>
        <v>View Full Record in Web of Science</v>
      </c>
    </row>
    <row r="214" spans="1:72" x14ac:dyDescent="0.15">
      <c r="A214" t="s">
        <v>72</v>
      </c>
      <c r="B214" t="s">
        <v>4056</v>
      </c>
      <c r="C214" t="s">
        <v>74</v>
      </c>
      <c r="D214" t="s">
        <v>74</v>
      </c>
      <c r="E214" t="s">
        <v>74</v>
      </c>
      <c r="F214" t="s">
        <v>4057</v>
      </c>
      <c r="G214" t="s">
        <v>74</v>
      </c>
      <c r="H214" t="s">
        <v>74</v>
      </c>
      <c r="I214" t="s">
        <v>4058</v>
      </c>
      <c r="J214" t="s">
        <v>3945</v>
      </c>
      <c r="K214" t="s">
        <v>74</v>
      </c>
      <c r="L214" t="s">
        <v>74</v>
      </c>
      <c r="M214" t="s">
        <v>78</v>
      </c>
      <c r="N214" t="s">
        <v>79</v>
      </c>
      <c r="O214" t="s">
        <v>74</v>
      </c>
      <c r="P214" t="s">
        <v>74</v>
      </c>
      <c r="Q214" t="s">
        <v>74</v>
      </c>
      <c r="R214" t="s">
        <v>74</v>
      </c>
      <c r="S214" t="s">
        <v>74</v>
      </c>
      <c r="T214" t="s">
        <v>74</v>
      </c>
      <c r="U214" t="s">
        <v>4059</v>
      </c>
      <c r="V214" t="s">
        <v>4060</v>
      </c>
      <c r="W214" t="s">
        <v>4061</v>
      </c>
      <c r="X214" t="s">
        <v>4062</v>
      </c>
      <c r="Y214" t="s">
        <v>4063</v>
      </c>
      <c r="Z214" t="s">
        <v>4064</v>
      </c>
      <c r="AA214" t="s">
        <v>4065</v>
      </c>
      <c r="AB214" t="s">
        <v>4066</v>
      </c>
      <c r="AC214" t="s">
        <v>4067</v>
      </c>
      <c r="AD214" t="s">
        <v>4068</v>
      </c>
      <c r="AE214" t="s">
        <v>4069</v>
      </c>
      <c r="AF214" t="s">
        <v>74</v>
      </c>
      <c r="AG214">
        <v>48</v>
      </c>
      <c r="AH214">
        <v>68</v>
      </c>
      <c r="AI214">
        <v>75</v>
      </c>
      <c r="AJ214">
        <v>0</v>
      </c>
      <c r="AK214">
        <v>32</v>
      </c>
      <c r="AL214" t="s">
        <v>813</v>
      </c>
      <c r="AM214" t="s">
        <v>814</v>
      </c>
      <c r="AN214" t="s">
        <v>815</v>
      </c>
      <c r="AO214" t="s">
        <v>3957</v>
      </c>
      <c r="AP214" t="s">
        <v>3958</v>
      </c>
      <c r="AQ214" t="s">
        <v>74</v>
      </c>
      <c r="AR214" t="s">
        <v>3959</v>
      </c>
      <c r="AS214" t="s">
        <v>3960</v>
      </c>
      <c r="AT214" t="s">
        <v>74</v>
      </c>
      <c r="AU214">
        <v>2012</v>
      </c>
      <c r="AV214">
        <v>58</v>
      </c>
      <c r="AW214">
        <v>212</v>
      </c>
      <c r="AX214" t="s">
        <v>74</v>
      </c>
      <c r="AY214" t="s">
        <v>74</v>
      </c>
      <c r="AZ214" t="s">
        <v>74</v>
      </c>
      <c r="BA214" t="s">
        <v>74</v>
      </c>
      <c r="BB214">
        <v>1227</v>
      </c>
      <c r="BC214">
        <v>1244</v>
      </c>
      <c r="BD214" t="s">
        <v>74</v>
      </c>
      <c r="BE214" t="s">
        <v>4070</v>
      </c>
      <c r="BF214" t="str">
        <f>HYPERLINK("http://dx.doi.org/10.3189/2012JoG12J003","http://dx.doi.org/10.3189/2012JoG12J003")</f>
        <v>http://dx.doi.org/10.3189/2012JoG12J003</v>
      </c>
      <c r="BG214" t="s">
        <v>74</v>
      </c>
      <c r="BH214" t="s">
        <v>74</v>
      </c>
      <c r="BI214">
        <v>18</v>
      </c>
      <c r="BJ214" t="s">
        <v>226</v>
      </c>
      <c r="BK214" t="s">
        <v>100</v>
      </c>
      <c r="BL214" t="s">
        <v>227</v>
      </c>
      <c r="BM214" t="s">
        <v>4025</v>
      </c>
      <c r="BN214" t="s">
        <v>74</v>
      </c>
      <c r="BO214" t="s">
        <v>365</v>
      </c>
      <c r="BP214" t="s">
        <v>74</v>
      </c>
      <c r="BQ214" t="s">
        <v>74</v>
      </c>
      <c r="BR214" t="s">
        <v>102</v>
      </c>
      <c r="BS214" t="s">
        <v>4071</v>
      </c>
      <c r="BT214" t="str">
        <f>HYPERLINK("https%3A%2F%2Fwww.webofscience.com%2Fwos%2Fwoscc%2Ffull-record%2FWOS:000312479400017","View Full Record in Web of Science")</f>
        <v>View Full Record in Web of Science</v>
      </c>
    </row>
    <row r="215" spans="1:72" x14ac:dyDescent="0.15">
      <c r="A215" t="s">
        <v>72</v>
      </c>
      <c r="B215" t="s">
        <v>4072</v>
      </c>
      <c r="C215" t="s">
        <v>74</v>
      </c>
      <c r="D215" t="s">
        <v>74</v>
      </c>
      <c r="E215" t="s">
        <v>74</v>
      </c>
      <c r="F215" t="s">
        <v>4073</v>
      </c>
      <c r="G215" t="s">
        <v>74</v>
      </c>
      <c r="H215" t="s">
        <v>74</v>
      </c>
      <c r="I215" t="s">
        <v>4074</v>
      </c>
      <c r="J215" t="s">
        <v>4075</v>
      </c>
      <c r="K215" t="s">
        <v>74</v>
      </c>
      <c r="L215" t="s">
        <v>74</v>
      </c>
      <c r="M215" t="s">
        <v>78</v>
      </c>
      <c r="N215" t="s">
        <v>79</v>
      </c>
      <c r="O215" t="s">
        <v>74</v>
      </c>
      <c r="P215" t="s">
        <v>74</v>
      </c>
      <c r="Q215" t="s">
        <v>74</v>
      </c>
      <c r="R215" t="s">
        <v>74</v>
      </c>
      <c r="S215" t="s">
        <v>74</v>
      </c>
      <c r="T215" t="s">
        <v>4076</v>
      </c>
      <c r="U215" t="s">
        <v>4077</v>
      </c>
      <c r="V215" t="s">
        <v>4078</v>
      </c>
      <c r="W215" t="s">
        <v>4079</v>
      </c>
      <c r="X215" t="s">
        <v>4080</v>
      </c>
      <c r="Y215" t="s">
        <v>4081</v>
      </c>
      <c r="Z215" t="s">
        <v>4082</v>
      </c>
      <c r="AA215" t="s">
        <v>4083</v>
      </c>
      <c r="AB215" t="s">
        <v>4084</v>
      </c>
      <c r="AC215" t="s">
        <v>4085</v>
      </c>
      <c r="AD215" t="s">
        <v>4086</v>
      </c>
      <c r="AE215" t="s">
        <v>4087</v>
      </c>
      <c r="AF215" t="s">
        <v>74</v>
      </c>
      <c r="AG215">
        <v>55</v>
      </c>
      <c r="AH215">
        <v>13</v>
      </c>
      <c r="AI215">
        <v>17</v>
      </c>
      <c r="AJ215">
        <v>3</v>
      </c>
      <c r="AK215">
        <v>42</v>
      </c>
      <c r="AL215" t="s">
        <v>155</v>
      </c>
      <c r="AM215" t="s">
        <v>156</v>
      </c>
      <c r="AN215" t="s">
        <v>157</v>
      </c>
      <c r="AO215" t="s">
        <v>4088</v>
      </c>
      <c r="AP215" t="s">
        <v>4089</v>
      </c>
      <c r="AQ215" t="s">
        <v>74</v>
      </c>
      <c r="AR215" t="s">
        <v>4090</v>
      </c>
      <c r="AS215" t="s">
        <v>4091</v>
      </c>
      <c r="AT215" t="s">
        <v>97</v>
      </c>
      <c r="AU215">
        <v>2012</v>
      </c>
      <c r="AV215">
        <v>58</v>
      </c>
      <c r="AW215">
        <v>1</v>
      </c>
      <c r="AX215" t="s">
        <v>74</v>
      </c>
      <c r="AY215" t="s">
        <v>74</v>
      </c>
      <c r="AZ215" t="s">
        <v>74</v>
      </c>
      <c r="BA215" t="s">
        <v>74</v>
      </c>
      <c r="BB215">
        <v>130</v>
      </c>
      <c r="BC215">
        <v>137</v>
      </c>
      <c r="BD215" t="s">
        <v>74</v>
      </c>
      <c r="BE215" t="s">
        <v>4092</v>
      </c>
      <c r="BF215" t="str">
        <f>HYPERLINK("http://dx.doi.org/10.1016/j.jinsphys.2011.10.008","http://dx.doi.org/10.1016/j.jinsphys.2011.10.008")</f>
        <v>http://dx.doi.org/10.1016/j.jinsphys.2011.10.008</v>
      </c>
      <c r="BG215" t="s">
        <v>74</v>
      </c>
      <c r="BH215" t="s">
        <v>74</v>
      </c>
      <c r="BI215">
        <v>8</v>
      </c>
      <c r="BJ215" t="s">
        <v>4093</v>
      </c>
      <c r="BK215" t="s">
        <v>100</v>
      </c>
      <c r="BL215" t="s">
        <v>4093</v>
      </c>
      <c r="BM215" t="s">
        <v>4094</v>
      </c>
      <c r="BN215">
        <v>22079296</v>
      </c>
      <c r="BO215" t="s">
        <v>74</v>
      </c>
      <c r="BP215" t="s">
        <v>74</v>
      </c>
      <c r="BQ215" t="s">
        <v>74</v>
      </c>
      <c r="BR215" t="s">
        <v>102</v>
      </c>
      <c r="BS215" t="s">
        <v>4095</v>
      </c>
      <c r="BT215" t="str">
        <f>HYPERLINK("https%3A%2F%2Fwww.webofscience.com%2Fwos%2Fwoscc%2Ffull-record%2FWOS:000300477700018","View Full Record in Web of Science")</f>
        <v>View Full Record in Web of Science</v>
      </c>
    </row>
    <row r="216" spans="1:72" x14ac:dyDescent="0.15">
      <c r="A216" t="s">
        <v>72</v>
      </c>
      <c r="B216" t="s">
        <v>4096</v>
      </c>
      <c r="C216" t="s">
        <v>74</v>
      </c>
      <c r="D216" t="s">
        <v>74</v>
      </c>
      <c r="E216" t="s">
        <v>74</v>
      </c>
      <c r="F216" t="s">
        <v>4097</v>
      </c>
      <c r="G216" t="s">
        <v>74</v>
      </c>
      <c r="H216" t="s">
        <v>74</v>
      </c>
      <c r="I216" t="s">
        <v>4098</v>
      </c>
      <c r="J216" t="s">
        <v>4099</v>
      </c>
      <c r="K216" t="s">
        <v>74</v>
      </c>
      <c r="L216" t="s">
        <v>74</v>
      </c>
      <c r="M216" t="s">
        <v>78</v>
      </c>
      <c r="N216" t="s">
        <v>79</v>
      </c>
      <c r="O216" t="s">
        <v>74</v>
      </c>
      <c r="P216" t="s">
        <v>74</v>
      </c>
      <c r="Q216" t="s">
        <v>74</v>
      </c>
      <c r="R216" t="s">
        <v>74</v>
      </c>
      <c r="S216" t="s">
        <v>74</v>
      </c>
      <c r="T216" t="s">
        <v>4100</v>
      </c>
      <c r="U216" t="s">
        <v>4101</v>
      </c>
      <c r="V216" t="s">
        <v>4102</v>
      </c>
      <c r="W216" t="s">
        <v>4103</v>
      </c>
      <c r="X216" t="s">
        <v>4104</v>
      </c>
      <c r="Y216" t="s">
        <v>4105</v>
      </c>
      <c r="Z216" t="s">
        <v>4106</v>
      </c>
      <c r="AA216" t="s">
        <v>4107</v>
      </c>
      <c r="AB216" t="s">
        <v>4108</v>
      </c>
      <c r="AC216" t="s">
        <v>4109</v>
      </c>
      <c r="AD216" t="s">
        <v>4110</v>
      </c>
      <c r="AE216" t="s">
        <v>4111</v>
      </c>
      <c r="AF216" t="s">
        <v>74</v>
      </c>
      <c r="AG216">
        <v>35</v>
      </c>
      <c r="AH216">
        <v>22</v>
      </c>
      <c r="AI216">
        <v>22</v>
      </c>
      <c r="AJ216">
        <v>0</v>
      </c>
      <c r="AK216">
        <v>28</v>
      </c>
      <c r="AL216" t="s">
        <v>4112</v>
      </c>
      <c r="AM216" t="s">
        <v>4113</v>
      </c>
      <c r="AN216" t="s">
        <v>4114</v>
      </c>
      <c r="AO216" t="s">
        <v>4115</v>
      </c>
      <c r="AP216" t="s">
        <v>4116</v>
      </c>
      <c r="AQ216" t="s">
        <v>74</v>
      </c>
      <c r="AR216" t="s">
        <v>4117</v>
      </c>
      <c r="AS216" t="s">
        <v>4118</v>
      </c>
      <c r="AT216" t="s">
        <v>162</v>
      </c>
      <c r="AU216">
        <v>2012</v>
      </c>
      <c r="AV216">
        <v>169</v>
      </c>
      <c r="AW216">
        <v>1</v>
      </c>
      <c r="AX216" t="s">
        <v>74</v>
      </c>
      <c r="AY216" t="s">
        <v>74</v>
      </c>
      <c r="AZ216" t="s">
        <v>74</v>
      </c>
      <c r="BA216" t="s">
        <v>74</v>
      </c>
      <c r="BB216">
        <v>20</v>
      </c>
      <c r="BC216">
        <v>26</v>
      </c>
      <c r="BD216" t="s">
        <v>74</v>
      </c>
      <c r="BE216" t="s">
        <v>4119</v>
      </c>
      <c r="BF216" t="str">
        <f>HYPERLINK("http://dx.doi.org/10.1016/j.jplph.2011.08.010","http://dx.doi.org/10.1016/j.jplph.2011.08.010")</f>
        <v>http://dx.doi.org/10.1016/j.jplph.2011.08.010</v>
      </c>
      <c r="BG216" t="s">
        <v>74</v>
      </c>
      <c r="BH216" t="s">
        <v>74</v>
      </c>
      <c r="BI216">
        <v>7</v>
      </c>
      <c r="BJ216" t="s">
        <v>3216</v>
      </c>
      <c r="BK216" t="s">
        <v>100</v>
      </c>
      <c r="BL216" t="s">
        <v>3216</v>
      </c>
      <c r="BM216" t="s">
        <v>4120</v>
      </c>
      <c r="BN216">
        <v>21944876</v>
      </c>
      <c r="BO216" t="s">
        <v>74</v>
      </c>
      <c r="BP216" t="s">
        <v>74</v>
      </c>
      <c r="BQ216" t="s">
        <v>74</v>
      </c>
      <c r="BR216" t="s">
        <v>102</v>
      </c>
      <c r="BS216" t="s">
        <v>4121</v>
      </c>
      <c r="BT216" t="str">
        <f>HYPERLINK("https%3A%2F%2Fwww.webofscience.com%2Fwos%2Fwoscc%2Ffull-record%2FWOS:000299852700003","View Full Record in Web of Science")</f>
        <v>View Full Record in Web of Science</v>
      </c>
    </row>
    <row r="217" spans="1:72" x14ac:dyDescent="0.15">
      <c r="A217" t="s">
        <v>72</v>
      </c>
      <c r="B217" t="s">
        <v>4122</v>
      </c>
      <c r="C217" t="s">
        <v>74</v>
      </c>
      <c r="D217" t="s">
        <v>74</v>
      </c>
      <c r="E217" t="s">
        <v>74</v>
      </c>
      <c r="F217" t="s">
        <v>4123</v>
      </c>
      <c r="G217" t="s">
        <v>74</v>
      </c>
      <c r="H217" t="s">
        <v>74</v>
      </c>
      <c r="I217" t="s">
        <v>4124</v>
      </c>
      <c r="J217" t="s">
        <v>4125</v>
      </c>
      <c r="K217" t="s">
        <v>74</v>
      </c>
      <c r="L217" t="s">
        <v>74</v>
      </c>
      <c r="M217" t="s">
        <v>78</v>
      </c>
      <c r="N217" t="s">
        <v>79</v>
      </c>
      <c r="O217" t="s">
        <v>74</v>
      </c>
      <c r="P217" t="s">
        <v>74</v>
      </c>
      <c r="Q217" t="s">
        <v>74</v>
      </c>
      <c r="R217" t="s">
        <v>74</v>
      </c>
      <c r="S217" t="s">
        <v>74</v>
      </c>
      <c r="T217" t="s">
        <v>4126</v>
      </c>
      <c r="U217" t="s">
        <v>4127</v>
      </c>
      <c r="V217" t="s">
        <v>4128</v>
      </c>
      <c r="W217" t="s">
        <v>4129</v>
      </c>
      <c r="X217" t="s">
        <v>4130</v>
      </c>
      <c r="Y217" t="s">
        <v>4131</v>
      </c>
      <c r="Z217" t="s">
        <v>4132</v>
      </c>
      <c r="AA217" t="s">
        <v>74</v>
      </c>
      <c r="AB217" t="s">
        <v>74</v>
      </c>
      <c r="AC217" t="s">
        <v>4133</v>
      </c>
      <c r="AD217" t="s">
        <v>4134</v>
      </c>
      <c r="AE217" t="s">
        <v>4135</v>
      </c>
      <c r="AF217" t="s">
        <v>74</v>
      </c>
      <c r="AG217">
        <v>48</v>
      </c>
      <c r="AH217">
        <v>45</v>
      </c>
      <c r="AI217">
        <v>49</v>
      </c>
      <c r="AJ217">
        <v>3</v>
      </c>
      <c r="AK217">
        <v>36</v>
      </c>
      <c r="AL217" t="s">
        <v>3479</v>
      </c>
      <c r="AM217" t="s">
        <v>334</v>
      </c>
      <c r="AN217" t="s">
        <v>3480</v>
      </c>
      <c r="AO217" t="s">
        <v>4136</v>
      </c>
      <c r="AP217" t="s">
        <v>4137</v>
      </c>
      <c r="AQ217" t="s">
        <v>74</v>
      </c>
      <c r="AR217" t="s">
        <v>4138</v>
      </c>
      <c r="AS217" t="s">
        <v>4139</v>
      </c>
      <c r="AT217" t="s">
        <v>97</v>
      </c>
      <c r="AU217">
        <v>2012</v>
      </c>
      <c r="AV217">
        <v>67</v>
      </c>
      <c r="AW217">
        <v>1</v>
      </c>
      <c r="AX217" t="s">
        <v>74</v>
      </c>
      <c r="AY217" t="s">
        <v>74</v>
      </c>
      <c r="AZ217" t="s">
        <v>74</v>
      </c>
      <c r="BA217" t="s">
        <v>74</v>
      </c>
      <c r="BB217">
        <v>85</v>
      </c>
      <c r="BC217">
        <v>90</v>
      </c>
      <c r="BD217" t="s">
        <v>74</v>
      </c>
      <c r="BE217" t="s">
        <v>4140</v>
      </c>
      <c r="BF217" t="str">
        <f>HYPERLINK("http://dx.doi.org/10.1016/j.seares.2011.10.007","http://dx.doi.org/10.1016/j.seares.2011.10.007")</f>
        <v>http://dx.doi.org/10.1016/j.seares.2011.10.007</v>
      </c>
      <c r="BG217" t="s">
        <v>74</v>
      </c>
      <c r="BH217" t="s">
        <v>74</v>
      </c>
      <c r="BI217">
        <v>6</v>
      </c>
      <c r="BJ217" t="s">
        <v>4141</v>
      </c>
      <c r="BK217" t="s">
        <v>100</v>
      </c>
      <c r="BL217" t="s">
        <v>4141</v>
      </c>
      <c r="BM217" t="s">
        <v>4142</v>
      </c>
      <c r="BN217" t="s">
        <v>74</v>
      </c>
      <c r="BO217" t="s">
        <v>74</v>
      </c>
      <c r="BP217" t="s">
        <v>74</v>
      </c>
      <c r="BQ217" t="s">
        <v>74</v>
      </c>
      <c r="BR217" t="s">
        <v>102</v>
      </c>
      <c r="BS217" t="s">
        <v>4143</v>
      </c>
      <c r="BT217" t="str">
        <f>HYPERLINK("https%3A%2F%2Fwww.webofscience.com%2Fwos%2Fwoscc%2Ffull-record%2FWOS:000300652300010","View Full Record in Web of Science")</f>
        <v>View Full Record in Web of Science</v>
      </c>
    </row>
    <row r="218" spans="1:72" x14ac:dyDescent="0.15">
      <c r="A218" t="s">
        <v>72</v>
      </c>
      <c r="B218" t="s">
        <v>4144</v>
      </c>
      <c r="C218" t="s">
        <v>74</v>
      </c>
      <c r="D218" t="s">
        <v>74</v>
      </c>
      <c r="E218" t="s">
        <v>74</v>
      </c>
      <c r="F218" t="s">
        <v>4145</v>
      </c>
      <c r="G218" t="s">
        <v>74</v>
      </c>
      <c r="H218" t="s">
        <v>74</v>
      </c>
      <c r="I218" t="s">
        <v>4146</v>
      </c>
      <c r="J218" t="s">
        <v>4147</v>
      </c>
      <c r="K218" t="s">
        <v>74</v>
      </c>
      <c r="L218" t="s">
        <v>74</v>
      </c>
      <c r="M218" t="s">
        <v>78</v>
      </c>
      <c r="N218" t="s">
        <v>79</v>
      </c>
      <c r="O218" t="s">
        <v>74</v>
      </c>
      <c r="P218" t="s">
        <v>74</v>
      </c>
      <c r="Q218" t="s">
        <v>74</v>
      </c>
      <c r="R218" t="s">
        <v>74</v>
      </c>
      <c r="S218" t="s">
        <v>74</v>
      </c>
      <c r="T218" t="s">
        <v>4148</v>
      </c>
      <c r="U218" t="s">
        <v>4149</v>
      </c>
      <c r="V218" t="s">
        <v>4150</v>
      </c>
      <c r="W218" t="s">
        <v>4151</v>
      </c>
      <c r="X218" t="s">
        <v>4152</v>
      </c>
      <c r="Y218" t="s">
        <v>4153</v>
      </c>
      <c r="Z218" t="s">
        <v>4154</v>
      </c>
      <c r="AA218" t="s">
        <v>4155</v>
      </c>
      <c r="AB218" t="s">
        <v>4156</v>
      </c>
      <c r="AC218" t="s">
        <v>4157</v>
      </c>
      <c r="AD218" t="s">
        <v>4158</v>
      </c>
      <c r="AE218" t="s">
        <v>4159</v>
      </c>
      <c r="AF218" t="s">
        <v>74</v>
      </c>
      <c r="AG218">
        <v>46</v>
      </c>
      <c r="AH218">
        <v>74</v>
      </c>
      <c r="AI218">
        <v>75</v>
      </c>
      <c r="AJ218">
        <v>0</v>
      </c>
      <c r="AK218">
        <v>15</v>
      </c>
      <c r="AL218" t="s">
        <v>4160</v>
      </c>
      <c r="AM218" t="s">
        <v>4161</v>
      </c>
      <c r="AN218" t="s">
        <v>4162</v>
      </c>
      <c r="AO218" t="s">
        <v>4163</v>
      </c>
      <c r="AP218" t="s">
        <v>74</v>
      </c>
      <c r="AQ218" t="s">
        <v>74</v>
      </c>
      <c r="AR218" t="s">
        <v>4164</v>
      </c>
      <c r="AS218" t="s">
        <v>4165</v>
      </c>
      <c r="AT218" t="s">
        <v>74</v>
      </c>
      <c r="AU218">
        <v>2012</v>
      </c>
      <c r="AV218">
        <v>2</v>
      </c>
      <c r="AW218" t="s">
        <v>74</v>
      </c>
      <c r="AX218" t="s">
        <v>74</v>
      </c>
      <c r="AY218" t="s">
        <v>74</v>
      </c>
      <c r="AZ218" t="s">
        <v>74</v>
      </c>
      <c r="BA218" t="s">
        <v>74</v>
      </c>
      <c r="BB218" t="s">
        <v>74</v>
      </c>
      <c r="BC218" t="s">
        <v>74</v>
      </c>
      <c r="BD218" t="s">
        <v>4166</v>
      </c>
      <c r="BE218" t="s">
        <v>4167</v>
      </c>
      <c r="BF218" t="str">
        <f>HYPERLINK("http://dx.doi.org/10.1051/swsc/2012022","http://dx.doi.org/10.1051/swsc/2012022")</f>
        <v>http://dx.doi.org/10.1051/swsc/2012022</v>
      </c>
      <c r="BG218" t="s">
        <v>74</v>
      </c>
      <c r="BH218" t="s">
        <v>74</v>
      </c>
      <c r="BI218">
        <v>14</v>
      </c>
      <c r="BJ218" t="s">
        <v>4168</v>
      </c>
      <c r="BK218" t="s">
        <v>100</v>
      </c>
      <c r="BL218" t="s">
        <v>4168</v>
      </c>
      <c r="BM218" t="s">
        <v>4169</v>
      </c>
      <c r="BN218" t="s">
        <v>74</v>
      </c>
      <c r="BO218" t="s">
        <v>1887</v>
      </c>
      <c r="BP218" t="s">
        <v>74</v>
      </c>
      <c r="BQ218" t="s">
        <v>74</v>
      </c>
      <c r="BR218" t="s">
        <v>102</v>
      </c>
      <c r="BS218" t="s">
        <v>4170</v>
      </c>
      <c r="BT218" t="str">
        <f>HYPERLINK("https%3A%2F%2Fwww.webofscience.com%2Fwos%2Fwoscc%2Ffull-record%2FWOS:000325007800022","View Full Record in Web of Science")</f>
        <v>View Full Record in Web of Science</v>
      </c>
    </row>
    <row r="219" spans="1:72" x14ac:dyDescent="0.15">
      <c r="A219" t="s">
        <v>72</v>
      </c>
      <c r="B219" t="s">
        <v>4171</v>
      </c>
      <c r="C219" t="s">
        <v>74</v>
      </c>
      <c r="D219" t="s">
        <v>74</v>
      </c>
      <c r="E219" t="s">
        <v>74</v>
      </c>
      <c r="F219" t="s">
        <v>4172</v>
      </c>
      <c r="G219" t="s">
        <v>74</v>
      </c>
      <c r="H219" t="s">
        <v>74</v>
      </c>
      <c r="I219" t="s">
        <v>4173</v>
      </c>
      <c r="J219" t="s">
        <v>4174</v>
      </c>
      <c r="K219" t="s">
        <v>74</v>
      </c>
      <c r="L219" t="s">
        <v>74</v>
      </c>
      <c r="M219" t="s">
        <v>78</v>
      </c>
      <c r="N219" t="s">
        <v>52</v>
      </c>
      <c r="O219" t="s">
        <v>4175</v>
      </c>
      <c r="P219" t="s">
        <v>4176</v>
      </c>
      <c r="Q219" t="s">
        <v>4177</v>
      </c>
      <c r="R219" t="s">
        <v>74</v>
      </c>
      <c r="S219" t="s">
        <v>4178</v>
      </c>
      <c r="T219" t="s">
        <v>74</v>
      </c>
      <c r="U219" t="s">
        <v>74</v>
      </c>
      <c r="V219" t="s">
        <v>74</v>
      </c>
      <c r="W219" t="s">
        <v>4179</v>
      </c>
      <c r="X219" t="s">
        <v>4180</v>
      </c>
      <c r="Y219" t="s">
        <v>74</v>
      </c>
      <c r="Z219" t="s">
        <v>74</v>
      </c>
      <c r="AA219" t="s">
        <v>74</v>
      </c>
      <c r="AB219" t="s">
        <v>74</v>
      </c>
      <c r="AC219" t="s">
        <v>74</v>
      </c>
      <c r="AD219" t="s">
        <v>74</v>
      </c>
      <c r="AE219" t="s">
        <v>74</v>
      </c>
      <c r="AF219" t="s">
        <v>74</v>
      </c>
      <c r="AG219">
        <v>0</v>
      </c>
      <c r="AH219">
        <v>0</v>
      </c>
      <c r="AI219">
        <v>0</v>
      </c>
      <c r="AJ219">
        <v>0</v>
      </c>
      <c r="AK219">
        <v>4</v>
      </c>
      <c r="AL219" t="s">
        <v>713</v>
      </c>
      <c r="AM219" t="s">
        <v>714</v>
      </c>
      <c r="AN219" t="s">
        <v>4181</v>
      </c>
      <c r="AO219" t="s">
        <v>4182</v>
      </c>
      <c r="AP219" t="s">
        <v>4183</v>
      </c>
      <c r="AQ219" t="s">
        <v>74</v>
      </c>
      <c r="AR219" t="s">
        <v>4184</v>
      </c>
      <c r="AS219" t="s">
        <v>4185</v>
      </c>
      <c r="AT219" t="s">
        <v>74</v>
      </c>
      <c r="AU219">
        <v>2012</v>
      </c>
      <c r="AV219">
        <v>32</v>
      </c>
      <c r="AW219" t="s">
        <v>74</v>
      </c>
      <c r="AX219" t="s">
        <v>74</v>
      </c>
      <c r="AY219">
        <v>2</v>
      </c>
      <c r="AZ219" t="s">
        <v>339</v>
      </c>
      <c r="BA219" t="s">
        <v>74</v>
      </c>
      <c r="BB219">
        <v>75</v>
      </c>
      <c r="BC219">
        <v>75</v>
      </c>
      <c r="BD219" t="s">
        <v>74</v>
      </c>
      <c r="BE219" t="s">
        <v>74</v>
      </c>
      <c r="BF219" t="s">
        <v>74</v>
      </c>
      <c r="BG219" t="s">
        <v>74</v>
      </c>
      <c r="BH219" t="s">
        <v>74</v>
      </c>
      <c r="BI219">
        <v>1</v>
      </c>
      <c r="BJ219" t="s">
        <v>4186</v>
      </c>
      <c r="BK219" t="s">
        <v>259</v>
      </c>
      <c r="BL219" t="s">
        <v>4186</v>
      </c>
      <c r="BM219" t="s">
        <v>4187</v>
      </c>
      <c r="BN219" t="s">
        <v>74</v>
      </c>
      <c r="BO219" t="s">
        <v>74</v>
      </c>
      <c r="BP219" t="s">
        <v>74</v>
      </c>
      <c r="BQ219" t="s">
        <v>74</v>
      </c>
      <c r="BR219" t="s">
        <v>102</v>
      </c>
      <c r="BS219" t="s">
        <v>4188</v>
      </c>
      <c r="BT219" t="str">
        <f>HYPERLINK("https%3A%2F%2Fwww.webofscience.com%2Fwos%2Fwoscc%2Ffull-record%2FWOS:000313496400096","View Full Record in Web of Science")</f>
        <v>View Full Record in Web of Science</v>
      </c>
    </row>
    <row r="220" spans="1:72" x14ac:dyDescent="0.15">
      <c r="A220" t="s">
        <v>72</v>
      </c>
      <c r="B220" t="s">
        <v>4189</v>
      </c>
      <c r="C220" t="s">
        <v>74</v>
      </c>
      <c r="D220" t="s">
        <v>74</v>
      </c>
      <c r="E220" t="s">
        <v>74</v>
      </c>
      <c r="F220" t="s">
        <v>4190</v>
      </c>
      <c r="G220" t="s">
        <v>74</v>
      </c>
      <c r="H220" t="s">
        <v>74</v>
      </c>
      <c r="I220" t="s">
        <v>4191</v>
      </c>
      <c r="J220" t="s">
        <v>4192</v>
      </c>
      <c r="K220" t="s">
        <v>74</v>
      </c>
      <c r="L220" t="s">
        <v>74</v>
      </c>
      <c r="M220" t="s">
        <v>3199</v>
      </c>
      <c r="N220" t="s">
        <v>79</v>
      </c>
      <c r="O220" t="s">
        <v>74</v>
      </c>
      <c r="P220" t="s">
        <v>74</v>
      </c>
      <c r="Q220" t="s">
        <v>74</v>
      </c>
      <c r="R220" t="s">
        <v>74</v>
      </c>
      <c r="S220" t="s">
        <v>74</v>
      </c>
      <c r="T220" t="s">
        <v>4193</v>
      </c>
      <c r="U220" t="s">
        <v>4194</v>
      </c>
      <c r="V220" t="s">
        <v>4195</v>
      </c>
      <c r="W220" t="s">
        <v>4196</v>
      </c>
      <c r="X220" t="s">
        <v>4197</v>
      </c>
      <c r="Y220" t="s">
        <v>4198</v>
      </c>
      <c r="Z220" t="s">
        <v>4199</v>
      </c>
      <c r="AA220" t="s">
        <v>4200</v>
      </c>
      <c r="AB220" t="s">
        <v>4201</v>
      </c>
      <c r="AC220" t="s">
        <v>74</v>
      </c>
      <c r="AD220" t="s">
        <v>74</v>
      </c>
      <c r="AE220" t="s">
        <v>74</v>
      </c>
      <c r="AF220" t="s">
        <v>74</v>
      </c>
      <c r="AG220">
        <v>37</v>
      </c>
      <c r="AH220">
        <v>1</v>
      </c>
      <c r="AI220">
        <v>1</v>
      </c>
      <c r="AJ220">
        <v>0</v>
      </c>
      <c r="AK220">
        <v>11</v>
      </c>
      <c r="AL220" t="s">
        <v>4202</v>
      </c>
      <c r="AM220" t="s">
        <v>4203</v>
      </c>
      <c r="AN220" t="s">
        <v>4204</v>
      </c>
      <c r="AO220" t="s">
        <v>4205</v>
      </c>
      <c r="AP220" t="s">
        <v>4206</v>
      </c>
      <c r="AQ220" t="s">
        <v>74</v>
      </c>
      <c r="AR220" t="s">
        <v>4207</v>
      </c>
      <c r="AS220" t="s">
        <v>4208</v>
      </c>
      <c r="AT220" t="s">
        <v>74</v>
      </c>
      <c r="AU220">
        <v>2012</v>
      </c>
      <c r="AV220">
        <v>40</v>
      </c>
      <c r="AW220">
        <v>2</v>
      </c>
      <c r="AX220" t="s">
        <v>74</v>
      </c>
      <c r="AY220" t="s">
        <v>74</v>
      </c>
      <c r="AZ220" t="s">
        <v>74</v>
      </c>
      <c r="BA220" t="s">
        <v>74</v>
      </c>
      <c r="BB220">
        <v>462</v>
      </c>
      <c r="BC220">
        <v>466</v>
      </c>
      <c r="BD220" t="s">
        <v>74</v>
      </c>
      <c r="BE220" t="s">
        <v>4209</v>
      </c>
      <c r="BF220" t="str">
        <f>HYPERLINK("http://dx.doi.org/10.3856/vol40-issue2-fulltext-22","http://dx.doi.org/10.3856/vol40-issue2-fulltext-22")</f>
        <v>http://dx.doi.org/10.3856/vol40-issue2-fulltext-22</v>
      </c>
      <c r="BG220" t="s">
        <v>74</v>
      </c>
      <c r="BH220" t="s">
        <v>74</v>
      </c>
      <c r="BI220">
        <v>5</v>
      </c>
      <c r="BJ220" t="s">
        <v>4210</v>
      </c>
      <c r="BK220" t="s">
        <v>100</v>
      </c>
      <c r="BL220" t="s">
        <v>4210</v>
      </c>
      <c r="BM220" t="s">
        <v>4211</v>
      </c>
      <c r="BN220" t="s">
        <v>74</v>
      </c>
      <c r="BO220" t="s">
        <v>1237</v>
      </c>
      <c r="BP220" t="s">
        <v>74</v>
      </c>
      <c r="BQ220" t="s">
        <v>74</v>
      </c>
      <c r="BR220" t="s">
        <v>102</v>
      </c>
      <c r="BS220" t="s">
        <v>4212</v>
      </c>
      <c r="BT220" t="str">
        <f>HYPERLINK("https%3A%2F%2Fwww.webofscience.com%2Fwos%2Fwoscc%2Ffull-record%2FWOS:000314513500022","View Full Record in Web of Science")</f>
        <v>View Full Record in Web of Science</v>
      </c>
    </row>
    <row r="221" spans="1:72" x14ac:dyDescent="0.15">
      <c r="A221" t="s">
        <v>72</v>
      </c>
      <c r="B221" t="s">
        <v>4213</v>
      </c>
      <c r="C221" t="s">
        <v>74</v>
      </c>
      <c r="D221" t="s">
        <v>74</v>
      </c>
      <c r="E221" t="s">
        <v>74</v>
      </c>
      <c r="F221" t="s">
        <v>4214</v>
      </c>
      <c r="G221" t="s">
        <v>74</v>
      </c>
      <c r="H221" t="s">
        <v>74</v>
      </c>
      <c r="I221" t="s">
        <v>4215</v>
      </c>
      <c r="J221" t="s">
        <v>4192</v>
      </c>
      <c r="K221" t="s">
        <v>74</v>
      </c>
      <c r="L221" t="s">
        <v>74</v>
      </c>
      <c r="M221" t="s">
        <v>78</v>
      </c>
      <c r="N221" t="s">
        <v>79</v>
      </c>
      <c r="O221" t="s">
        <v>74</v>
      </c>
      <c r="P221" t="s">
        <v>74</v>
      </c>
      <c r="Q221" t="s">
        <v>74</v>
      </c>
      <c r="R221" t="s">
        <v>74</v>
      </c>
      <c r="S221" t="s">
        <v>74</v>
      </c>
      <c r="T221" t="s">
        <v>4216</v>
      </c>
      <c r="U221" t="s">
        <v>4217</v>
      </c>
      <c r="V221" t="s">
        <v>4218</v>
      </c>
      <c r="W221" t="s">
        <v>4219</v>
      </c>
      <c r="X221" t="s">
        <v>4220</v>
      </c>
      <c r="Y221" t="s">
        <v>4221</v>
      </c>
      <c r="Z221" t="s">
        <v>4222</v>
      </c>
      <c r="AA221" t="s">
        <v>4223</v>
      </c>
      <c r="AB221" t="s">
        <v>4224</v>
      </c>
      <c r="AC221" t="s">
        <v>4225</v>
      </c>
      <c r="AD221" t="s">
        <v>4226</v>
      </c>
      <c r="AE221" t="s">
        <v>4227</v>
      </c>
      <c r="AF221" t="s">
        <v>74</v>
      </c>
      <c r="AG221">
        <v>29</v>
      </c>
      <c r="AH221">
        <v>12</v>
      </c>
      <c r="AI221">
        <v>13</v>
      </c>
      <c r="AJ221">
        <v>2</v>
      </c>
      <c r="AK221">
        <v>54</v>
      </c>
      <c r="AL221" t="s">
        <v>4202</v>
      </c>
      <c r="AM221" t="s">
        <v>4203</v>
      </c>
      <c r="AN221" t="s">
        <v>4204</v>
      </c>
      <c r="AO221" t="s">
        <v>4205</v>
      </c>
      <c r="AP221" t="s">
        <v>4206</v>
      </c>
      <c r="AQ221" t="s">
        <v>74</v>
      </c>
      <c r="AR221" t="s">
        <v>4207</v>
      </c>
      <c r="AS221" t="s">
        <v>4208</v>
      </c>
      <c r="AT221" t="s">
        <v>74</v>
      </c>
      <c r="AU221">
        <v>2012</v>
      </c>
      <c r="AV221">
        <v>40</v>
      </c>
      <c r="AW221">
        <v>4</v>
      </c>
      <c r="AX221" t="s">
        <v>74</v>
      </c>
      <c r="AY221" t="s">
        <v>74</v>
      </c>
      <c r="AZ221" t="s">
        <v>74</v>
      </c>
      <c r="BA221" t="s">
        <v>74</v>
      </c>
      <c r="BB221">
        <v>881</v>
      </c>
      <c r="BC221">
        <v>892</v>
      </c>
      <c r="BD221" t="s">
        <v>74</v>
      </c>
      <c r="BE221" t="s">
        <v>4228</v>
      </c>
      <c r="BF221" t="str">
        <f>HYPERLINK("http://dx.doi.org/10.3856/vol40-issue4-fulltext-6","http://dx.doi.org/10.3856/vol40-issue4-fulltext-6")</f>
        <v>http://dx.doi.org/10.3856/vol40-issue4-fulltext-6</v>
      </c>
      <c r="BG221" t="s">
        <v>74</v>
      </c>
      <c r="BH221" t="s">
        <v>74</v>
      </c>
      <c r="BI221">
        <v>12</v>
      </c>
      <c r="BJ221" t="s">
        <v>4210</v>
      </c>
      <c r="BK221" t="s">
        <v>100</v>
      </c>
      <c r="BL221" t="s">
        <v>4210</v>
      </c>
      <c r="BM221" t="s">
        <v>4229</v>
      </c>
      <c r="BN221" t="s">
        <v>74</v>
      </c>
      <c r="BO221" t="s">
        <v>1887</v>
      </c>
      <c r="BP221" t="s">
        <v>74</v>
      </c>
      <c r="BQ221" t="s">
        <v>74</v>
      </c>
      <c r="BR221" t="s">
        <v>102</v>
      </c>
      <c r="BS221" t="s">
        <v>4230</v>
      </c>
      <c r="BT221" t="str">
        <f>HYPERLINK("https%3A%2F%2Fwww.webofscience.com%2Fwos%2Fwoscc%2Ffull-record%2FWOS:000314516300006","View Full Record in Web of Science")</f>
        <v>View Full Record in Web of Science</v>
      </c>
    </row>
    <row r="222" spans="1:72" x14ac:dyDescent="0.15">
      <c r="A222" t="s">
        <v>517</v>
      </c>
      <c r="B222" t="s">
        <v>4231</v>
      </c>
      <c r="C222" t="s">
        <v>74</v>
      </c>
      <c r="D222" t="s">
        <v>4232</v>
      </c>
      <c r="E222" t="s">
        <v>74</v>
      </c>
      <c r="F222" t="s">
        <v>4233</v>
      </c>
      <c r="G222" t="s">
        <v>74</v>
      </c>
      <c r="H222" t="s">
        <v>74</v>
      </c>
      <c r="I222" t="s">
        <v>4234</v>
      </c>
      <c r="J222" t="s">
        <v>4235</v>
      </c>
      <c r="K222" t="s">
        <v>74</v>
      </c>
      <c r="L222" t="s">
        <v>74</v>
      </c>
      <c r="M222" t="s">
        <v>78</v>
      </c>
      <c r="N222" t="s">
        <v>523</v>
      </c>
      <c r="O222" t="s">
        <v>74</v>
      </c>
      <c r="P222" t="s">
        <v>74</v>
      </c>
      <c r="Q222" t="s">
        <v>74</v>
      </c>
      <c r="R222" t="s">
        <v>74</v>
      </c>
      <c r="S222" t="s">
        <v>74</v>
      </c>
      <c r="T222" t="s">
        <v>74</v>
      </c>
      <c r="U222" t="s">
        <v>4236</v>
      </c>
      <c r="V222" t="s">
        <v>74</v>
      </c>
      <c r="W222" t="s">
        <v>4237</v>
      </c>
      <c r="X222" t="s">
        <v>4238</v>
      </c>
      <c r="Y222" t="s">
        <v>4239</v>
      </c>
      <c r="Z222" t="s">
        <v>4240</v>
      </c>
      <c r="AA222" t="s">
        <v>4241</v>
      </c>
      <c r="AB222" t="s">
        <v>4242</v>
      </c>
      <c r="AC222" t="s">
        <v>74</v>
      </c>
      <c r="AD222" t="s">
        <v>74</v>
      </c>
      <c r="AE222" t="s">
        <v>74</v>
      </c>
      <c r="AF222" t="s">
        <v>74</v>
      </c>
      <c r="AG222">
        <v>84</v>
      </c>
      <c r="AH222">
        <v>3</v>
      </c>
      <c r="AI222">
        <v>3</v>
      </c>
      <c r="AJ222">
        <v>0</v>
      </c>
      <c r="AK222">
        <v>6</v>
      </c>
      <c r="AL222" t="s">
        <v>4243</v>
      </c>
      <c r="AM222" t="s">
        <v>4244</v>
      </c>
      <c r="AN222" t="s">
        <v>4245</v>
      </c>
      <c r="AO222" t="s">
        <v>74</v>
      </c>
      <c r="AP222" t="s">
        <v>74</v>
      </c>
      <c r="AQ222" t="s">
        <v>4246</v>
      </c>
      <c r="AR222" t="s">
        <v>74</v>
      </c>
      <c r="AS222" t="s">
        <v>74</v>
      </c>
      <c r="AT222" t="s">
        <v>74</v>
      </c>
      <c r="AU222">
        <v>2012</v>
      </c>
      <c r="AV222" t="s">
        <v>74</v>
      </c>
      <c r="AW222" t="s">
        <v>74</v>
      </c>
      <c r="AX222" t="s">
        <v>74</v>
      </c>
      <c r="AY222" t="s">
        <v>74</v>
      </c>
      <c r="AZ222" t="s">
        <v>74</v>
      </c>
      <c r="BA222" t="s">
        <v>74</v>
      </c>
      <c r="BB222">
        <v>176</v>
      </c>
      <c r="BC222">
        <v>195</v>
      </c>
      <c r="BD222" t="s">
        <v>74</v>
      </c>
      <c r="BE222" t="s">
        <v>74</v>
      </c>
      <c r="BF222" t="s">
        <v>74</v>
      </c>
      <c r="BG222" t="s">
        <v>4247</v>
      </c>
      <c r="BH222" t="s">
        <v>74</v>
      </c>
      <c r="BI222">
        <v>20</v>
      </c>
      <c r="BJ222" t="s">
        <v>314</v>
      </c>
      <c r="BK222" t="s">
        <v>534</v>
      </c>
      <c r="BL222" t="s">
        <v>314</v>
      </c>
      <c r="BM222" t="s">
        <v>4248</v>
      </c>
      <c r="BN222" t="s">
        <v>74</v>
      </c>
      <c r="BO222" t="s">
        <v>74</v>
      </c>
      <c r="BP222" t="s">
        <v>74</v>
      </c>
      <c r="BQ222" t="s">
        <v>74</v>
      </c>
      <c r="BR222" t="s">
        <v>102</v>
      </c>
      <c r="BS222" t="s">
        <v>4249</v>
      </c>
      <c r="BT222" t="str">
        <f>HYPERLINK("https%3A%2F%2Fwww.webofscience.com%2Fwos%2Fwoscc%2Ffull-record%2FWOS:000312995600010","View Full Record in Web of Science")</f>
        <v>View Full Record in Web of Science</v>
      </c>
    </row>
    <row r="223" spans="1:72" x14ac:dyDescent="0.15">
      <c r="A223" t="s">
        <v>72</v>
      </c>
      <c r="B223" t="s">
        <v>4250</v>
      </c>
      <c r="C223" t="s">
        <v>74</v>
      </c>
      <c r="D223" t="s">
        <v>74</v>
      </c>
      <c r="E223" t="s">
        <v>74</v>
      </c>
      <c r="F223" t="s">
        <v>4251</v>
      </c>
      <c r="G223" t="s">
        <v>74</v>
      </c>
      <c r="H223" t="s">
        <v>74</v>
      </c>
      <c r="I223" t="s">
        <v>4252</v>
      </c>
      <c r="J223" t="s">
        <v>4253</v>
      </c>
      <c r="K223" t="s">
        <v>74</v>
      </c>
      <c r="L223" t="s">
        <v>74</v>
      </c>
      <c r="M223" t="s">
        <v>78</v>
      </c>
      <c r="N223" t="s">
        <v>79</v>
      </c>
      <c r="O223" t="s">
        <v>74</v>
      </c>
      <c r="P223" t="s">
        <v>74</v>
      </c>
      <c r="Q223" t="s">
        <v>74</v>
      </c>
      <c r="R223" t="s">
        <v>74</v>
      </c>
      <c r="S223" t="s">
        <v>74</v>
      </c>
      <c r="T223" t="s">
        <v>74</v>
      </c>
      <c r="U223" t="s">
        <v>4254</v>
      </c>
      <c r="V223" t="s">
        <v>4255</v>
      </c>
      <c r="W223" t="s">
        <v>4256</v>
      </c>
      <c r="X223" t="s">
        <v>4257</v>
      </c>
      <c r="Y223" t="s">
        <v>4258</v>
      </c>
      <c r="Z223" t="s">
        <v>2512</v>
      </c>
      <c r="AA223" t="s">
        <v>4259</v>
      </c>
      <c r="AB223" t="s">
        <v>74</v>
      </c>
      <c r="AC223" t="s">
        <v>4260</v>
      </c>
      <c r="AD223" t="s">
        <v>4261</v>
      </c>
      <c r="AE223" t="s">
        <v>4262</v>
      </c>
      <c r="AF223" t="s">
        <v>74</v>
      </c>
      <c r="AG223">
        <v>37</v>
      </c>
      <c r="AH223">
        <v>29</v>
      </c>
      <c r="AI223">
        <v>30</v>
      </c>
      <c r="AJ223">
        <v>0</v>
      </c>
      <c r="AK223">
        <v>22</v>
      </c>
      <c r="AL223" t="s">
        <v>2832</v>
      </c>
      <c r="AM223" t="s">
        <v>796</v>
      </c>
      <c r="AN223" t="s">
        <v>797</v>
      </c>
      <c r="AO223" t="s">
        <v>4263</v>
      </c>
      <c r="AP223" t="s">
        <v>4264</v>
      </c>
      <c r="AQ223" t="s">
        <v>74</v>
      </c>
      <c r="AR223" t="s">
        <v>4265</v>
      </c>
      <c r="AS223" t="s">
        <v>4266</v>
      </c>
      <c r="AT223" t="s">
        <v>97</v>
      </c>
      <c r="AU223">
        <v>2012</v>
      </c>
      <c r="AV223">
        <v>57</v>
      </c>
      <c r="AW223">
        <v>1</v>
      </c>
      <c r="AX223" t="s">
        <v>74</v>
      </c>
      <c r="AY223" t="s">
        <v>74</v>
      </c>
      <c r="AZ223" t="s">
        <v>74</v>
      </c>
      <c r="BA223" t="s">
        <v>74</v>
      </c>
      <c r="BB223">
        <v>65</v>
      </c>
      <c r="BC223">
        <v>75</v>
      </c>
      <c r="BD223" t="s">
        <v>74</v>
      </c>
      <c r="BE223" t="s">
        <v>4267</v>
      </c>
      <c r="BF223" t="str">
        <f>HYPERLINK("http://dx.doi.org/10.4319/lo.2012.57.1.0065","http://dx.doi.org/10.4319/lo.2012.57.1.0065")</f>
        <v>http://dx.doi.org/10.4319/lo.2012.57.1.0065</v>
      </c>
      <c r="BG223" t="s">
        <v>74</v>
      </c>
      <c r="BH223" t="s">
        <v>74</v>
      </c>
      <c r="BI223">
        <v>11</v>
      </c>
      <c r="BJ223" t="s">
        <v>4268</v>
      </c>
      <c r="BK223" t="s">
        <v>100</v>
      </c>
      <c r="BL223" t="s">
        <v>4141</v>
      </c>
      <c r="BM223" t="s">
        <v>4269</v>
      </c>
      <c r="BN223" t="s">
        <v>74</v>
      </c>
      <c r="BO223" t="s">
        <v>365</v>
      </c>
      <c r="BP223" t="s">
        <v>74</v>
      </c>
      <c r="BQ223" t="s">
        <v>74</v>
      </c>
      <c r="BR223" t="s">
        <v>102</v>
      </c>
      <c r="BS223" t="s">
        <v>4270</v>
      </c>
      <c r="BT223" t="str">
        <f>HYPERLINK("https%3A%2F%2Fwww.webofscience.com%2Fwos%2Fwoscc%2Ffull-record%2FWOS:000298321300006","View Full Record in Web of Science")</f>
        <v>View Full Record in Web of Science</v>
      </c>
    </row>
    <row r="224" spans="1:72" x14ac:dyDescent="0.15">
      <c r="A224" t="s">
        <v>72</v>
      </c>
      <c r="B224" t="s">
        <v>4271</v>
      </c>
      <c r="C224" t="s">
        <v>74</v>
      </c>
      <c r="D224" t="s">
        <v>74</v>
      </c>
      <c r="E224" t="s">
        <v>74</v>
      </c>
      <c r="F224" t="s">
        <v>4272</v>
      </c>
      <c r="G224" t="s">
        <v>74</v>
      </c>
      <c r="H224" t="s">
        <v>74</v>
      </c>
      <c r="I224" t="s">
        <v>4273</v>
      </c>
      <c r="J224" t="s">
        <v>4274</v>
      </c>
      <c r="K224" t="s">
        <v>74</v>
      </c>
      <c r="L224" t="s">
        <v>74</v>
      </c>
      <c r="M224" t="s">
        <v>78</v>
      </c>
      <c r="N224" t="s">
        <v>79</v>
      </c>
      <c r="O224" t="s">
        <v>74</v>
      </c>
      <c r="P224" t="s">
        <v>74</v>
      </c>
      <c r="Q224" t="s">
        <v>74</v>
      </c>
      <c r="R224" t="s">
        <v>74</v>
      </c>
      <c r="S224" t="s">
        <v>74</v>
      </c>
      <c r="T224" t="s">
        <v>4275</v>
      </c>
      <c r="U224" t="s">
        <v>4276</v>
      </c>
      <c r="V224" t="s">
        <v>4277</v>
      </c>
      <c r="W224" t="s">
        <v>4278</v>
      </c>
      <c r="X224" t="s">
        <v>4279</v>
      </c>
      <c r="Y224" t="s">
        <v>4280</v>
      </c>
      <c r="Z224" t="s">
        <v>4281</v>
      </c>
      <c r="AA224" t="s">
        <v>4282</v>
      </c>
      <c r="AB224" t="s">
        <v>4283</v>
      </c>
      <c r="AC224" t="s">
        <v>585</v>
      </c>
      <c r="AD224" t="s">
        <v>586</v>
      </c>
      <c r="AE224" t="s">
        <v>74</v>
      </c>
      <c r="AF224" t="s">
        <v>74</v>
      </c>
      <c r="AG224">
        <v>18</v>
      </c>
      <c r="AH224">
        <v>45</v>
      </c>
      <c r="AI224">
        <v>53</v>
      </c>
      <c r="AJ224">
        <v>1</v>
      </c>
      <c r="AK224">
        <v>18</v>
      </c>
      <c r="AL224" t="s">
        <v>4284</v>
      </c>
      <c r="AM224" t="s">
        <v>4285</v>
      </c>
      <c r="AN224" t="s">
        <v>4286</v>
      </c>
      <c r="AO224" t="s">
        <v>4287</v>
      </c>
      <c r="AP224" t="s">
        <v>74</v>
      </c>
      <c r="AQ224" t="s">
        <v>74</v>
      </c>
      <c r="AR224" t="s">
        <v>4288</v>
      </c>
      <c r="AS224" t="s">
        <v>4289</v>
      </c>
      <c r="AT224" t="s">
        <v>74</v>
      </c>
      <c r="AU224">
        <v>2012</v>
      </c>
      <c r="AV224">
        <v>77</v>
      </c>
      <c r="AW224">
        <v>1</v>
      </c>
      <c r="AX224" t="s">
        <v>74</v>
      </c>
      <c r="AY224" t="s">
        <v>74</v>
      </c>
      <c r="AZ224" t="s">
        <v>74</v>
      </c>
      <c r="BA224" t="s">
        <v>74</v>
      </c>
      <c r="BB224">
        <v>71</v>
      </c>
      <c r="BC224">
        <v>73</v>
      </c>
      <c r="BD224" t="s">
        <v>74</v>
      </c>
      <c r="BE224" t="s">
        <v>4290</v>
      </c>
      <c r="BF224" t="str">
        <f>HYPERLINK("http://dx.doi.org/10.1016/j.mambio.2011.09.002","http://dx.doi.org/10.1016/j.mambio.2011.09.002")</f>
        <v>http://dx.doi.org/10.1016/j.mambio.2011.09.002</v>
      </c>
      <c r="BG224" t="s">
        <v>74</v>
      </c>
      <c r="BH224" t="s">
        <v>74</v>
      </c>
      <c r="BI224">
        <v>3</v>
      </c>
      <c r="BJ224" t="s">
        <v>2881</v>
      </c>
      <c r="BK224" t="s">
        <v>100</v>
      </c>
      <c r="BL224" t="s">
        <v>2881</v>
      </c>
      <c r="BM224" t="s">
        <v>4291</v>
      </c>
      <c r="BN224" t="s">
        <v>74</v>
      </c>
      <c r="BO224" t="s">
        <v>74</v>
      </c>
      <c r="BP224" t="s">
        <v>74</v>
      </c>
      <c r="BQ224" t="s">
        <v>74</v>
      </c>
      <c r="BR224" t="s">
        <v>102</v>
      </c>
      <c r="BS224" t="s">
        <v>4292</v>
      </c>
      <c r="BT224" t="str">
        <f>HYPERLINK("https%3A%2F%2Fwww.webofscience.com%2Fwos%2Fwoscc%2Ffull-record%2FWOS:000300267500011","View Full Record in Web of Science")</f>
        <v>View Full Record in Web of Science</v>
      </c>
    </row>
    <row r="225" spans="1:72" x14ac:dyDescent="0.15">
      <c r="A225" t="s">
        <v>72</v>
      </c>
      <c r="B225" t="s">
        <v>4293</v>
      </c>
      <c r="C225" t="s">
        <v>74</v>
      </c>
      <c r="D225" t="s">
        <v>74</v>
      </c>
      <c r="E225" t="s">
        <v>74</v>
      </c>
      <c r="F225" t="s">
        <v>4294</v>
      </c>
      <c r="G225" t="s">
        <v>74</v>
      </c>
      <c r="H225" t="s">
        <v>74</v>
      </c>
      <c r="I225" t="s">
        <v>4295</v>
      </c>
      <c r="J225" t="s">
        <v>4296</v>
      </c>
      <c r="K225" t="s">
        <v>74</v>
      </c>
      <c r="L225" t="s">
        <v>74</v>
      </c>
      <c r="M225" t="s">
        <v>78</v>
      </c>
      <c r="N225" t="s">
        <v>79</v>
      </c>
      <c r="O225" t="s">
        <v>74</v>
      </c>
      <c r="P225" t="s">
        <v>74</v>
      </c>
      <c r="Q225" t="s">
        <v>74</v>
      </c>
      <c r="R225" t="s">
        <v>74</v>
      </c>
      <c r="S225" t="s">
        <v>74</v>
      </c>
      <c r="T225" t="s">
        <v>4297</v>
      </c>
      <c r="U225" t="s">
        <v>4298</v>
      </c>
      <c r="V225" t="s">
        <v>4299</v>
      </c>
      <c r="W225" t="s">
        <v>4300</v>
      </c>
      <c r="X225" t="s">
        <v>4301</v>
      </c>
      <c r="Y225" t="s">
        <v>4302</v>
      </c>
      <c r="Z225" t="s">
        <v>4303</v>
      </c>
      <c r="AA225" t="s">
        <v>74</v>
      </c>
      <c r="AB225" t="s">
        <v>4304</v>
      </c>
      <c r="AC225" t="s">
        <v>4305</v>
      </c>
      <c r="AD225" t="s">
        <v>4306</v>
      </c>
      <c r="AE225" t="s">
        <v>4307</v>
      </c>
      <c r="AF225" t="s">
        <v>74</v>
      </c>
      <c r="AG225">
        <v>38</v>
      </c>
      <c r="AH225">
        <v>7</v>
      </c>
      <c r="AI225">
        <v>7</v>
      </c>
      <c r="AJ225">
        <v>0</v>
      </c>
      <c r="AK225">
        <v>18</v>
      </c>
      <c r="AL225" t="s">
        <v>3727</v>
      </c>
      <c r="AM225" t="s">
        <v>3728</v>
      </c>
      <c r="AN225" t="s">
        <v>3729</v>
      </c>
      <c r="AO225" t="s">
        <v>4308</v>
      </c>
      <c r="AP225" t="s">
        <v>4309</v>
      </c>
      <c r="AQ225" t="s">
        <v>74</v>
      </c>
      <c r="AR225" t="s">
        <v>4310</v>
      </c>
      <c r="AS225" t="s">
        <v>4311</v>
      </c>
      <c r="AT225" t="s">
        <v>74</v>
      </c>
      <c r="AU225">
        <v>2012</v>
      </c>
      <c r="AV225">
        <v>63</v>
      </c>
      <c r="AW225">
        <v>1</v>
      </c>
      <c r="AX225" t="s">
        <v>74</v>
      </c>
      <c r="AY225" t="s">
        <v>74</v>
      </c>
      <c r="AZ225" t="s">
        <v>74</v>
      </c>
      <c r="BA225" t="s">
        <v>74</v>
      </c>
      <c r="BB225">
        <v>23</v>
      </c>
      <c r="BC225">
        <v>33</v>
      </c>
      <c r="BD225" t="s">
        <v>74</v>
      </c>
      <c r="BE225" t="s">
        <v>4312</v>
      </c>
      <c r="BF225" t="str">
        <f>HYPERLINK("http://dx.doi.org/10.1071/MF11103","http://dx.doi.org/10.1071/MF11103")</f>
        <v>http://dx.doi.org/10.1071/MF11103</v>
      </c>
      <c r="BG225" t="s">
        <v>74</v>
      </c>
      <c r="BH225" t="s">
        <v>74</v>
      </c>
      <c r="BI225">
        <v>11</v>
      </c>
      <c r="BJ225" t="s">
        <v>4313</v>
      </c>
      <c r="BK225" t="s">
        <v>100</v>
      </c>
      <c r="BL225" t="s">
        <v>363</v>
      </c>
      <c r="BM225" t="s">
        <v>4314</v>
      </c>
      <c r="BN225" t="s">
        <v>74</v>
      </c>
      <c r="BO225" t="s">
        <v>74</v>
      </c>
      <c r="BP225" t="s">
        <v>74</v>
      </c>
      <c r="BQ225" t="s">
        <v>74</v>
      </c>
      <c r="BR225" t="s">
        <v>102</v>
      </c>
      <c r="BS225" t="s">
        <v>4315</v>
      </c>
      <c r="BT225" t="str">
        <f>HYPERLINK("https%3A%2F%2Fwww.webofscience.com%2Fwos%2Fwoscc%2Ffull-record%2FWOS:000298756900004","View Full Record in Web of Science")</f>
        <v>View Full Record in Web of Science</v>
      </c>
    </row>
    <row r="226" spans="1:72" x14ac:dyDescent="0.15">
      <c r="A226" t="s">
        <v>72</v>
      </c>
      <c r="B226" t="s">
        <v>4316</v>
      </c>
      <c r="C226" t="s">
        <v>74</v>
      </c>
      <c r="D226" t="s">
        <v>74</v>
      </c>
      <c r="E226" t="s">
        <v>74</v>
      </c>
      <c r="F226" t="s">
        <v>4317</v>
      </c>
      <c r="G226" t="s">
        <v>74</v>
      </c>
      <c r="H226" t="s">
        <v>74</v>
      </c>
      <c r="I226" t="s">
        <v>4318</v>
      </c>
      <c r="J226" t="s">
        <v>4296</v>
      </c>
      <c r="K226" t="s">
        <v>74</v>
      </c>
      <c r="L226" t="s">
        <v>74</v>
      </c>
      <c r="M226" t="s">
        <v>78</v>
      </c>
      <c r="N226" t="s">
        <v>79</v>
      </c>
      <c r="O226" t="s">
        <v>74</v>
      </c>
      <c r="P226" t="s">
        <v>74</v>
      </c>
      <c r="Q226" t="s">
        <v>74</v>
      </c>
      <c r="R226" t="s">
        <v>74</v>
      </c>
      <c r="S226" t="s">
        <v>74</v>
      </c>
      <c r="T226" t="s">
        <v>4319</v>
      </c>
      <c r="U226" t="s">
        <v>4320</v>
      </c>
      <c r="V226" t="s">
        <v>4321</v>
      </c>
      <c r="W226" t="s">
        <v>4322</v>
      </c>
      <c r="X226" t="s">
        <v>4323</v>
      </c>
      <c r="Y226" t="s">
        <v>4324</v>
      </c>
      <c r="Z226" t="s">
        <v>4325</v>
      </c>
      <c r="AA226" t="s">
        <v>4326</v>
      </c>
      <c r="AB226" t="s">
        <v>4327</v>
      </c>
      <c r="AC226" t="s">
        <v>4328</v>
      </c>
      <c r="AD226" t="s">
        <v>4329</v>
      </c>
      <c r="AE226" t="s">
        <v>4330</v>
      </c>
      <c r="AF226" t="s">
        <v>74</v>
      </c>
      <c r="AG226">
        <v>41</v>
      </c>
      <c r="AH226">
        <v>48</v>
      </c>
      <c r="AI226">
        <v>56</v>
      </c>
      <c r="AJ226">
        <v>1</v>
      </c>
      <c r="AK226">
        <v>50</v>
      </c>
      <c r="AL226" t="s">
        <v>3727</v>
      </c>
      <c r="AM226" t="s">
        <v>3728</v>
      </c>
      <c r="AN226" t="s">
        <v>3729</v>
      </c>
      <c r="AO226" t="s">
        <v>4308</v>
      </c>
      <c r="AP226" t="s">
        <v>4309</v>
      </c>
      <c r="AQ226" t="s">
        <v>74</v>
      </c>
      <c r="AR226" t="s">
        <v>4310</v>
      </c>
      <c r="AS226" t="s">
        <v>4311</v>
      </c>
      <c r="AT226" t="s">
        <v>74</v>
      </c>
      <c r="AU226">
        <v>2012</v>
      </c>
      <c r="AV226">
        <v>63</v>
      </c>
      <c r="AW226">
        <v>7</v>
      </c>
      <c r="AX226" t="s">
        <v>74</v>
      </c>
      <c r="AY226" t="s">
        <v>74</v>
      </c>
      <c r="AZ226" t="s">
        <v>74</v>
      </c>
      <c r="BA226" t="s">
        <v>74</v>
      </c>
      <c r="BB226">
        <v>587</v>
      </c>
      <c r="BC226">
        <v>597</v>
      </c>
      <c r="BD226" t="s">
        <v>74</v>
      </c>
      <c r="BE226" t="s">
        <v>4331</v>
      </c>
      <c r="BF226" t="str">
        <f>HYPERLINK("http://dx.doi.org/10.1071/MF11252","http://dx.doi.org/10.1071/MF11252")</f>
        <v>http://dx.doi.org/10.1071/MF11252</v>
      </c>
      <c r="BG226" t="s">
        <v>74</v>
      </c>
      <c r="BH226" t="s">
        <v>74</v>
      </c>
      <c r="BI226">
        <v>11</v>
      </c>
      <c r="BJ226" t="s">
        <v>4313</v>
      </c>
      <c r="BK226" t="s">
        <v>100</v>
      </c>
      <c r="BL226" t="s">
        <v>363</v>
      </c>
      <c r="BM226" t="s">
        <v>4332</v>
      </c>
      <c r="BN226" t="s">
        <v>74</v>
      </c>
      <c r="BO226" t="s">
        <v>74</v>
      </c>
      <c r="BP226" t="s">
        <v>74</v>
      </c>
      <c r="BQ226" t="s">
        <v>74</v>
      </c>
      <c r="BR226" t="s">
        <v>102</v>
      </c>
      <c r="BS226" t="s">
        <v>4333</v>
      </c>
      <c r="BT226" t="str">
        <f>HYPERLINK("https%3A%2F%2Fwww.webofscience.com%2Fwos%2Fwoscc%2Ffull-record%2FWOS:000306293200003","View Full Record in Web of Science")</f>
        <v>View Full Record in Web of Science</v>
      </c>
    </row>
    <row r="227" spans="1:72" x14ac:dyDescent="0.15">
      <c r="A227" t="s">
        <v>72</v>
      </c>
      <c r="B227" t="s">
        <v>4334</v>
      </c>
      <c r="C227" t="s">
        <v>74</v>
      </c>
      <c r="D227" t="s">
        <v>74</v>
      </c>
      <c r="E227" t="s">
        <v>74</v>
      </c>
      <c r="F227" t="s">
        <v>4335</v>
      </c>
      <c r="G227" t="s">
        <v>74</v>
      </c>
      <c r="H227" t="s">
        <v>74</v>
      </c>
      <c r="I227" t="s">
        <v>4336</v>
      </c>
      <c r="J227" t="s">
        <v>4296</v>
      </c>
      <c r="K227" t="s">
        <v>74</v>
      </c>
      <c r="L227" t="s">
        <v>74</v>
      </c>
      <c r="M227" t="s">
        <v>78</v>
      </c>
      <c r="N227" t="s">
        <v>1513</v>
      </c>
      <c r="O227" t="s">
        <v>74</v>
      </c>
      <c r="P227" t="s">
        <v>74</v>
      </c>
      <c r="Q227" t="s">
        <v>74</v>
      </c>
      <c r="R227" t="s">
        <v>74</v>
      </c>
      <c r="S227" t="s">
        <v>74</v>
      </c>
      <c r="T227" t="s">
        <v>4337</v>
      </c>
      <c r="U227" t="s">
        <v>4338</v>
      </c>
      <c r="V227" t="s">
        <v>4339</v>
      </c>
      <c r="W227" t="s">
        <v>4340</v>
      </c>
      <c r="X227" t="s">
        <v>4341</v>
      </c>
      <c r="Y227" t="s">
        <v>4342</v>
      </c>
      <c r="Z227" t="s">
        <v>4343</v>
      </c>
      <c r="AA227" t="s">
        <v>4344</v>
      </c>
      <c r="AB227" t="s">
        <v>4345</v>
      </c>
      <c r="AC227" t="s">
        <v>4346</v>
      </c>
      <c r="AD227" t="s">
        <v>4347</v>
      </c>
      <c r="AE227" t="s">
        <v>4348</v>
      </c>
      <c r="AF227" t="s">
        <v>74</v>
      </c>
      <c r="AG227">
        <v>125</v>
      </c>
      <c r="AH227">
        <v>31</v>
      </c>
      <c r="AI227">
        <v>40</v>
      </c>
      <c r="AJ227">
        <v>3</v>
      </c>
      <c r="AK227">
        <v>128</v>
      </c>
      <c r="AL227" t="s">
        <v>3727</v>
      </c>
      <c r="AM227" t="s">
        <v>3728</v>
      </c>
      <c r="AN227" t="s">
        <v>3729</v>
      </c>
      <c r="AO227" t="s">
        <v>4308</v>
      </c>
      <c r="AP227" t="s">
        <v>4309</v>
      </c>
      <c r="AQ227" t="s">
        <v>74</v>
      </c>
      <c r="AR227" t="s">
        <v>4310</v>
      </c>
      <c r="AS227" t="s">
        <v>4311</v>
      </c>
      <c r="AT227" t="s">
        <v>74</v>
      </c>
      <c r="AU227">
        <v>2012</v>
      </c>
      <c r="AV227">
        <v>63</v>
      </c>
      <c r="AW227">
        <v>7</v>
      </c>
      <c r="AX227" t="s">
        <v>74</v>
      </c>
      <c r="AY227" t="s">
        <v>74</v>
      </c>
      <c r="AZ227" t="s">
        <v>74</v>
      </c>
      <c r="BA227" t="s">
        <v>74</v>
      </c>
      <c r="BB227">
        <v>644</v>
      </c>
      <c r="BC227">
        <v>657</v>
      </c>
      <c r="BD227" t="s">
        <v>74</v>
      </c>
      <c r="BE227" t="s">
        <v>4349</v>
      </c>
      <c r="BF227" t="str">
        <f>HYPERLINK("http://dx.doi.org/10.1071/MF11286","http://dx.doi.org/10.1071/MF11286")</f>
        <v>http://dx.doi.org/10.1071/MF11286</v>
      </c>
      <c r="BG227" t="s">
        <v>74</v>
      </c>
      <c r="BH227" t="s">
        <v>74</v>
      </c>
      <c r="BI227">
        <v>14</v>
      </c>
      <c r="BJ227" t="s">
        <v>4313</v>
      </c>
      <c r="BK227" t="s">
        <v>100</v>
      </c>
      <c r="BL227" t="s">
        <v>363</v>
      </c>
      <c r="BM227" t="s">
        <v>4332</v>
      </c>
      <c r="BN227" t="s">
        <v>74</v>
      </c>
      <c r="BO227" t="s">
        <v>74</v>
      </c>
      <c r="BP227" t="s">
        <v>74</v>
      </c>
      <c r="BQ227" t="s">
        <v>74</v>
      </c>
      <c r="BR227" t="s">
        <v>102</v>
      </c>
      <c r="BS227" t="s">
        <v>4350</v>
      </c>
      <c r="BT227" t="str">
        <f>HYPERLINK("https%3A%2F%2Fwww.webofscience.com%2Fwos%2Fwoscc%2Ffull-record%2FWOS:000306293200009","View Full Record in Web of Science")</f>
        <v>View Full Record in Web of Science</v>
      </c>
    </row>
    <row r="228" spans="1:72" x14ac:dyDescent="0.15">
      <c r="A228" t="s">
        <v>517</v>
      </c>
      <c r="B228" t="s">
        <v>4351</v>
      </c>
      <c r="C228" t="s">
        <v>74</v>
      </c>
      <c r="D228" t="s">
        <v>4352</v>
      </c>
      <c r="E228" t="s">
        <v>74</v>
      </c>
      <c r="F228" t="s">
        <v>4353</v>
      </c>
      <c r="G228" t="s">
        <v>74</v>
      </c>
      <c r="H228" t="s">
        <v>74</v>
      </c>
      <c r="I228" t="s">
        <v>4354</v>
      </c>
      <c r="J228" t="s">
        <v>4355</v>
      </c>
      <c r="K228" t="s">
        <v>74</v>
      </c>
      <c r="L228" t="s">
        <v>74</v>
      </c>
      <c r="M228" t="s">
        <v>78</v>
      </c>
      <c r="N228" t="s">
        <v>523</v>
      </c>
      <c r="O228" t="s">
        <v>74</v>
      </c>
      <c r="P228" t="s">
        <v>74</v>
      </c>
      <c r="Q228" t="s">
        <v>74</v>
      </c>
      <c r="R228" t="s">
        <v>74</v>
      </c>
      <c r="S228" t="s">
        <v>74</v>
      </c>
      <c r="T228" t="s">
        <v>74</v>
      </c>
      <c r="U228" t="s">
        <v>4356</v>
      </c>
      <c r="V228" t="s">
        <v>74</v>
      </c>
      <c r="W228" t="s">
        <v>4357</v>
      </c>
      <c r="X228" t="s">
        <v>4358</v>
      </c>
      <c r="Y228" t="s">
        <v>4359</v>
      </c>
      <c r="Z228" t="s">
        <v>4360</v>
      </c>
      <c r="AA228" t="s">
        <v>4361</v>
      </c>
      <c r="AB228" t="s">
        <v>4362</v>
      </c>
      <c r="AC228" t="s">
        <v>74</v>
      </c>
      <c r="AD228" t="s">
        <v>74</v>
      </c>
      <c r="AE228" t="s">
        <v>74</v>
      </c>
      <c r="AF228" t="s">
        <v>74</v>
      </c>
      <c r="AG228">
        <v>60</v>
      </c>
      <c r="AH228">
        <v>21</v>
      </c>
      <c r="AI228">
        <v>21</v>
      </c>
      <c r="AJ228">
        <v>0</v>
      </c>
      <c r="AK228">
        <v>4</v>
      </c>
      <c r="AL228" t="s">
        <v>307</v>
      </c>
      <c r="AM228" t="s">
        <v>413</v>
      </c>
      <c r="AN228" t="s">
        <v>2851</v>
      </c>
      <c r="AO228" t="s">
        <v>74</v>
      </c>
      <c r="AP228" t="s">
        <v>74</v>
      </c>
      <c r="AQ228" t="s">
        <v>4363</v>
      </c>
      <c r="AR228" t="s">
        <v>74</v>
      </c>
      <c r="AS228" t="s">
        <v>74</v>
      </c>
      <c r="AT228" t="s">
        <v>74</v>
      </c>
      <c r="AU228">
        <v>2012</v>
      </c>
      <c r="AV228" t="s">
        <v>74</v>
      </c>
      <c r="AW228" t="s">
        <v>74</v>
      </c>
      <c r="AX228" t="s">
        <v>74</v>
      </c>
      <c r="AY228" t="s">
        <v>74</v>
      </c>
      <c r="AZ228" t="s">
        <v>74</v>
      </c>
      <c r="BA228" t="s">
        <v>74</v>
      </c>
      <c r="BB228">
        <v>24</v>
      </c>
      <c r="BC228">
        <v>33</v>
      </c>
      <c r="BD228" t="s">
        <v>74</v>
      </c>
      <c r="BE228" t="s">
        <v>74</v>
      </c>
      <c r="BF228" t="s">
        <v>74</v>
      </c>
      <c r="BG228" t="s">
        <v>4364</v>
      </c>
      <c r="BH228" t="s">
        <v>74</v>
      </c>
      <c r="BI228">
        <v>10</v>
      </c>
      <c r="BJ228" t="s">
        <v>4365</v>
      </c>
      <c r="BK228" t="s">
        <v>534</v>
      </c>
      <c r="BL228" t="s">
        <v>4366</v>
      </c>
      <c r="BM228" t="s">
        <v>4367</v>
      </c>
      <c r="BN228" t="s">
        <v>74</v>
      </c>
      <c r="BO228" t="s">
        <v>4368</v>
      </c>
      <c r="BP228" t="s">
        <v>74</v>
      </c>
      <c r="BQ228" t="s">
        <v>74</v>
      </c>
      <c r="BR228" t="s">
        <v>102</v>
      </c>
      <c r="BS228" t="s">
        <v>4369</v>
      </c>
      <c r="BT228" t="str">
        <f>HYPERLINK("https%3A%2F%2Fwww.webofscience.com%2Fwos%2Fwoscc%2Ffull-record%2FWOS:000355219700003","View Full Record in Web of Science")</f>
        <v>View Full Record in Web of Science</v>
      </c>
    </row>
    <row r="229" spans="1:72" x14ac:dyDescent="0.15">
      <c r="A229" t="s">
        <v>72</v>
      </c>
      <c r="B229" t="s">
        <v>4370</v>
      </c>
      <c r="C229" t="s">
        <v>74</v>
      </c>
      <c r="D229" t="s">
        <v>74</v>
      </c>
      <c r="E229" t="s">
        <v>74</v>
      </c>
      <c r="F229" t="s">
        <v>4371</v>
      </c>
      <c r="G229" t="s">
        <v>74</v>
      </c>
      <c r="H229" t="s">
        <v>74</v>
      </c>
      <c r="I229" t="s">
        <v>4372</v>
      </c>
      <c r="J229" t="s">
        <v>4373</v>
      </c>
      <c r="K229" t="s">
        <v>74</v>
      </c>
      <c r="L229" t="s">
        <v>74</v>
      </c>
      <c r="M229" t="s">
        <v>78</v>
      </c>
      <c r="N229" t="s">
        <v>79</v>
      </c>
      <c r="O229" t="s">
        <v>74</v>
      </c>
      <c r="P229" t="s">
        <v>74</v>
      </c>
      <c r="Q229" t="s">
        <v>74</v>
      </c>
      <c r="R229" t="s">
        <v>74</v>
      </c>
      <c r="S229" t="s">
        <v>74</v>
      </c>
      <c r="T229" t="s">
        <v>4374</v>
      </c>
      <c r="U229" t="s">
        <v>4375</v>
      </c>
      <c r="V229" t="s">
        <v>4376</v>
      </c>
      <c r="W229" t="s">
        <v>4377</v>
      </c>
      <c r="X229" t="s">
        <v>4378</v>
      </c>
      <c r="Y229" t="s">
        <v>4379</v>
      </c>
      <c r="Z229" t="s">
        <v>4380</v>
      </c>
      <c r="AA229" t="s">
        <v>4381</v>
      </c>
      <c r="AB229" t="s">
        <v>4382</v>
      </c>
      <c r="AC229" t="s">
        <v>4383</v>
      </c>
      <c r="AD229" t="s">
        <v>4384</v>
      </c>
      <c r="AE229" t="s">
        <v>4385</v>
      </c>
      <c r="AF229" t="s">
        <v>74</v>
      </c>
      <c r="AG229">
        <v>50</v>
      </c>
      <c r="AH229">
        <v>13</v>
      </c>
      <c r="AI229">
        <v>13</v>
      </c>
      <c r="AJ229">
        <v>0</v>
      </c>
      <c r="AK229">
        <v>20</v>
      </c>
      <c r="AL229" t="s">
        <v>4386</v>
      </c>
      <c r="AM229" t="s">
        <v>4387</v>
      </c>
      <c r="AN229" t="s">
        <v>4388</v>
      </c>
      <c r="AO229" t="s">
        <v>4389</v>
      </c>
      <c r="AP229" t="s">
        <v>4390</v>
      </c>
      <c r="AQ229" t="s">
        <v>74</v>
      </c>
      <c r="AR229" t="s">
        <v>4391</v>
      </c>
      <c r="AS229" t="s">
        <v>4392</v>
      </c>
      <c r="AT229" t="s">
        <v>74</v>
      </c>
      <c r="AU229">
        <v>2012</v>
      </c>
      <c r="AV229">
        <v>8</v>
      </c>
      <c r="AW229">
        <v>1</v>
      </c>
      <c r="AX229" t="s">
        <v>74</v>
      </c>
      <c r="AY229" t="s">
        <v>74</v>
      </c>
      <c r="AZ229" t="s">
        <v>74</v>
      </c>
      <c r="BA229" t="s">
        <v>74</v>
      </c>
      <c r="BB229">
        <v>48</v>
      </c>
      <c r="BC229">
        <v>60</v>
      </c>
      <c r="BD229" t="s">
        <v>74</v>
      </c>
      <c r="BE229" t="s">
        <v>4393</v>
      </c>
      <c r="BF229" t="str">
        <f>HYPERLINK("http://dx.doi.org/10.1080/17451000.2011.594891","http://dx.doi.org/10.1080/17451000.2011.594891")</f>
        <v>http://dx.doi.org/10.1080/17451000.2011.594891</v>
      </c>
      <c r="BG229" t="s">
        <v>74</v>
      </c>
      <c r="BH229" t="s">
        <v>74</v>
      </c>
      <c r="BI229">
        <v>13</v>
      </c>
      <c r="BJ229" t="s">
        <v>4394</v>
      </c>
      <c r="BK229" t="s">
        <v>100</v>
      </c>
      <c r="BL229" t="s">
        <v>4395</v>
      </c>
      <c r="BM229" t="s">
        <v>4396</v>
      </c>
      <c r="BN229" t="s">
        <v>74</v>
      </c>
      <c r="BO229" t="s">
        <v>74</v>
      </c>
      <c r="BP229" t="s">
        <v>74</v>
      </c>
      <c r="BQ229" t="s">
        <v>74</v>
      </c>
      <c r="BR229" t="s">
        <v>102</v>
      </c>
      <c r="BS229" t="s">
        <v>4397</v>
      </c>
      <c r="BT229" t="str">
        <f>HYPERLINK("https%3A%2F%2Fwww.webofscience.com%2Fwos%2Fwoscc%2Ffull-record%2FWOS:000299033900004","View Full Record in Web of Science")</f>
        <v>View Full Record in Web of Science</v>
      </c>
    </row>
    <row r="230" spans="1:72" x14ac:dyDescent="0.15">
      <c r="A230" t="s">
        <v>72</v>
      </c>
      <c r="B230" t="s">
        <v>4398</v>
      </c>
      <c r="C230" t="s">
        <v>74</v>
      </c>
      <c r="D230" t="s">
        <v>74</v>
      </c>
      <c r="E230" t="s">
        <v>74</v>
      </c>
      <c r="F230" t="s">
        <v>4399</v>
      </c>
      <c r="G230" t="s">
        <v>74</v>
      </c>
      <c r="H230" t="s">
        <v>74</v>
      </c>
      <c r="I230" t="s">
        <v>4400</v>
      </c>
      <c r="J230" t="s">
        <v>4373</v>
      </c>
      <c r="K230" t="s">
        <v>74</v>
      </c>
      <c r="L230" t="s">
        <v>74</v>
      </c>
      <c r="M230" t="s">
        <v>78</v>
      </c>
      <c r="N230" t="s">
        <v>79</v>
      </c>
      <c r="O230" t="s">
        <v>74</v>
      </c>
      <c r="P230" t="s">
        <v>74</v>
      </c>
      <c r="Q230" t="s">
        <v>74</v>
      </c>
      <c r="R230" t="s">
        <v>74</v>
      </c>
      <c r="S230" t="s">
        <v>74</v>
      </c>
      <c r="T230" t="s">
        <v>4401</v>
      </c>
      <c r="U230" t="s">
        <v>4402</v>
      </c>
      <c r="V230" t="s">
        <v>4403</v>
      </c>
      <c r="W230" t="s">
        <v>4404</v>
      </c>
      <c r="X230" t="s">
        <v>4405</v>
      </c>
      <c r="Y230" t="s">
        <v>4406</v>
      </c>
      <c r="Z230" t="s">
        <v>2512</v>
      </c>
      <c r="AA230" t="s">
        <v>74</v>
      </c>
      <c r="AB230" t="s">
        <v>74</v>
      </c>
      <c r="AC230" t="s">
        <v>4407</v>
      </c>
      <c r="AD230" t="s">
        <v>4408</v>
      </c>
      <c r="AE230" t="s">
        <v>4409</v>
      </c>
      <c r="AF230" t="s">
        <v>74</v>
      </c>
      <c r="AG230">
        <v>43</v>
      </c>
      <c r="AH230">
        <v>8</v>
      </c>
      <c r="AI230">
        <v>9</v>
      </c>
      <c r="AJ230">
        <v>0</v>
      </c>
      <c r="AK230">
        <v>17</v>
      </c>
      <c r="AL230" t="s">
        <v>4386</v>
      </c>
      <c r="AM230" t="s">
        <v>4387</v>
      </c>
      <c r="AN230" t="s">
        <v>4388</v>
      </c>
      <c r="AO230" t="s">
        <v>4389</v>
      </c>
      <c r="AP230" t="s">
        <v>4390</v>
      </c>
      <c r="AQ230" t="s">
        <v>74</v>
      </c>
      <c r="AR230" t="s">
        <v>4391</v>
      </c>
      <c r="AS230" t="s">
        <v>4392</v>
      </c>
      <c r="AT230" t="s">
        <v>74</v>
      </c>
      <c r="AU230">
        <v>2012</v>
      </c>
      <c r="AV230">
        <v>8</v>
      </c>
      <c r="AW230">
        <v>7</v>
      </c>
      <c r="AX230" t="s">
        <v>74</v>
      </c>
      <c r="AY230" t="s">
        <v>74</v>
      </c>
      <c r="AZ230" t="s">
        <v>74</v>
      </c>
      <c r="BA230" t="s">
        <v>74</v>
      </c>
      <c r="BB230">
        <v>615</v>
      </c>
      <c r="BC230">
        <v>623</v>
      </c>
      <c r="BD230" t="s">
        <v>74</v>
      </c>
      <c r="BE230" t="s">
        <v>4410</v>
      </c>
      <c r="BF230" t="str">
        <f>HYPERLINK("http://dx.doi.org/10.1080/17451000.2011.653366","http://dx.doi.org/10.1080/17451000.2011.653366")</f>
        <v>http://dx.doi.org/10.1080/17451000.2011.653366</v>
      </c>
      <c r="BG230" t="s">
        <v>74</v>
      </c>
      <c r="BH230" t="s">
        <v>74</v>
      </c>
      <c r="BI230">
        <v>9</v>
      </c>
      <c r="BJ230" t="s">
        <v>4394</v>
      </c>
      <c r="BK230" t="s">
        <v>100</v>
      </c>
      <c r="BL230" t="s">
        <v>4395</v>
      </c>
      <c r="BM230" t="s">
        <v>4411</v>
      </c>
      <c r="BN230" t="s">
        <v>74</v>
      </c>
      <c r="BO230" t="s">
        <v>74</v>
      </c>
      <c r="BP230" t="s">
        <v>74</v>
      </c>
      <c r="BQ230" t="s">
        <v>74</v>
      </c>
      <c r="BR230" t="s">
        <v>102</v>
      </c>
      <c r="BS230" t="s">
        <v>4412</v>
      </c>
      <c r="BT230" t="str">
        <f>HYPERLINK("https%3A%2F%2Fwww.webofscience.com%2Fwos%2Fwoscc%2Ffull-record%2FWOS:000304592600005","View Full Record in Web of Science")</f>
        <v>View Full Record in Web of Science</v>
      </c>
    </row>
    <row r="231" spans="1:72" x14ac:dyDescent="0.15">
      <c r="A231" t="s">
        <v>72</v>
      </c>
      <c r="B231" t="s">
        <v>4413</v>
      </c>
      <c r="C231" t="s">
        <v>74</v>
      </c>
      <c r="D231" t="s">
        <v>74</v>
      </c>
      <c r="E231" t="s">
        <v>74</v>
      </c>
      <c r="F231" t="s">
        <v>4414</v>
      </c>
      <c r="G231" t="s">
        <v>74</v>
      </c>
      <c r="H231" t="s">
        <v>74</v>
      </c>
      <c r="I231" t="s">
        <v>4415</v>
      </c>
      <c r="J231" t="s">
        <v>4373</v>
      </c>
      <c r="K231" t="s">
        <v>74</v>
      </c>
      <c r="L231" t="s">
        <v>74</v>
      </c>
      <c r="M231" t="s">
        <v>78</v>
      </c>
      <c r="N231" t="s">
        <v>79</v>
      </c>
      <c r="O231" t="s">
        <v>74</v>
      </c>
      <c r="P231" t="s">
        <v>74</v>
      </c>
      <c r="Q231" t="s">
        <v>74</v>
      </c>
      <c r="R231" t="s">
        <v>74</v>
      </c>
      <c r="S231" t="s">
        <v>74</v>
      </c>
      <c r="T231" t="s">
        <v>4416</v>
      </c>
      <c r="U231" t="s">
        <v>4417</v>
      </c>
      <c r="V231" t="s">
        <v>4418</v>
      </c>
      <c r="W231" t="s">
        <v>4419</v>
      </c>
      <c r="X231" t="s">
        <v>4420</v>
      </c>
      <c r="Y231" t="s">
        <v>4421</v>
      </c>
      <c r="Z231" t="s">
        <v>4422</v>
      </c>
      <c r="AA231" t="s">
        <v>4423</v>
      </c>
      <c r="AB231" t="s">
        <v>4424</v>
      </c>
      <c r="AC231" t="s">
        <v>4425</v>
      </c>
      <c r="AD231" t="s">
        <v>4426</v>
      </c>
      <c r="AE231" t="s">
        <v>4427</v>
      </c>
      <c r="AF231" t="s">
        <v>74</v>
      </c>
      <c r="AG231">
        <v>58</v>
      </c>
      <c r="AH231">
        <v>21</v>
      </c>
      <c r="AI231">
        <v>25</v>
      </c>
      <c r="AJ231">
        <v>6</v>
      </c>
      <c r="AK231">
        <v>68</v>
      </c>
      <c r="AL231" t="s">
        <v>4386</v>
      </c>
      <c r="AM231" t="s">
        <v>4387</v>
      </c>
      <c r="AN231" t="s">
        <v>4388</v>
      </c>
      <c r="AO231" t="s">
        <v>4389</v>
      </c>
      <c r="AP231" t="s">
        <v>4390</v>
      </c>
      <c r="AQ231" t="s">
        <v>74</v>
      </c>
      <c r="AR231" t="s">
        <v>4391</v>
      </c>
      <c r="AS231" t="s">
        <v>4392</v>
      </c>
      <c r="AT231" t="s">
        <v>74</v>
      </c>
      <c r="AU231">
        <v>2012</v>
      </c>
      <c r="AV231">
        <v>8</v>
      </c>
      <c r="AW231">
        <v>9</v>
      </c>
      <c r="AX231" t="s">
        <v>74</v>
      </c>
      <c r="AY231" t="s">
        <v>74</v>
      </c>
      <c r="AZ231" t="s">
        <v>74</v>
      </c>
      <c r="BA231" t="s">
        <v>74</v>
      </c>
      <c r="BB231">
        <v>855</v>
      </c>
      <c r="BC231">
        <v>864</v>
      </c>
      <c r="BD231" t="s">
        <v>74</v>
      </c>
      <c r="BE231" t="s">
        <v>4428</v>
      </c>
      <c r="BF231" t="str">
        <f>HYPERLINK("http://dx.doi.org/10.1080/17451000.2012.692159","http://dx.doi.org/10.1080/17451000.2012.692159")</f>
        <v>http://dx.doi.org/10.1080/17451000.2012.692159</v>
      </c>
      <c r="BG231" t="s">
        <v>74</v>
      </c>
      <c r="BH231" t="s">
        <v>74</v>
      </c>
      <c r="BI231">
        <v>10</v>
      </c>
      <c r="BJ231" t="s">
        <v>4394</v>
      </c>
      <c r="BK231" t="s">
        <v>100</v>
      </c>
      <c r="BL231" t="s">
        <v>4395</v>
      </c>
      <c r="BM231" t="s">
        <v>4429</v>
      </c>
      <c r="BN231" t="s">
        <v>74</v>
      </c>
      <c r="BO231" t="s">
        <v>74</v>
      </c>
      <c r="BP231" t="s">
        <v>74</v>
      </c>
      <c r="BQ231" t="s">
        <v>74</v>
      </c>
      <c r="BR231" t="s">
        <v>102</v>
      </c>
      <c r="BS231" t="s">
        <v>4430</v>
      </c>
      <c r="BT231" t="str">
        <f>HYPERLINK("https%3A%2F%2Fwww.webofscience.com%2Fwos%2Fwoscc%2Ffull-record%2FWOS:000308101200006","View Full Record in Web of Science")</f>
        <v>View Full Record in Web of Science</v>
      </c>
    </row>
    <row r="232" spans="1:72" x14ac:dyDescent="0.15">
      <c r="A232" t="s">
        <v>72</v>
      </c>
      <c r="B232" t="s">
        <v>4431</v>
      </c>
      <c r="C232" t="s">
        <v>74</v>
      </c>
      <c r="D232" t="s">
        <v>74</v>
      </c>
      <c r="E232" t="s">
        <v>74</v>
      </c>
      <c r="F232" t="s">
        <v>4432</v>
      </c>
      <c r="G232" t="s">
        <v>74</v>
      </c>
      <c r="H232" t="s">
        <v>74</v>
      </c>
      <c r="I232" t="s">
        <v>4433</v>
      </c>
      <c r="J232" t="s">
        <v>4434</v>
      </c>
      <c r="K232" t="s">
        <v>74</v>
      </c>
      <c r="L232" t="s">
        <v>74</v>
      </c>
      <c r="M232" t="s">
        <v>78</v>
      </c>
      <c r="N232" t="s">
        <v>79</v>
      </c>
      <c r="O232" t="s">
        <v>74</v>
      </c>
      <c r="P232" t="s">
        <v>74</v>
      </c>
      <c r="Q232" t="s">
        <v>74</v>
      </c>
      <c r="R232" t="s">
        <v>74</v>
      </c>
      <c r="S232" t="s">
        <v>74</v>
      </c>
      <c r="T232" t="s">
        <v>4435</v>
      </c>
      <c r="U232" t="s">
        <v>4436</v>
      </c>
      <c r="V232" t="s">
        <v>4437</v>
      </c>
      <c r="W232" t="s">
        <v>4438</v>
      </c>
      <c r="X232" t="s">
        <v>4439</v>
      </c>
      <c r="Y232" t="s">
        <v>4440</v>
      </c>
      <c r="Z232" t="s">
        <v>4441</v>
      </c>
      <c r="AA232" t="s">
        <v>4442</v>
      </c>
      <c r="AB232" t="s">
        <v>4443</v>
      </c>
      <c r="AC232" t="s">
        <v>74</v>
      </c>
      <c r="AD232" t="s">
        <v>74</v>
      </c>
      <c r="AE232" t="s">
        <v>74</v>
      </c>
      <c r="AF232" t="s">
        <v>74</v>
      </c>
      <c r="AG232">
        <v>57</v>
      </c>
      <c r="AH232">
        <v>36</v>
      </c>
      <c r="AI232">
        <v>37</v>
      </c>
      <c r="AJ232">
        <v>3</v>
      </c>
      <c r="AK232">
        <v>47</v>
      </c>
      <c r="AL232" t="s">
        <v>1008</v>
      </c>
      <c r="AM232" t="s">
        <v>1009</v>
      </c>
      <c r="AN232" t="s">
        <v>1010</v>
      </c>
      <c r="AO232" t="s">
        <v>4444</v>
      </c>
      <c r="AP232" t="s">
        <v>4445</v>
      </c>
      <c r="AQ232" t="s">
        <v>74</v>
      </c>
      <c r="AR232" t="s">
        <v>4446</v>
      </c>
      <c r="AS232" t="s">
        <v>4447</v>
      </c>
      <c r="AT232" t="s">
        <v>74</v>
      </c>
      <c r="AU232">
        <v>2012</v>
      </c>
      <c r="AV232">
        <v>471</v>
      </c>
      <c r="AW232" t="s">
        <v>74</v>
      </c>
      <c r="AX232" t="s">
        <v>74</v>
      </c>
      <c r="AY232" t="s">
        <v>74</v>
      </c>
      <c r="AZ232" t="s">
        <v>74</v>
      </c>
      <c r="BA232" t="s">
        <v>74</v>
      </c>
      <c r="BB232">
        <v>271</v>
      </c>
      <c r="BC232">
        <v>281</v>
      </c>
      <c r="BD232" t="s">
        <v>74</v>
      </c>
      <c r="BE232" t="s">
        <v>4448</v>
      </c>
      <c r="BF232" t="str">
        <f>HYPERLINK("http://dx.doi.org/10.3354/meps10059","http://dx.doi.org/10.3354/meps10059")</f>
        <v>http://dx.doi.org/10.3354/meps10059</v>
      </c>
      <c r="BG232" t="s">
        <v>74</v>
      </c>
      <c r="BH232" t="s">
        <v>74</v>
      </c>
      <c r="BI232">
        <v>11</v>
      </c>
      <c r="BJ232" t="s">
        <v>4365</v>
      </c>
      <c r="BK232" t="s">
        <v>100</v>
      </c>
      <c r="BL232" t="s">
        <v>4366</v>
      </c>
      <c r="BM232" t="s">
        <v>4449</v>
      </c>
      <c r="BN232" t="s">
        <v>74</v>
      </c>
      <c r="BO232" t="s">
        <v>4450</v>
      </c>
      <c r="BP232" t="s">
        <v>74</v>
      </c>
      <c r="BQ232" t="s">
        <v>74</v>
      </c>
      <c r="BR232" t="s">
        <v>102</v>
      </c>
      <c r="BS232" t="s">
        <v>4451</v>
      </c>
      <c r="BT232" t="str">
        <f>HYPERLINK("https%3A%2F%2Fwww.webofscience.com%2Fwos%2Fwoscc%2Ffull-record%2FWOS:000312782700021","View Full Record in Web of Science")</f>
        <v>View Full Record in Web of Science</v>
      </c>
    </row>
    <row r="233" spans="1:72" x14ac:dyDescent="0.15">
      <c r="A233" t="s">
        <v>72</v>
      </c>
      <c r="B233" t="s">
        <v>4452</v>
      </c>
      <c r="C233" t="s">
        <v>74</v>
      </c>
      <c r="D233" t="s">
        <v>74</v>
      </c>
      <c r="E233" t="s">
        <v>74</v>
      </c>
      <c r="F233" t="s">
        <v>4453</v>
      </c>
      <c r="G233" t="s">
        <v>74</v>
      </c>
      <c r="H233" t="s">
        <v>74</v>
      </c>
      <c r="I233" t="s">
        <v>4454</v>
      </c>
      <c r="J233" t="s">
        <v>4434</v>
      </c>
      <c r="K233" t="s">
        <v>74</v>
      </c>
      <c r="L233" t="s">
        <v>74</v>
      </c>
      <c r="M233" t="s">
        <v>78</v>
      </c>
      <c r="N233" t="s">
        <v>79</v>
      </c>
      <c r="O233" t="s">
        <v>74</v>
      </c>
      <c r="P233" t="s">
        <v>74</v>
      </c>
      <c r="Q233" t="s">
        <v>74</v>
      </c>
      <c r="R233" t="s">
        <v>74</v>
      </c>
      <c r="S233" t="s">
        <v>74</v>
      </c>
      <c r="T233" t="s">
        <v>4455</v>
      </c>
      <c r="U233" t="s">
        <v>4456</v>
      </c>
      <c r="V233" t="s">
        <v>4457</v>
      </c>
      <c r="W233" t="s">
        <v>4458</v>
      </c>
      <c r="X233" t="s">
        <v>3984</v>
      </c>
      <c r="Y233" t="s">
        <v>4459</v>
      </c>
      <c r="Z233" t="s">
        <v>4460</v>
      </c>
      <c r="AA233" t="s">
        <v>4461</v>
      </c>
      <c r="AB233" t="s">
        <v>4462</v>
      </c>
      <c r="AC233" t="s">
        <v>4463</v>
      </c>
      <c r="AD233" t="s">
        <v>4464</v>
      </c>
      <c r="AE233" t="s">
        <v>4465</v>
      </c>
      <c r="AF233" t="s">
        <v>74</v>
      </c>
      <c r="AG233">
        <v>92</v>
      </c>
      <c r="AH233">
        <v>240</v>
      </c>
      <c r="AI233">
        <v>270</v>
      </c>
      <c r="AJ233">
        <v>8</v>
      </c>
      <c r="AK233">
        <v>194</v>
      </c>
      <c r="AL233" t="s">
        <v>1008</v>
      </c>
      <c r="AM233" t="s">
        <v>1009</v>
      </c>
      <c r="AN233" t="s">
        <v>1010</v>
      </c>
      <c r="AO233" t="s">
        <v>4444</v>
      </c>
      <c r="AP233" t="s">
        <v>4445</v>
      </c>
      <c r="AQ233" t="s">
        <v>74</v>
      </c>
      <c r="AR233" t="s">
        <v>4446</v>
      </c>
      <c r="AS233" t="s">
        <v>4447</v>
      </c>
      <c r="AT233" t="s">
        <v>74</v>
      </c>
      <c r="AU233">
        <v>2012</v>
      </c>
      <c r="AV233">
        <v>470</v>
      </c>
      <c r="AW233" t="s">
        <v>74</v>
      </c>
      <c r="AX233" t="s">
        <v>74</v>
      </c>
      <c r="AY233" t="s">
        <v>74</v>
      </c>
      <c r="AZ233" t="s">
        <v>74</v>
      </c>
      <c r="BA233" t="s">
        <v>74</v>
      </c>
      <c r="BB233">
        <v>273</v>
      </c>
      <c r="BC233">
        <v>290</v>
      </c>
      <c r="BD233" t="s">
        <v>74</v>
      </c>
      <c r="BE233" t="s">
        <v>4466</v>
      </c>
      <c r="BF233" t="str">
        <f>HYPERLINK("http://dx.doi.org/10.3354/meps10123","http://dx.doi.org/10.3354/meps10123")</f>
        <v>http://dx.doi.org/10.3354/meps10123</v>
      </c>
      <c r="BG233" t="s">
        <v>74</v>
      </c>
      <c r="BH233" t="s">
        <v>74</v>
      </c>
      <c r="BI233">
        <v>18</v>
      </c>
      <c r="BJ233" t="s">
        <v>4365</v>
      </c>
      <c r="BK233" t="s">
        <v>100</v>
      </c>
      <c r="BL233" t="s">
        <v>4366</v>
      </c>
      <c r="BM233" t="s">
        <v>4467</v>
      </c>
      <c r="BN233" t="s">
        <v>74</v>
      </c>
      <c r="BO233" t="s">
        <v>365</v>
      </c>
      <c r="BP233" t="s">
        <v>74</v>
      </c>
      <c r="BQ233" t="s">
        <v>74</v>
      </c>
      <c r="BR233" t="s">
        <v>102</v>
      </c>
      <c r="BS233" t="s">
        <v>4468</v>
      </c>
      <c r="BT233" t="str">
        <f>HYPERLINK("https%3A%2F%2Fwww.webofscience.com%2Fwos%2Fwoscc%2Ffull-record%2FWOS:000311968200017","View Full Record in Web of Science")</f>
        <v>View Full Record in Web of Science</v>
      </c>
    </row>
    <row r="234" spans="1:72" x14ac:dyDescent="0.15">
      <c r="A234" t="s">
        <v>72</v>
      </c>
      <c r="B234" t="s">
        <v>4469</v>
      </c>
      <c r="C234" t="s">
        <v>74</v>
      </c>
      <c r="D234" t="s">
        <v>74</v>
      </c>
      <c r="E234" t="s">
        <v>74</v>
      </c>
      <c r="F234" t="s">
        <v>4470</v>
      </c>
      <c r="G234" t="s">
        <v>74</v>
      </c>
      <c r="H234" t="s">
        <v>74</v>
      </c>
      <c r="I234" t="s">
        <v>4471</v>
      </c>
      <c r="J234" t="s">
        <v>4434</v>
      </c>
      <c r="K234" t="s">
        <v>74</v>
      </c>
      <c r="L234" t="s">
        <v>74</v>
      </c>
      <c r="M234" t="s">
        <v>78</v>
      </c>
      <c r="N234" t="s">
        <v>79</v>
      </c>
      <c r="O234" t="s">
        <v>74</v>
      </c>
      <c r="P234" t="s">
        <v>74</v>
      </c>
      <c r="Q234" t="s">
        <v>74</v>
      </c>
      <c r="R234" t="s">
        <v>74</v>
      </c>
      <c r="S234" t="s">
        <v>74</v>
      </c>
      <c r="T234" t="s">
        <v>4472</v>
      </c>
      <c r="U234" t="s">
        <v>4473</v>
      </c>
      <c r="V234" t="s">
        <v>4474</v>
      </c>
      <c r="W234" t="s">
        <v>4475</v>
      </c>
      <c r="X234" t="s">
        <v>4476</v>
      </c>
      <c r="Y234" t="s">
        <v>4477</v>
      </c>
      <c r="Z234" t="s">
        <v>2383</v>
      </c>
      <c r="AA234" t="s">
        <v>4478</v>
      </c>
      <c r="AB234" t="s">
        <v>4479</v>
      </c>
      <c r="AC234" t="s">
        <v>4480</v>
      </c>
      <c r="AD234" t="s">
        <v>1007</v>
      </c>
      <c r="AE234" t="s">
        <v>74</v>
      </c>
      <c r="AF234" t="s">
        <v>74</v>
      </c>
      <c r="AG234">
        <v>87</v>
      </c>
      <c r="AH234">
        <v>21</v>
      </c>
      <c r="AI234">
        <v>22</v>
      </c>
      <c r="AJ234">
        <v>1</v>
      </c>
      <c r="AK234">
        <v>22</v>
      </c>
      <c r="AL234" t="s">
        <v>1008</v>
      </c>
      <c r="AM234" t="s">
        <v>1009</v>
      </c>
      <c r="AN234" t="s">
        <v>1010</v>
      </c>
      <c r="AO234" t="s">
        <v>4444</v>
      </c>
      <c r="AP234" t="s">
        <v>74</v>
      </c>
      <c r="AQ234" t="s">
        <v>74</v>
      </c>
      <c r="AR234" t="s">
        <v>4446</v>
      </c>
      <c r="AS234" t="s">
        <v>4447</v>
      </c>
      <c r="AT234" t="s">
        <v>74</v>
      </c>
      <c r="AU234">
        <v>2012</v>
      </c>
      <c r="AV234">
        <v>467</v>
      </c>
      <c r="AW234" t="s">
        <v>74</v>
      </c>
      <c r="AX234" t="s">
        <v>74</v>
      </c>
      <c r="AY234" t="s">
        <v>74</v>
      </c>
      <c r="AZ234" t="s">
        <v>74</v>
      </c>
      <c r="BA234" t="s">
        <v>74</v>
      </c>
      <c r="BB234">
        <v>61</v>
      </c>
      <c r="BC234" t="s">
        <v>1503</v>
      </c>
      <c r="BD234" t="s">
        <v>74</v>
      </c>
      <c r="BE234" t="s">
        <v>4481</v>
      </c>
      <c r="BF234" t="str">
        <f>HYPERLINK("http://dx.doi.org/10.3354/meps09947","http://dx.doi.org/10.3354/meps09947")</f>
        <v>http://dx.doi.org/10.3354/meps09947</v>
      </c>
      <c r="BG234" t="s">
        <v>74</v>
      </c>
      <c r="BH234" t="s">
        <v>74</v>
      </c>
      <c r="BI234">
        <v>20</v>
      </c>
      <c r="BJ234" t="s">
        <v>4365</v>
      </c>
      <c r="BK234" t="s">
        <v>100</v>
      </c>
      <c r="BL234" t="s">
        <v>4366</v>
      </c>
      <c r="BM234" t="s">
        <v>4482</v>
      </c>
      <c r="BN234" t="s">
        <v>74</v>
      </c>
      <c r="BO234" t="s">
        <v>4483</v>
      </c>
      <c r="BP234" t="s">
        <v>74</v>
      </c>
      <c r="BQ234" t="s">
        <v>74</v>
      </c>
      <c r="BR234" t="s">
        <v>102</v>
      </c>
      <c r="BS234" t="s">
        <v>4484</v>
      </c>
      <c r="BT234" t="str">
        <f>HYPERLINK("https%3A%2F%2Fwww.webofscience.com%2Fwos%2Fwoscc%2Ffull-record%2FWOS:000310270500005","View Full Record in Web of Science")</f>
        <v>View Full Record in Web of Science</v>
      </c>
    </row>
    <row r="235" spans="1:72" x14ac:dyDescent="0.15">
      <c r="A235" t="s">
        <v>72</v>
      </c>
      <c r="B235" t="s">
        <v>4485</v>
      </c>
      <c r="C235" t="s">
        <v>74</v>
      </c>
      <c r="D235" t="s">
        <v>74</v>
      </c>
      <c r="E235" t="s">
        <v>74</v>
      </c>
      <c r="F235" t="s">
        <v>4486</v>
      </c>
      <c r="G235" t="s">
        <v>74</v>
      </c>
      <c r="H235" t="s">
        <v>74</v>
      </c>
      <c r="I235" t="s">
        <v>4487</v>
      </c>
      <c r="J235" t="s">
        <v>4434</v>
      </c>
      <c r="K235" t="s">
        <v>74</v>
      </c>
      <c r="L235" t="s">
        <v>74</v>
      </c>
      <c r="M235" t="s">
        <v>78</v>
      </c>
      <c r="N235" t="s">
        <v>79</v>
      </c>
      <c r="O235" t="s">
        <v>74</v>
      </c>
      <c r="P235" t="s">
        <v>74</v>
      </c>
      <c r="Q235" t="s">
        <v>74</v>
      </c>
      <c r="R235" t="s">
        <v>74</v>
      </c>
      <c r="S235" t="s">
        <v>74</v>
      </c>
      <c r="T235" t="s">
        <v>4488</v>
      </c>
      <c r="U235" t="s">
        <v>4489</v>
      </c>
      <c r="V235" t="s">
        <v>4490</v>
      </c>
      <c r="W235" t="s">
        <v>4491</v>
      </c>
      <c r="X235" t="s">
        <v>4492</v>
      </c>
      <c r="Y235" t="s">
        <v>4493</v>
      </c>
      <c r="Z235" t="s">
        <v>4494</v>
      </c>
      <c r="AA235" t="s">
        <v>4495</v>
      </c>
      <c r="AB235" t="s">
        <v>4496</v>
      </c>
      <c r="AC235" t="s">
        <v>4497</v>
      </c>
      <c r="AD235" t="s">
        <v>4498</v>
      </c>
      <c r="AE235" t="s">
        <v>4499</v>
      </c>
      <c r="AF235" t="s">
        <v>74</v>
      </c>
      <c r="AG235">
        <v>46</v>
      </c>
      <c r="AH235">
        <v>42</v>
      </c>
      <c r="AI235">
        <v>48</v>
      </c>
      <c r="AJ235">
        <v>1</v>
      </c>
      <c r="AK235">
        <v>40</v>
      </c>
      <c r="AL235" t="s">
        <v>1008</v>
      </c>
      <c r="AM235" t="s">
        <v>1009</v>
      </c>
      <c r="AN235" t="s">
        <v>1010</v>
      </c>
      <c r="AO235" t="s">
        <v>4444</v>
      </c>
      <c r="AP235" t="s">
        <v>4445</v>
      </c>
      <c r="AQ235" t="s">
        <v>74</v>
      </c>
      <c r="AR235" t="s">
        <v>4446</v>
      </c>
      <c r="AS235" t="s">
        <v>4447</v>
      </c>
      <c r="AT235" t="s">
        <v>74</v>
      </c>
      <c r="AU235">
        <v>2012</v>
      </c>
      <c r="AV235">
        <v>467</v>
      </c>
      <c r="AW235" t="s">
        <v>74</v>
      </c>
      <c r="AX235" t="s">
        <v>74</v>
      </c>
      <c r="AY235" t="s">
        <v>74</v>
      </c>
      <c r="AZ235" t="s">
        <v>74</v>
      </c>
      <c r="BA235" t="s">
        <v>74</v>
      </c>
      <c r="BB235">
        <v>245</v>
      </c>
      <c r="BC235">
        <v>252</v>
      </c>
      <c r="BD235" t="s">
        <v>74</v>
      </c>
      <c r="BE235" t="s">
        <v>4500</v>
      </c>
      <c r="BF235" t="str">
        <f>HYPERLINK("http://dx.doi.org/10.3354/meps09966","http://dx.doi.org/10.3354/meps09966")</f>
        <v>http://dx.doi.org/10.3354/meps09966</v>
      </c>
      <c r="BG235" t="s">
        <v>74</v>
      </c>
      <c r="BH235" t="s">
        <v>74</v>
      </c>
      <c r="BI235">
        <v>8</v>
      </c>
      <c r="BJ235" t="s">
        <v>4365</v>
      </c>
      <c r="BK235" t="s">
        <v>100</v>
      </c>
      <c r="BL235" t="s">
        <v>4366</v>
      </c>
      <c r="BM235" t="s">
        <v>4482</v>
      </c>
      <c r="BN235" t="s">
        <v>74</v>
      </c>
      <c r="BO235" t="s">
        <v>3786</v>
      </c>
      <c r="BP235" t="s">
        <v>74</v>
      </c>
      <c r="BQ235" t="s">
        <v>74</v>
      </c>
      <c r="BR235" t="s">
        <v>102</v>
      </c>
      <c r="BS235" t="s">
        <v>4501</v>
      </c>
      <c r="BT235" t="str">
        <f>HYPERLINK("https%3A%2F%2Fwww.webofscience.com%2Fwos%2Fwoscc%2Ffull-record%2FWOS:000310270500019","View Full Record in Web of Science")</f>
        <v>View Full Record in Web of Science</v>
      </c>
    </row>
    <row r="236" spans="1:72" x14ac:dyDescent="0.15">
      <c r="A236" t="s">
        <v>72</v>
      </c>
      <c r="B236" t="s">
        <v>4502</v>
      </c>
      <c r="C236" t="s">
        <v>74</v>
      </c>
      <c r="D236" t="s">
        <v>74</v>
      </c>
      <c r="E236" t="s">
        <v>74</v>
      </c>
      <c r="F236" t="s">
        <v>4503</v>
      </c>
      <c r="G236" t="s">
        <v>74</v>
      </c>
      <c r="H236" t="s">
        <v>74</v>
      </c>
      <c r="I236" t="s">
        <v>4504</v>
      </c>
      <c r="J236" t="s">
        <v>4434</v>
      </c>
      <c r="K236" t="s">
        <v>74</v>
      </c>
      <c r="L236" t="s">
        <v>74</v>
      </c>
      <c r="M236" t="s">
        <v>78</v>
      </c>
      <c r="N236" t="s">
        <v>79</v>
      </c>
      <c r="O236" t="s">
        <v>74</v>
      </c>
      <c r="P236" t="s">
        <v>74</v>
      </c>
      <c r="Q236" t="s">
        <v>74</v>
      </c>
      <c r="R236" t="s">
        <v>74</v>
      </c>
      <c r="S236" t="s">
        <v>74</v>
      </c>
      <c r="T236" t="s">
        <v>4505</v>
      </c>
      <c r="U236" t="s">
        <v>4506</v>
      </c>
      <c r="V236" t="s">
        <v>4507</v>
      </c>
      <c r="W236" t="s">
        <v>4508</v>
      </c>
      <c r="X236" t="s">
        <v>527</v>
      </c>
      <c r="Y236" t="s">
        <v>4509</v>
      </c>
      <c r="Z236" t="s">
        <v>4510</v>
      </c>
      <c r="AA236" t="s">
        <v>4511</v>
      </c>
      <c r="AB236" t="s">
        <v>4512</v>
      </c>
      <c r="AC236" t="s">
        <v>585</v>
      </c>
      <c r="AD236" t="s">
        <v>586</v>
      </c>
      <c r="AE236" t="s">
        <v>74</v>
      </c>
      <c r="AF236" t="s">
        <v>74</v>
      </c>
      <c r="AG236">
        <v>81</v>
      </c>
      <c r="AH236">
        <v>38</v>
      </c>
      <c r="AI236">
        <v>41</v>
      </c>
      <c r="AJ236">
        <v>0</v>
      </c>
      <c r="AK236">
        <v>41</v>
      </c>
      <c r="AL236" t="s">
        <v>1008</v>
      </c>
      <c r="AM236" t="s">
        <v>1009</v>
      </c>
      <c r="AN236" t="s">
        <v>1010</v>
      </c>
      <c r="AO236" t="s">
        <v>4444</v>
      </c>
      <c r="AP236" t="s">
        <v>74</v>
      </c>
      <c r="AQ236" t="s">
        <v>74</v>
      </c>
      <c r="AR236" t="s">
        <v>4446</v>
      </c>
      <c r="AS236" t="s">
        <v>4447</v>
      </c>
      <c r="AT236" t="s">
        <v>74</v>
      </c>
      <c r="AU236">
        <v>2012</v>
      </c>
      <c r="AV236">
        <v>466</v>
      </c>
      <c r="AW236" t="s">
        <v>74</v>
      </c>
      <c r="AX236" t="s">
        <v>74</v>
      </c>
      <c r="AY236" t="s">
        <v>74</v>
      </c>
      <c r="AZ236" t="s">
        <v>74</v>
      </c>
      <c r="BA236" t="s">
        <v>74</v>
      </c>
      <c r="BB236">
        <v>261</v>
      </c>
      <c r="BC236">
        <v>274</v>
      </c>
      <c r="BD236" t="s">
        <v>74</v>
      </c>
      <c r="BE236" t="s">
        <v>4513</v>
      </c>
      <c r="BF236" t="str">
        <f>HYPERLINK("http://dx.doi.org/10.3354/meps09930","http://dx.doi.org/10.3354/meps09930")</f>
        <v>http://dx.doi.org/10.3354/meps09930</v>
      </c>
      <c r="BG236" t="s">
        <v>74</v>
      </c>
      <c r="BH236" t="s">
        <v>74</v>
      </c>
      <c r="BI236">
        <v>14</v>
      </c>
      <c r="BJ236" t="s">
        <v>4365</v>
      </c>
      <c r="BK236" t="s">
        <v>100</v>
      </c>
      <c r="BL236" t="s">
        <v>4366</v>
      </c>
      <c r="BM236" t="s">
        <v>4514</v>
      </c>
      <c r="BN236" t="s">
        <v>74</v>
      </c>
      <c r="BO236" t="s">
        <v>4515</v>
      </c>
      <c r="BP236" t="s">
        <v>74</v>
      </c>
      <c r="BQ236" t="s">
        <v>74</v>
      </c>
      <c r="BR236" t="s">
        <v>102</v>
      </c>
      <c r="BS236" t="s">
        <v>4516</v>
      </c>
      <c r="BT236" t="str">
        <f>HYPERLINK("https%3A%2F%2Fwww.webofscience.com%2Fwos%2Fwoscc%2Ffull-record%2FWOS:000309838100022","View Full Record in Web of Science")</f>
        <v>View Full Record in Web of Science</v>
      </c>
    </row>
    <row r="237" spans="1:72" x14ac:dyDescent="0.15">
      <c r="A237" t="s">
        <v>72</v>
      </c>
      <c r="B237" t="s">
        <v>4517</v>
      </c>
      <c r="C237" t="s">
        <v>74</v>
      </c>
      <c r="D237" t="s">
        <v>74</v>
      </c>
      <c r="E237" t="s">
        <v>74</v>
      </c>
      <c r="F237" t="s">
        <v>4518</v>
      </c>
      <c r="G237" t="s">
        <v>74</v>
      </c>
      <c r="H237" t="s">
        <v>74</v>
      </c>
      <c r="I237" t="s">
        <v>4519</v>
      </c>
      <c r="J237" t="s">
        <v>4434</v>
      </c>
      <c r="K237" t="s">
        <v>74</v>
      </c>
      <c r="L237" t="s">
        <v>74</v>
      </c>
      <c r="M237" t="s">
        <v>78</v>
      </c>
      <c r="N237" t="s">
        <v>79</v>
      </c>
      <c r="O237" t="s">
        <v>74</v>
      </c>
      <c r="P237" t="s">
        <v>74</v>
      </c>
      <c r="Q237" t="s">
        <v>74</v>
      </c>
      <c r="R237" t="s">
        <v>74</v>
      </c>
      <c r="S237" t="s">
        <v>74</v>
      </c>
      <c r="T237" t="s">
        <v>4520</v>
      </c>
      <c r="U237" t="s">
        <v>4521</v>
      </c>
      <c r="V237" t="s">
        <v>4522</v>
      </c>
      <c r="W237" t="s">
        <v>4523</v>
      </c>
      <c r="X237" t="s">
        <v>4524</v>
      </c>
      <c r="Y237" t="s">
        <v>4525</v>
      </c>
      <c r="Z237" t="s">
        <v>4526</v>
      </c>
      <c r="AA237" t="s">
        <v>4527</v>
      </c>
      <c r="AB237" t="s">
        <v>4528</v>
      </c>
      <c r="AC237" t="s">
        <v>4529</v>
      </c>
      <c r="AD237" t="s">
        <v>4530</v>
      </c>
      <c r="AE237" t="s">
        <v>4531</v>
      </c>
      <c r="AF237" t="s">
        <v>74</v>
      </c>
      <c r="AG237">
        <v>57</v>
      </c>
      <c r="AH237">
        <v>22</v>
      </c>
      <c r="AI237">
        <v>22</v>
      </c>
      <c r="AJ237">
        <v>1</v>
      </c>
      <c r="AK237">
        <v>27</v>
      </c>
      <c r="AL237" t="s">
        <v>1008</v>
      </c>
      <c r="AM237" t="s">
        <v>1009</v>
      </c>
      <c r="AN237" t="s">
        <v>1010</v>
      </c>
      <c r="AO237" t="s">
        <v>4444</v>
      </c>
      <c r="AP237" t="s">
        <v>4445</v>
      </c>
      <c r="AQ237" t="s">
        <v>74</v>
      </c>
      <c r="AR237" t="s">
        <v>4446</v>
      </c>
      <c r="AS237" t="s">
        <v>4447</v>
      </c>
      <c r="AT237" t="s">
        <v>74</v>
      </c>
      <c r="AU237">
        <v>2012</v>
      </c>
      <c r="AV237">
        <v>465</v>
      </c>
      <c r="AW237" t="s">
        <v>74</v>
      </c>
      <c r="AX237" t="s">
        <v>74</v>
      </c>
      <c r="AY237" t="s">
        <v>74</v>
      </c>
      <c r="AZ237" t="s">
        <v>74</v>
      </c>
      <c r="BA237" t="s">
        <v>74</v>
      </c>
      <c r="BB237">
        <v>201</v>
      </c>
      <c r="BC237">
        <v>215</v>
      </c>
      <c r="BD237" t="s">
        <v>74</v>
      </c>
      <c r="BE237" t="s">
        <v>4532</v>
      </c>
      <c r="BF237" t="str">
        <f>HYPERLINK("http://dx.doi.org/10.3354/meps09908","http://dx.doi.org/10.3354/meps09908")</f>
        <v>http://dx.doi.org/10.3354/meps09908</v>
      </c>
      <c r="BG237" t="s">
        <v>74</v>
      </c>
      <c r="BH237" t="s">
        <v>74</v>
      </c>
      <c r="BI237">
        <v>15</v>
      </c>
      <c r="BJ237" t="s">
        <v>4365</v>
      </c>
      <c r="BK237" t="s">
        <v>100</v>
      </c>
      <c r="BL237" t="s">
        <v>4366</v>
      </c>
      <c r="BM237" t="s">
        <v>4533</v>
      </c>
      <c r="BN237" t="s">
        <v>74</v>
      </c>
      <c r="BO237" t="s">
        <v>365</v>
      </c>
      <c r="BP237" t="s">
        <v>74</v>
      </c>
      <c r="BQ237" t="s">
        <v>74</v>
      </c>
      <c r="BR237" t="s">
        <v>102</v>
      </c>
      <c r="BS237" t="s">
        <v>4534</v>
      </c>
      <c r="BT237" t="str">
        <f>HYPERLINK("https%3A%2F%2Fwww.webofscience.com%2Fwos%2Fwoscc%2Ffull-record%2FWOS:000309366300017","View Full Record in Web of Science")</f>
        <v>View Full Record in Web of Science</v>
      </c>
    </row>
    <row r="238" spans="1:72" x14ac:dyDescent="0.15">
      <c r="A238" t="s">
        <v>72</v>
      </c>
      <c r="B238" t="s">
        <v>4535</v>
      </c>
      <c r="C238" t="s">
        <v>74</v>
      </c>
      <c r="D238" t="s">
        <v>74</v>
      </c>
      <c r="E238" t="s">
        <v>74</v>
      </c>
      <c r="F238" t="s">
        <v>4536</v>
      </c>
      <c r="G238" t="s">
        <v>74</v>
      </c>
      <c r="H238" t="s">
        <v>74</v>
      </c>
      <c r="I238" t="s">
        <v>4537</v>
      </c>
      <c r="J238" t="s">
        <v>4434</v>
      </c>
      <c r="K238" t="s">
        <v>74</v>
      </c>
      <c r="L238" t="s">
        <v>74</v>
      </c>
      <c r="M238" t="s">
        <v>78</v>
      </c>
      <c r="N238" t="s">
        <v>79</v>
      </c>
      <c r="O238" t="s">
        <v>74</v>
      </c>
      <c r="P238" t="s">
        <v>74</v>
      </c>
      <c r="Q238" t="s">
        <v>74</v>
      </c>
      <c r="R238" t="s">
        <v>74</v>
      </c>
      <c r="S238" t="s">
        <v>74</v>
      </c>
      <c r="T238" t="s">
        <v>4538</v>
      </c>
      <c r="U238" t="s">
        <v>4539</v>
      </c>
      <c r="V238" t="s">
        <v>4540</v>
      </c>
      <c r="W238" t="s">
        <v>4541</v>
      </c>
      <c r="X238" t="s">
        <v>4542</v>
      </c>
      <c r="Y238" t="s">
        <v>4543</v>
      </c>
      <c r="Z238" t="s">
        <v>4544</v>
      </c>
      <c r="AA238" t="s">
        <v>74</v>
      </c>
      <c r="AB238" t="s">
        <v>74</v>
      </c>
      <c r="AC238" t="s">
        <v>4545</v>
      </c>
      <c r="AD238" t="s">
        <v>4546</v>
      </c>
      <c r="AE238" t="s">
        <v>4547</v>
      </c>
      <c r="AF238" t="s">
        <v>74</v>
      </c>
      <c r="AG238">
        <v>88</v>
      </c>
      <c r="AH238">
        <v>27</v>
      </c>
      <c r="AI238">
        <v>28</v>
      </c>
      <c r="AJ238">
        <v>0</v>
      </c>
      <c r="AK238">
        <v>43</v>
      </c>
      <c r="AL238" t="s">
        <v>1008</v>
      </c>
      <c r="AM238" t="s">
        <v>1009</v>
      </c>
      <c r="AN238" t="s">
        <v>1010</v>
      </c>
      <c r="AO238" t="s">
        <v>4444</v>
      </c>
      <c r="AP238" t="s">
        <v>74</v>
      </c>
      <c r="AQ238" t="s">
        <v>74</v>
      </c>
      <c r="AR238" t="s">
        <v>4446</v>
      </c>
      <c r="AS238" t="s">
        <v>4447</v>
      </c>
      <c r="AT238" t="s">
        <v>74</v>
      </c>
      <c r="AU238">
        <v>2012</v>
      </c>
      <c r="AV238">
        <v>465</v>
      </c>
      <c r="AW238" t="s">
        <v>74</v>
      </c>
      <c r="AX238" t="s">
        <v>74</v>
      </c>
      <c r="AY238" t="s">
        <v>74</v>
      </c>
      <c r="AZ238" t="s">
        <v>74</v>
      </c>
      <c r="BA238" t="s">
        <v>74</v>
      </c>
      <c r="BB238">
        <v>281</v>
      </c>
      <c r="BC238">
        <v>297</v>
      </c>
      <c r="BD238" t="s">
        <v>74</v>
      </c>
      <c r="BE238" t="s">
        <v>4548</v>
      </c>
      <c r="BF238" t="str">
        <f>HYPERLINK("http://dx.doi.org/10.3354/meps09884","http://dx.doi.org/10.3354/meps09884")</f>
        <v>http://dx.doi.org/10.3354/meps09884</v>
      </c>
      <c r="BG238" t="s">
        <v>74</v>
      </c>
      <c r="BH238" t="s">
        <v>74</v>
      </c>
      <c r="BI238">
        <v>17</v>
      </c>
      <c r="BJ238" t="s">
        <v>4365</v>
      </c>
      <c r="BK238" t="s">
        <v>100</v>
      </c>
      <c r="BL238" t="s">
        <v>4366</v>
      </c>
      <c r="BM238" t="s">
        <v>4533</v>
      </c>
      <c r="BN238" t="s">
        <v>74</v>
      </c>
      <c r="BO238" t="s">
        <v>4515</v>
      </c>
      <c r="BP238" t="s">
        <v>74</v>
      </c>
      <c r="BQ238" t="s">
        <v>74</v>
      </c>
      <c r="BR238" t="s">
        <v>102</v>
      </c>
      <c r="BS238" t="s">
        <v>4549</v>
      </c>
      <c r="BT238" t="str">
        <f>HYPERLINK("https%3A%2F%2Fwww.webofscience.com%2Fwos%2Fwoscc%2Ffull-record%2FWOS:000309366300023","View Full Record in Web of Science")</f>
        <v>View Full Record in Web of Science</v>
      </c>
    </row>
    <row r="239" spans="1:72" x14ac:dyDescent="0.15">
      <c r="A239" t="s">
        <v>72</v>
      </c>
      <c r="B239" t="s">
        <v>4550</v>
      </c>
      <c r="C239" t="s">
        <v>74</v>
      </c>
      <c r="D239" t="s">
        <v>74</v>
      </c>
      <c r="E239" t="s">
        <v>74</v>
      </c>
      <c r="F239" t="s">
        <v>4551</v>
      </c>
      <c r="G239" t="s">
        <v>74</v>
      </c>
      <c r="H239" t="s">
        <v>74</v>
      </c>
      <c r="I239" t="s">
        <v>4552</v>
      </c>
      <c r="J239" t="s">
        <v>4434</v>
      </c>
      <c r="K239" t="s">
        <v>74</v>
      </c>
      <c r="L239" t="s">
        <v>74</v>
      </c>
      <c r="M239" t="s">
        <v>78</v>
      </c>
      <c r="N239" t="s">
        <v>79</v>
      </c>
      <c r="O239" t="s">
        <v>74</v>
      </c>
      <c r="P239" t="s">
        <v>74</v>
      </c>
      <c r="Q239" t="s">
        <v>74</v>
      </c>
      <c r="R239" t="s">
        <v>74</v>
      </c>
      <c r="S239" t="s">
        <v>74</v>
      </c>
      <c r="T239" t="s">
        <v>4553</v>
      </c>
      <c r="U239" t="s">
        <v>4554</v>
      </c>
      <c r="V239" t="s">
        <v>4555</v>
      </c>
      <c r="W239" t="s">
        <v>4556</v>
      </c>
      <c r="X239" t="s">
        <v>787</v>
      </c>
      <c r="Y239" t="s">
        <v>4557</v>
      </c>
      <c r="Z239" t="s">
        <v>4558</v>
      </c>
      <c r="AA239" t="s">
        <v>4559</v>
      </c>
      <c r="AB239" t="s">
        <v>4560</v>
      </c>
      <c r="AC239" t="s">
        <v>4561</v>
      </c>
      <c r="AD239" t="s">
        <v>4562</v>
      </c>
      <c r="AE239" t="s">
        <v>4563</v>
      </c>
      <c r="AF239" t="s">
        <v>74</v>
      </c>
      <c r="AG239">
        <v>74</v>
      </c>
      <c r="AH239">
        <v>50</v>
      </c>
      <c r="AI239">
        <v>53</v>
      </c>
      <c r="AJ239">
        <v>0</v>
      </c>
      <c r="AK239">
        <v>80</v>
      </c>
      <c r="AL239" t="s">
        <v>1008</v>
      </c>
      <c r="AM239" t="s">
        <v>1009</v>
      </c>
      <c r="AN239" t="s">
        <v>1010</v>
      </c>
      <c r="AO239" t="s">
        <v>4444</v>
      </c>
      <c r="AP239" t="s">
        <v>4445</v>
      </c>
      <c r="AQ239" t="s">
        <v>74</v>
      </c>
      <c r="AR239" t="s">
        <v>4446</v>
      </c>
      <c r="AS239" t="s">
        <v>4447</v>
      </c>
      <c r="AT239" t="s">
        <v>74</v>
      </c>
      <c r="AU239">
        <v>2012</v>
      </c>
      <c r="AV239">
        <v>464</v>
      </c>
      <c r="AW239" t="s">
        <v>74</v>
      </c>
      <c r="AX239" t="s">
        <v>74</v>
      </c>
      <c r="AY239" t="s">
        <v>74</v>
      </c>
      <c r="AZ239" t="s">
        <v>74</v>
      </c>
      <c r="BA239" t="s">
        <v>74</v>
      </c>
      <c r="BB239">
        <v>179</v>
      </c>
      <c r="BC239">
        <v>194</v>
      </c>
      <c r="BD239" t="s">
        <v>74</v>
      </c>
      <c r="BE239" t="s">
        <v>4564</v>
      </c>
      <c r="BF239" t="str">
        <f>HYPERLINK("http://dx.doi.org/10.3354/meps09881","http://dx.doi.org/10.3354/meps09881")</f>
        <v>http://dx.doi.org/10.3354/meps09881</v>
      </c>
      <c r="BG239" t="s">
        <v>74</v>
      </c>
      <c r="BH239" t="s">
        <v>74</v>
      </c>
      <c r="BI239">
        <v>16</v>
      </c>
      <c r="BJ239" t="s">
        <v>4365</v>
      </c>
      <c r="BK239" t="s">
        <v>100</v>
      </c>
      <c r="BL239" t="s">
        <v>4366</v>
      </c>
      <c r="BM239" t="s">
        <v>4565</v>
      </c>
      <c r="BN239" t="s">
        <v>74</v>
      </c>
      <c r="BO239" t="s">
        <v>365</v>
      </c>
      <c r="BP239" t="s">
        <v>74</v>
      </c>
      <c r="BQ239" t="s">
        <v>74</v>
      </c>
      <c r="BR239" t="s">
        <v>102</v>
      </c>
      <c r="BS239" t="s">
        <v>4566</v>
      </c>
      <c r="BT239" t="str">
        <f>HYPERLINK("https%3A%2F%2Fwww.webofscience.com%2Fwos%2Fwoscc%2Ffull-record%2FWOS:000309125500012","View Full Record in Web of Science")</f>
        <v>View Full Record in Web of Science</v>
      </c>
    </row>
    <row r="240" spans="1:72" x14ac:dyDescent="0.15">
      <c r="A240" t="s">
        <v>72</v>
      </c>
      <c r="B240" t="s">
        <v>4567</v>
      </c>
      <c r="C240" t="s">
        <v>74</v>
      </c>
      <c r="D240" t="s">
        <v>74</v>
      </c>
      <c r="E240" t="s">
        <v>74</v>
      </c>
      <c r="F240" t="s">
        <v>4568</v>
      </c>
      <c r="G240" t="s">
        <v>74</v>
      </c>
      <c r="H240" t="s">
        <v>74</v>
      </c>
      <c r="I240" t="s">
        <v>4569</v>
      </c>
      <c r="J240" t="s">
        <v>4434</v>
      </c>
      <c r="K240" t="s">
        <v>74</v>
      </c>
      <c r="L240" t="s">
        <v>74</v>
      </c>
      <c r="M240" t="s">
        <v>78</v>
      </c>
      <c r="N240" t="s">
        <v>79</v>
      </c>
      <c r="O240" t="s">
        <v>74</v>
      </c>
      <c r="P240" t="s">
        <v>74</v>
      </c>
      <c r="Q240" t="s">
        <v>74</v>
      </c>
      <c r="R240" t="s">
        <v>74</v>
      </c>
      <c r="S240" t="s">
        <v>74</v>
      </c>
      <c r="T240" t="s">
        <v>4570</v>
      </c>
      <c r="U240" t="s">
        <v>4571</v>
      </c>
      <c r="V240" t="s">
        <v>4572</v>
      </c>
      <c r="W240" t="s">
        <v>4573</v>
      </c>
      <c r="X240" t="s">
        <v>4574</v>
      </c>
      <c r="Y240" t="s">
        <v>4575</v>
      </c>
      <c r="Z240" t="s">
        <v>4576</v>
      </c>
      <c r="AA240" t="s">
        <v>4577</v>
      </c>
      <c r="AB240" t="s">
        <v>4578</v>
      </c>
      <c r="AC240" t="s">
        <v>4579</v>
      </c>
      <c r="AD240" t="s">
        <v>4580</v>
      </c>
      <c r="AE240" t="s">
        <v>4581</v>
      </c>
      <c r="AF240" t="s">
        <v>74</v>
      </c>
      <c r="AG240">
        <v>57</v>
      </c>
      <c r="AH240">
        <v>31</v>
      </c>
      <c r="AI240">
        <v>33</v>
      </c>
      <c r="AJ240">
        <v>0</v>
      </c>
      <c r="AK240">
        <v>35</v>
      </c>
      <c r="AL240" t="s">
        <v>1008</v>
      </c>
      <c r="AM240" t="s">
        <v>1009</v>
      </c>
      <c r="AN240" t="s">
        <v>1010</v>
      </c>
      <c r="AO240" t="s">
        <v>4444</v>
      </c>
      <c r="AP240" t="s">
        <v>4445</v>
      </c>
      <c r="AQ240" t="s">
        <v>74</v>
      </c>
      <c r="AR240" t="s">
        <v>4446</v>
      </c>
      <c r="AS240" t="s">
        <v>4447</v>
      </c>
      <c r="AT240" t="s">
        <v>74</v>
      </c>
      <c r="AU240">
        <v>2012</v>
      </c>
      <c r="AV240">
        <v>463</v>
      </c>
      <c r="AW240" t="s">
        <v>74</v>
      </c>
      <c r="AX240" t="s">
        <v>74</v>
      </c>
      <c r="AY240" t="s">
        <v>74</v>
      </c>
      <c r="AZ240" t="s">
        <v>74</v>
      </c>
      <c r="BA240" t="s">
        <v>74</v>
      </c>
      <c r="BB240">
        <v>215</v>
      </c>
      <c r="BC240">
        <v>230</v>
      </c>
      <c r="BD240" t="s">
        <v>74</v>
      </c>
      <c r="BE240" t="s">
        <v>4582</v>
      </c>
      <c r="BF240" t="str">
        <f>HYPERLINK("http://dx.doi.org/10.3354/meps09842","http://dx.doi.org/10.3354/meps09842")</f>
        <v>http://dx.doi.org/10.3354/meps09842</v>
      </c>
      <c r="BG240" t="s">
        <v>74</v>
      </c>
      <c r="BH240" t="s">
        <v>74</v>
      </c>
      <c r="BI240">
        <v>16</v>
      </c>
      <c r="BJ240" t="s">
        <v>4365</v>
      </c>
      <c r="BK240" t="s">
        <v>100</v>
      </c>
      <c r="BL240" t="s">
        <v>4366</v>
      </c>
      <c r="BM240" t="s">
        <v>4583</v>
      </c>
      <c r="BN240" t="s">
        <v>74</v>
      </c>
      <c r="BO240" t="s">
        <v>892</v>
      </c>
      <c r="BP240" t="s">
        <v>74</v>
      </c>
      <c r="BQ240" t="s">
        <v>74</v>
      </c>
      <c r="BR240" t="s">
        <v>102</v>
      </c>
      <c r="BS240" t="s">
        <v>4584</v>
      </c>
      <c r="BT240" t="str">
        <f>HYPERLINK("https%3A%2F%2Fwww.webofscience.com%2Fwos%2Fwoscc%2Ffull-record%2FWOS:000308357300014","View Full Record in Web of Science")</f>
        <v>View Full Record in Web of Science</v>
      </c>
    </row>
    <row r="241" spans="1:72" x14ac:dyDescent="0.15">
      <c r="A241" t="s">
        <v>72</v>
      </c>
      <c r="B241" t="s">
        <v>4585</v>
      </c>
      <c r="C241" t="s">
        <v>74</v>
      </c>
      <c r="D241" t="s">
        <v>74</v>
      </c>
      <c r="E241" t="s">
        <v>74</v>
      </c>
      <c r="F241" t="s">
        <v>4586</v>
      </c>
      <c r="G241" t="s">
        <v>74</v>
      </c>
      <c r="H241" t="s">
        <v>74</v>
      </c>
      <c r="I241" t="s">
        <v>4587</v>
      </c>
      <c r="J241" t="s">
        <v>4434</v>
      </c>
      <c r="K241" t="s">
        <v>74</v>
      </c>
      <c r="L241" t="s">
        <v>74</v>
      </c>
      <c r="M241" t="s">
        <v>78</v>
      </c>
      <c r="N241" t="s">
        <v>79</v>
      </c>
      <c r="O241" t="s">
        <v>74</v>
      </c>
      <c r="P241" t="s">
        <v>74</v>
      </c>
      <c r="Q241" t="s">
        <v>74</v>
      </c>
      <c r="R241" t="s">
        <v>74</v>
      </c>
      <c r="S241" t="s">
        <v>74</v>
      </c>
      <c r="T241" t="s">
        <v>4588</v>
      </c>
      <c r="U241" t="s">
        <v>4589</v>
      </c>
      <c r="V241" t="s">
        <v>4590</v>
      </c>
      <c r="W241" t="s">
        <v>4591</v>
      </c>
      <c r="X241" t="s">
        <v>4592</v>
      </c>
      <c r="Y241" t="s">
        <v>4593</v>
      </c>
      <c r="Z241" t="s">
        <v>4594</v>
      </c>
      <c r="AA241" t="s">
        <v>4595</v>
      </c>
      <c r="AB241" t="s">
        <v>4596</v>
      </c>
      <c r="AC241" t="s">
        <v>4597</v>
      </c>
      <c r="AD241" t="s">
        <v>4598</v>
      </c>
      <c r="AE241" t="s">
        <v>4599</v>
      </c>
      <c r="AF241" t="s">
        <v>74</v>
      </c>
      <c r="AG241">
        <v>92</v>
      </c>
      <c r="AH241">
        <v>20</v>
      </c>
      <c r="AI241">
        <v>22</v>
      </c>
      <c r="AJ241">
        <v>1</v>
      </c>
      <c r="AK241">
        <v>27</v>
      </c>
      <c r="AL241" t="s">
        <v>1008</v>
      </c>
      <c r="AM241" t="s">
        <v>1009</v>
      </c>
      <c r="AN241" t="s">
        <v>1010</v>
      </c>
      <c r="AO241" t="s">
        <v>4444</v>
      </c>
      <c r="AP241" t="s">
        <v>4445</v>
      </c>
      <c r="AQ241" t="s">
        <v>74</v>
      </c>
      <c r="AR241" t="s">
        <v>4446</v>
      </c>
      <c r="AS241" t="s">
        <v>4447</v>
      </c>
      <c r="AT241" t="s">
        <v>74</v>
      </c>
      <c r="AU241">
        <v>2012</v>
      </c>
      <c r="AV241">
        <v>459</v>
      </c>
      <c r="AW241" t="s">
        <v>74</v>
      </c>
      <c r="AX241" t="s">
        <v>74</v>
      </c>
      <c r="AY241" t="s">
        <v>74</v>
      </c>
      <c r="AZ241" t="s">
        <v>74</v>
      </c>
      <c r="BA241" t="s">
        <v>74</v>
      </c>
      <c r="BB241">
        <v>29</v>
      </c>
      <c r="BC241">
        <v>38</v>
      </c>
      <c r="BD241" t="s">
        <v>74</v>
      </c>
      <c r="BE241" t="s">
        <v>4600</v>
      </c>
      <c r="BF241" t="str">
        <f>HYPERLINK("http://dx.doi.org/10.3354/meps09746","http://dx.doi.org/10.3354/meps09746")</f>
        <v>http://dx.doi.org/10.3354/meps09746</v>
      </c>
      <c r="BG241" t="s">
        <v>74</v>
      </c>
      <c r="BH241" t="s">
        <v>74</v>
      </c>
      <c r="BI241">
        <v>10</v>
      </c>
      <c r="BJ241" t="s">
        <v>4365</v>
      </c>
      <c r="BK241" t="s">
        <v>100</v>
      </c>
      <c r="BL241" t="s">
        <v>4366</v>
      </c>
      <c r="BM241" t="s">
        <v>4601</v>
      </c>
      <c r="BN241" t="s">
        <v>74</v>
      </c>
      <c r="BO241" t="s">
        <v>3786</v>
      </c>
      <c r="BP241" t="s">
        <v>74</v>
      </c>
      <c r="BQ241" t="s">
        <v>74</v>
      </c>
      <c r="BR241" t="s">
        <v>102</v>
      </c>
      <c r="BS241" t="s">
        <v>4602</v>
      </c>
      <c r="BT241" t="str">
        <f>HYPERLINK("https%3A%2F%2Fwww.webofscience.com%2Fwos%2Fwoscc%2Ffull-record%2FWOS:000306322300003","View Full Record in Web of Science")</f>
        <v>View Full Record in Web of Science</v>
      </c>
    </row>
    <row r="242" spans="1:72" x14ac:dyDescent="0.15">
      <c r="A242" t="s">
        <v>72</v>
      </c>
      <c r="B242" t="s">
        <v>4603</v>
      </c>
      <c r="C242" t="s">
        <v>74</v>
      </c>
      <c r="D242" t="s">
        <v>74</v>
      </c>
      <c r="E242" t="s">
        <v>74</v>
      </c>
      <c r="F242" t="s">
        <v>4604</v>
      </c>
      <c r="G242" t="s">
        <v>74</v>
      </c>
      <c r="H242" t="s">
        <v>74</v>
      </c>
      <c r="I242" t="s">
        <v>4605</v>
      </c>
      <c r="J242" t="s">
        <v>4434</v>
      </c>
      <c r="K242" t="s">
        <v>74</v>
      </c>
      <c r="L242" t="s">
        <v>74</v>
      </c>
      <c r="M242" t="s">
        <v>78</v>
      </c>
      <c r="N242" t="s">
        <v>79</v>
      </c>
      <c r="O242" t="s">
        <v>74</v>
      </c>
      <c r="P242" t="s">
        <v>74</v>
      </c>
      <c r="Q242" t="s">
        <v>74</v>
      </c>
      <c r="R242" t="s">
        <v>74</v>
      </c>
      <c r="S242" t="s">
        <v>74</v>
      </c>
      <c r="T242" t="s">
        <v>4606</v>
      </c>
      <c r="U242" t="s">
        <v>4607</v>
      </c>
      <c r="V242" t="s">
        <v>4608</v>
      </c>
      <c r="W242" t="s">
        <v>4609</v>
      </c>
      <c r="X242" t="s">
        <v>4610</v>
      </c>
      <c r="Y242" t="s">
        <v>4611</v>
      </c>
      <c r="Z242" t="s">
        <v>4612</v>
      </c>
      <c r="AA242" t="s">
        <v>4613</v>
      </c>
      <c r="AB242" t="s">
        <v>4614</v>
      </c>
      <c r="AC242" t="s">
        <v>4615</v>
      </c>
      <c r="AD242" t="s">
        <v>4616</v>
      </c>
      <c r="AE242" t="s">
        <v>4617</v>
      </c>
      <c r="AF242" t="s">
        <v>74</v>
      </c>
      <c r="AG242">
        <v>64</v>
      </c>
      <c r="AH242">
        <v>24</v>
      </c>
      <c r="AI242">
        <v>25</v>
      </c>
      <c r="AJ242">
        <v>2</v>
      </c>
      <c r="AK242">
        <v>48</v>
      </c>
      <c r="AL242" t="s">
        <v>1008</v>
      </c>
      <c r="AM242" t="s">
        <v>1009</v>
      </c>
      <c r="AN242" t="s">
        <v>1010</v>
      </c>
      <c r="AO242" t="s">
        <v>4444</v>
      </c>
      <c r="AP242" t="s">
        <v>4445</v>
      </c>
      <c r="AQ242" t="s">
        <v>74</v>
      </c>
      <c r="AR242" t="s">
        <v>4446</v>
      </c>
      <c r="AS242" t="s">
        <v>4447</v>
      </c>
      <c r="AT242" t="s">
        <v>74</v>
      </c>
      <c r="AU242">
        <v>2012</v>
      </c>
      <c r="AV242">
        <v>459</v>
      </c>
      <c r="AW242" t="s">
        <v>74</v>
      </c>
      <c r="AX242" t="s">
        <v>74</v>
      </c>
      <c r="AY242" t="s">
        <v>74</v>
      </c>
      <c r="AZ242" t="s">
        <v>74</v>
      </c>
      <c r="BA242" t="s">
        <v>74</v>
      </c>
      <c r="BB242">
        <v>109</v>
      </c>
      <c r="BC242">
        <v>120</v>
      </c>
      <c r="BD242" t="s">
        <v>74</v>
      </c>
      <c r="BE242" t="s">
        <v>4618</v>
      </c>
      <c r="BF242" t="str">
        <f>HYPERLINK("http://dx.doi.org/10.3354/meps09749","http://dx.doi.org/10.3354/meps09749")</f>
        <v>http://dx.doi.org/10.3354/meps09749</v>
      </c>
      <c r="BG242" t="s">
        <v>74</v>
      </c>
      <c r="BH242" t="s">
        <v>74</v>
      </c>
      <c r="BI242">
        <v>12</v>
      </c>
      <c r="BJ242" t="s">
        <v>4365</v>
      </c>
      <c r="BK242" t="s">
        <v>100</v>
      </c>
      <c r="BL242" t="s">
        <v>4366</v>
      </c>
      <c r="BM242" t="s">
        <v>4601</v>
      </c>
      <c r="BN242" t="s">
        <v>74</v>
      </c>
      <c r="BO242" t="s">
        <v>4619</v>
      </c>
      <c r="BP242" t="s">
        <v>74</v>
      </c>
      <c r="BQ242" t="s">
        <v>74</v>
      </c>
      <c r="BR242" t="s">
        <v>102</v>
      </c>
      <c r="BS242" t="s">
        <v>4620</v>
      </c>
      <c r="BT242" t="str">
        <f>HYPERLINK("https%3A%2F%2Fwww.webofscience.com%2Fwos%2Fwoscc%2Ffull-record%2FWOS:000306322300010","View Full Record in Web of Science")</f>
        <v>View Full Record in Web of Science</v>
      </c>
    </row>
    <row r="243" spans="1:72" x14ac:dyDescent="0.15">
      <c r="A243" t="s">
        <v>72</v>
      </c>
      <c r="B243" t="s">
        <v>4621</v>
      </c>
      <c r="C243" t="s">
        <v>74</v>
      </c>
      <c r="D243" t="s">
        <v>74</v>
      </c>
      <c r="E243" t="s">
        <v>74</v>
      </c>
      <c r="F243" t="s">
        <v>4622</v>
      </c>
      <c r="G243" t="s">
        <v>74</v>
      </c>
      <c r="H243" t="s">
        <v>74</v>
      </c>
      <c r="I243" t="s">
        <v>4623</v>
      </c>
      <c r="J243" t="s">
        <v>4434</v>
      </c>
      <c r="K243" t="s">
        <v>74</v>
      </c>
      <c r="L243" t="s">
        <v>74</v>
      </c>
      <c r="M243" t="s">
        <v>78</v>
      </c>
      <c r="N243" t="s">
        <v>1513</v>
      </c>
      <c r="O243" t="s">
        <v>74</v>
      </c>
      <c r="P243" t="s">
        <v>74</v>
      </c>
      <c r="Q243" t="s">
        <v>74</v>
      </c>
      <c r="R243" t="s">
        <v>74</v>
      </c>
      <c r="S243" t="s">
        <v>74</v>
      </c>
      <c r="T243" t="s">
        <v>4624</v>
      </c>
      <c r="U243" t="s">
        <v>4625</v>
      </c>
      <c r="V243" t="s">
        <v>4626</v>
      </c>
      <c r="W243" t="s">
        <v>4627</v>
      </c>
      <c r="X243" t="s">
        <v>4628</v>
      </c>
      <c r="Y243" t="s">
        <v>4629</v>
      </c>
      <c r="Z243" t="s">
        <v>4630</v>
      </c>
      <c r="AA243" t="s">
        <v>4631</v>
      </c>
      <c r="AB243" t="s">
        <v>4632</v>
      </c>
      <c r="AC243" t="s">
        <v>4633</v>
      </c>
      <c r="AD243" t="s">
        <v>4634</v>
      </c>
      <c r="AE243" t="s">
        <v>4635</v>
      </c>
      <c r="AF243" t="s">
        <v>74</v>
      </c>
      <c r="AG243">
        <v>164</v>
      </c>
      <c r="AH243">
        <v>230</v>
      </c>
      <c r="AI243">
        <v>248</v>
      </c>
      <c r="AJ243">
        <v>16</v>
      </c>
      <c r="AK243">
        <v>386</v>
      </c>
      <c r="AL243" t="s">
        <v>1008</v>
      </c>
      <c r="AM243" t="s">
        <v>1009</v>
      </c>
      <c r="AN243" t="s">
        <v>1010</v>
      </c>
      <c r="AO243" t="s">
        <v>4444</v>
      </c>
      <c r="AP243" t="s">
        <v>4445</v>
      </c>
      <c r="AQ243" t="s">
        <v>74</v>
      </c>
      <c r="AR243" t="s">
        <v>4446</v>
      </c>
      <c r="AS243" t="s">
        <v>4447</v>
      </c>
      <c r="AT243" t="s">
        <v>74</v>
      </c>
      <c r="AU243">
        <v>2012</v>
      </c>
      <c r="AV243">
        <v>458</v>
      </c>
      <c r="AW243" t="s">
        <v>74</v>
      </c>
      <c r="AX243" t="s">
        <v>74</v>
      </c>
      <c r="AY243" t="s">
        <v>74</v>
      </c>
      <c r="AZ243" t="s">
        <v>74</v>
      </c>
      <c r="BA243" t="s">
        <v>74</v>
      </c>
      <c r="BB243">
        <v>1</v>
      </c>
      <c r="BC243">
        <v>19</v>
      </c>
      <c r="BD243" t="s">
        <v>74</v>
      </c>
      <c r="BE243" t="s">
        <v>4636</v>
      </c>
      <c r="BF243" t="str">
        <f>HYPERLINK("http://dx.doi.org/10.3354/meps09831","http://dx.doi.org/10.3354/meps09831")</f>
        <v>http://dx.doi.org/10.3354/meps09831</v>
      </c>
      <c r="BG243" t="s">
        <v>74</v>
      </c>
      <c r="BH243" t="s">
        <v>74</v>
      </c>
      <c r="BI243">
        <v>19</v>
      </c>
      <c r="BJ243" t="s">
        <v>4365</v>
      </c>
      <c r="BK243" t="s">
        <v>100</v>
      </c>
      <c r="BL243" t="s">
        <v>4366</v>
      </c>
      <c r="BM243" t="s">
        <v>4637</v>
      </c>
      <c r="BN243" t="s">
        <v>74</v>
      </c>
      <c r="BO243" t="s">
        <v>4638</v>
      </c>
      <c r="BP243" t="s">
        <v>74</v>
      </c>
      <c r="BQ243" t="s">
        <v>74</v>
      </c>
      <c r="BR243" t="s">
        <v>102</v>
      </c>
      <c r="BS243" t="s">
        <v>4639</v>
      </c>
      <c r="BT243" t="str">
        <f>HYPERLINK("https%3A%2F%2Fwww.webofscience.com%2Fwos%2Fwoscc%2Ffull-record%2FWOS:000305966400001","View Full Record in Web of Science")</f>
        <v>View Full Record in Web of Science</v>
      </c>
    </row>
    <row r="244" spans="1:72" x14ac:dyDescent="0.15">
      <c r="A244" t="s">
        <v>72</v>
      </c>
      <c r="B244" t="s">
        <v>4640</v>
      </c>
      <c r="C244" t="s">
        <v>74</v>
      </c>
      <c r="D244" t="s">
        <v>74</v>
      </c>
      <c r="E244" t="s">
        <v>74</v>
      </c>
      <c r="F244" t="s">
        <v>4641</v>
      </c>
      <c r="G244" t="s">
        <v>74</v>
      </c>
      <c r="H244" t="s">
        <v>74</v>
      </c>
      <c r="I244" t="s">
        <v>4642</v>
      </c>
      <c r="J244" t="s">
        <v>4434</v>
      </c>
      <c r="K244" t="s">
        <v>74</v>
      </c>
      <c r="L244" t="s">
        <v>74</v>
      </c>
      <c r="M244" t="s">
        <v>78</v>
      </c>
      <c r="N244" t="s">
        <v>79</v>
      </c>
      <c r="O244" t="s">
        <v>74</v>
      </c>
      <c r="P244" t="s">
        <v>74</v>
      </c>
      <c r="Q244" t="s">
        <v>74</v>
      </c>
      <c r="R244" t="s">
        <v>74</v>
      </c>
      <c r="S244" t="s">
        <v>74</v>
      </c>
      <c r="T244" t="s">
        <v>4643</v>
      </c>
      <c r="U244" t="s">
        <v>4644</v>
      </c>
      <c r="V244" t="s">
        <v>4645</v>
      </c>
      <c r="W244" t="s">
        <v>4646</v>
      </c>
      <c r="X244" t="s">
        <v>4647</v>
      </c>
      <c r="Y244" t="s">
        <v>4648</v>
      </c>
      <c r="Z244" t="s">
        <v>4649</v>
      </c>
      <c r="AA244" t="s">
        <v>4650</v>
      </c>
      <c r="AB244" t="s">
        <v>4651</v>
      </c>
      <c r="AC244" t="s">
        <v>4652</v>
      </c>
      <c r="AD244" t="s">
        <v>4653</v>
      </c>
      <c r="AE244" t="s">
        <v>4654</v>
      </c>
      <c r="AF244" t="s">
        <v>74</v>
      </c>
      <c r="AG244">
        <v>69</v>
      </c>
      <c r="AH244">
        <v>75</v>
      </c>
      <c r="AI244">
        <v>81</v>
      </c>
      <c r="AJ244">
        <v>1</v>
      </c>
      <c r="AK244">
        <v>108</v>
      </c>
      <c r="AL244" t="s">
        <v>1008</v>
      </c>
      <c r="AM244" t="s">
        <v>1009</v>
      </c>
      <c r="AN244" t="s">
        <v>1010</v>
      </c>
      <c r="AO244" t="s">
        <v>4444</v>
      </c>
      <c r="AP244" t="s">
        <v>4445</v>
      </c>
      <c r="AQ244" t="s">
        <v>74</v>
      </c>
      <c r="AR244" t="s">
        <v>4446</v>
      </c>
      <c r="AS244" t="s">
        <v>4447</v>
      </c>
      <c r="AT244" t="s">
        <v>74</v>
      </c>
      <c r="AU244">
        <v>2012</v>
      </c>
      <c r="AV244">
        <v>457</v>
      </c>
      <c r="AW244" t="s">
        <v>74</v>
      </c>
      <c r="AX244" t="s">
        <v>74</v>
      </c>
      <c r="AY244" t="s">
        <v>74</v>
      </c>
      <c r="AZ244" t="s">
        <v>74</v>
      </c>
      <c r="BA244" t="s">
        <v>74</v>
      </c>
      <c r="BB244">
        <v>151</v>
      </c>
      <c r="BC244">
        <v>162</v>
      </c>
      <c r="BD244" t="s">
        <v>74</v>
      </c>
      <c r="BE244" t="s">
        <v>4655</v>
      </c>
      <c r="BF244" t="str">
        <f>HYPERLINK("http://dx.doi.org/10.3354/meps09734","http://dx.doi.org/10.3354/meps09734")</f>
        <v>http://dx.doi.org/10.3354/meps09734</v>
      </c>
      <c r="BG244" t="s">
        <v>74</v>
      </c>
      <c r="BH244" t="s">
        <v>74</v>
      </c>
      <c r="BI244">
        <v>12</v>
      </c>
      <c r="BJ244" t="s">
        <v>4365</v>
      </c>
      <c r="BK244" t="s">
        <v>100</v>
      </c>
      <c r="BL244" t="s">
        <v>4366</v>
      </c>
      <c r="BM244" t="s">
        <v>4656</v>
      </c>
      <c r="BN244" t="s">
        <v>74</v>
      </c>
      <c r="BO244" t="s">
        <v>4483</v>
      </c>
      <c r="BP244" t="s">
        <v>74</v>
      </c>
      <c r="BQ244" t="s">
        <v>74</v>
      </c>
      <c r="BR244" t="s">
        <v>102</v>
      </c>
      <c r="BS244" t="s">
        <v>4657</v>
      </c>
      <c r="BT244" t="str">
        <f>HYPERLINK("https%3A%2F%2Fwww.webofscience.com%2Fwos%2Fwoscc%2Ffull-record%2FWOS:000306755000012","View Full Record in Web of Science")</f>
        <v>View Full Record in Web of Science</v>
      </c>
    </row>
    <row r="245" spans="1:72" x14ac:dyDescent="0.15">
      <c r="A245" t="s">
        <v>72</v>
      </c>
      <c r="B245" t="s">
        <v>4658</v>
      </c>
      <c r="C245" t="s">
        <v>74</v>
      </c>
      <c r="D245" t="s">
        <v>74</v>
      </c>
      <c r="E245" t="s">
        <v>74</v>
      </c>
      <c r="F245" t="s">
        <v>4659</v>
      </c>
      <c r="G245" t="s">
        <v>74</v>
      </c>
      <c r="H245" t="s">
        <v>74</v>
      </c>
      <c r="I245" t="s">
        <v>4660</v>
      </c>
      <c r="J245" t="s">
        <v>4434</v>
      </c>
      <c r="K245" t="s">
        <v>74</v>
      </c>
      <c r="L245" t="s">
        <v>74</v>
      </c>
      <c r="M245" t="s">
        <v>78</v>
      </c>
      <c r="N245" t="s">
        <v>79</v>
      </c>
      <c r="O245" t="s">
        <v>74</v>
      </c>
      <c r="P245" t="s">
        <v>74</v>
      </c>
      <c r="Q245" t="s">
        <v>74</v>
      </c>
      <c r="R245" t="s">
        <v>74</v>
      </c>
      <c r="S245" t="s">
        <v>74</v>
      </c>
      <c r="T245" t="s">
        <v>4661</v>
      </c>
      <c r="U245" t="s">
        <v>4662</v>
      </c>
      <c r="V245" t="s">
        <v>4663</v>
      </c>
      <c r="W245" t="s">
        <v>4664</v>
      </c>
      <c r="X245" t="s">
        <v>4665</v>
      </c>
      <c r="Y245" t="s">
        <v>4666</v>
      </c>
      <c r="Z245" t="s">
        <v>4667</v>
      </c>
      <c r="AA245" t="s">
        <v>74</v>
      </c>
      <c r="AB245" t="s">
        <v>74</v>
      </c>
      <c r="AC245" t="s">
        <v>4668</v>
      </c>
      <c r="AD245" t="s">
        <v>4669</v>
      </c>
      <c r="AE245" t="s">
        <v>4670</v>
      </c>
      <c r="AF245" t="s">
        <v>74</v>
      </c>
      <c r="AG245">
        <v>87</v>
      </c>
      <c r="AH245">
        <v>28</v>
      </c>
      <c r="AI245">
        <v>34</v>
      </c>
      <c r="AJ245">
        <v>2</v>
      </c>
      <c r="AK245">
        <v>40</v>
      </c>
      <c r="AL245" t="s">
        <v>1008</v>
      </c>
      <c r="AM245" t="s">
        <v>1009</v>
      </c>
      <c r="AN245" t="s">
        <v>1010</v>
      </c>
      <c r="AO245" t="s">
        <v>4444</v>
      </c>
      <c r="AP245" t="s">
        <v>4445</v>
      </c>
      <c r="AQ245" t="s">
        <v>74</v>
      </c>
      <c r="AR245" t="s">
        <v>4446</v>
      </c>
      <c r="AS245" t="s">
        <v>4447</v>
      </c>
      <c r="AT245" t="s">
        <v>74</v>
      </c>
      <c r="AU245">
        <v>2012</v>
      </c>
      <c r="AV245">
        <v>455</v>
      </c>
      <c r="AW245" t="s">
        <v>74</v>
      </c>
      <c r="AX245" t="s">
        <v>74</v>
      </c>
      <c r="AY245" t="s">
        <v>74</v>
      </c>
      <c r="AZ245" t="s">
        <v>74</v>
      </c>
      <c r="BA245" t="s">
        <v>74</v>
      </c>
      <c r="BB245">
        <v>157</v>
      </c>
      <c r="BC245">
        <v>172</v>
      </c>
      <c r="BD245" t="s">
        <v>74</v>
      </c>
      <c r="BE245" t="s">
        <v>4671</v>
      </c>
      <c r="BF245" t="str">
        <f>HYPERLINK("http://dx.doi.org/10.3354/meps09632","http://dx.doi.org/10.3354/meps09632")</f>
        <v>http://dx.doi.org/10.3354/meps09632</v>
      </c>
      <c r="BG245" t="s">
        <v>74</v>
      </c>
      <c r="BH245" t="s">
        <v>74</v>
      </c>
      <c r="BI245">
        <v>16</v>
      </c>
      <c r="BJ245" t="s">
        <v>4365</v>
      </c>
      <c r="BK245" t="s">
        <v>100</v>
      </c>
      <c r="BL245" t="s">
        <v>4366</v>
      </c>
      <c r="BM245" t="s">
        <v>4672</v>
      </c>
      <c r="BN245" t="s">
        <v>74</v>
      </c>
      <c r="BO245" t="s">
        <v>365</v>
      </c>
      <c r="BP245" t="s">
        <v>74</v>
      </c>
      <c r="BQ245" t="s">
        <v>74</v>
      </c>
      <c r="BR245" t="s">
        <v>102</v>
      </c>
      <c r="BS245" t="s">
        <v>4673</v>
      </c>
      <c r="BT245" t="str">
        <f>HYPERLINK("https%3A%2F%2Fwww.webofscience.com%2Fwos%2Fwoscc%2Ffull-record%2FWOS:000304607100011","View Full Record in Web of Science")</f>
        <v>View Full Record in Web of Science</v>
      </c>
    </row>
    <row r="246" spans="1:72" x14ac:dyDescent="0.15">
      <c r="A246" t="s">
        <v>72</v>
      </c>
      <c r="B246" t="s">
        <v>4674</v>
      </c>
      <c r="C246" t="s">
        <v>74</v>
      </c>
      <c r="D246" t="s">
        <v>74</v>
      </c>
      <c r="E246" t="s">
        <v>74</v>
      </c>
      <c r="F246" t="s">
        <v>4675</v>
      </c>
      <c r="G246" t="s">
        <v>74</v>
      </c>
      <c r="H246" t="s">
        <v>74</v>
      </c>
      <c r="I246" t="s">
        <v>4676</v>
      </c>
      <c r="J246" t="s">
        <v>4434</v>
      </c>
      <c r="K246" t="s">
        <v>74</v>
      </c>
      <c r="L246" t="s">
        <v>74</v>
      </c>
      <c r="M246" t="s">
        <v>78</v>
      </c>
      <c r="N246" t="s">
        <v>79</v>
      </c>
      <c r="O246" t="s">
        <v>74</v>
      </c>
      <c r="P246" t="s">
        <v>74</v>
      </c>
      <c r="Q246" t="s">
        <v>74</v>
      </c>
      <c r="R246" t="s">
        <v>74</v>
      </c>
      <c r="S246" t="s">
        <v>74</v>
      </c>
      <c r="T246" t="s">
        <v>4677</v>
      </c>
      <c r="U246" t="s">
        <v>4678</v>
      </c>
      <c r="V246" t="s">
        <v>4679</v>
      </c>
      <c r="W246" t="s">
        <v>4680</v>
      </c>
      <c r="X246" t="s">
        <v>4681</v>
      </c>
      <c r="Y246" t="s">
        <v>4682</v>
      </c>
      <c r="Z246" t="s">
        <v>4683</v>
      </c>
      <c r="AA246" t="s">
        <v>4684</v>
      </c>
      <c r="AB246" t="s">
        <v>4685</v>
      </c>
      <c r="AC246" t="s">
        <v>4686</v>
      </c>
      <c r="AD246" t="s">
        <v>4687</v>
      </c>
      <c r="AE246" t="s">
        <v>4688</v>
      </c>
      <c r="AF246" t="s">
        <v>74</v>
      </c>
      <c r="AG246">
        <v>103</v>
      </c>
      <c r="AH246">
        <v>38</v>
      </c>
      <c r="AI246">
        <v>40</v>
      </c>
      <c r="AJ246">
        <v>0</v>
      </c>
      <c r="AK246">
        <v>44</v>
      </c>
      <c r="AL246" t="s">
        <v>1008</v>
      </c>
      <c r="AM246" t="s">
        <v>1009</v>
      </c>
      <c r="AN246" t="s">
        <v>1010</v>
      </c>
      <c r="AO246" t="s">
        <v>4444</v>
      </c>
      <c r="AP246" t="s">
        <v>4445</v>
      </c>
      <c r="AQ246" t="s">
        <v>74</v>
      </c>
      <c r="AR246" t="s">
        <v>4446</v>
      </c>
      <c r="AS246" t="s">
        <v>4447</v>
      </c>
      <c r="AT246" t="s">
        <v>74</v>
      </c>
      <c r="AU246">
        <v>2012</v>
      </c>
      <c r="AV246">
        <v>454</v>
      </c>
      <c r="AW246" t="s">
        <v>74</v>
      </c>
      <c r="AX246" t="s">
        <v>74</v>
      </c>
      <c r="AY246" t="s">
        <v>74</v>
      </c>
      <c r="AZ246" t="s">
        <v>74</v>
      </c>
      <c r="BA246" t="s">
        <v>74</v>
      </c>
      <c r="BB246">
        <v>53</v>
      </c>
      <c r="BC246">
        <v>64</v>
      </c>
      <c r="BD246" t="s">
        <v>74</v>
      </c>
      <c r="BE246" t="s">
        <v>4689</v>
      </c>
      <c r="BF246" t="str">
        <f>HYPERLINK("http://dx.doi.org/10.3354/meps09609","http://dx.doi.org/10.3354/meps09609")</f>
        <v>http://dx.doi.org/10.3354/meps09609</v>
      </c>
      <c r="BG246" t="s">
        <v>74</v>
      </c>
      <c r="BH246" t="s">
        <v>74</v>
      </c>
      <c r="BI246">
        <v>12</v>
      </c>
      <c r="BJ246" t="s">
        <v>4365</v>
      </c>
      <c r="BK246" t="s">
        <v>100</v>
      </c>
      <c r="BL246" t="s">
        <v>4366</v>
      </c>
      <c r="BM246" t="s">
        <v>4690</v>
      </c>
      <c r="BN246" t="s">
        <v>74</v>
      </c>
      <c r="BO246" t="s">
        <v>365</v>
      </c>
      <c r="BP246" t="s">
        <v>74</v>
      </c>
      <c r="BQ246" t="s">
        <v>74</v>
      </c>
      <c r="BR246" t="s">
        <v>102</v>
      </c>
      <c r="BS246" t="s">
        <v>4691</v>
      </c>
      <c r="BT246" t="str">
        <f>HYPERLINK("https%3A%2F%2Fwww.webofscience.com%2Fwos%2Fwoscc%2Ffull-record%2FWOS:000304605500004","View Full Record in Web of Science")</f>
        <v>View Full Record in Web of Science</v>
      </c>
    </row>
    <row r="247" spans="1:72" x14ac:dyDescent="0.15">
      <c r="A247" t="s">
        <v>72</v>
      </c>
      <c r="B247" t="s">
        <v>4692</v>
      </c>
      <c r="C247" t="s">
        <v>74</v>
      </c>
      <c r="D247" t="s">
        <v>74</v>
      </c>
      <c r="E247" t="s">
        <v>74</v>
      </c>
      <c r="F247" t="s">
        <v>4693</v>
      </c>
      <c r="G247" t="s">
        <v>74</v>
      </c>
      <c r="H247" t="s">
        <v>74</v>
      </c>
      <c r="I247" t="s">
        <v>4694</v>
      </c>
      <c r="J247" t="s">
        <v>4434</v>
      </c>
      <c r="K247" t="s">
        <v>74</v>
      </c>
      <c r="L247" t="s">
        <v>74</v>
      </c>
      <c r="M247" t="s">
        <v>78</v>
      </c>
      <c r="N247" t="s">
        <v>79</v>
      </c>
      <c r="O247" t="s">
        <v>74</v>
      </c>
      <c r="P247" t="s">
        <v>74</v>
      </c>
      <c r="Q247" t="s">
        <v>74</v>
      </c>
      <c r="R247" t="s">
        <v>74</v>
      </c>
      <c r="S247" t="s">
        <v>74</v>
      </c>
      <c r="T247" t="s">
        <v>4695</v>
      </c>
      <c r="U247" t="s">
        <v>4696</v>
      </c>
      <c r="V247" t="s">
        <v>4697</v>
      </c>
      <c r="W247" t="s">
        <v>4698</v>
      </c>
      <c r="X247" t="s">
        <v>4699</v>
      </c>
      <c r="Y247" t="s">
        <v>4700</v>
      </c>
      <c r="Z247" t="s">
        <v>4701</v>
      </c>
      <c r="AA247" t="s">
        <v>4702</v>
      </c>
      <c r="AB247" t="s">
        <v>4703</v>
      </c>
      <c r="AC247" t="s">
        <v>4704</v>
      </c>
      <c r="AD247" t="s">
        <v>4705</v>
      </c>
      <c r="AE247" t="s">
        <v>4706</v>
      </c>
      <c r="AF247" t="s">
        <v>74</v>
      </c>
      <c r="AG247">
        <v>47</v>
      </c>
      <c r="AH247">
        <v>30</v>
      </c>
      <c r="AI247">
        <v>33</v>
      </c>
      <c r="AJ247">
        <v>0</v>
      </c>
      <c r="AK247">
        <v>50</v>
      </c>
      <c r="AL247" t="s">
        <v>1008</v>
      </c>
      <c r="AM247" t="s">
        <v>1009</v>
      </c>
      <c r="AN247" t="s">
        <v>1010</v>
      </c>
      <c r="AO247" t="s">
        <v>4444</v>
      </c>
      <c r="AP247" t="s">
        <v>4445</v>
      </c>
      <c r="AQ247" t="s">
        <v>74</v>
      </c>
      <c r="AR247" t="s">
        <v>4446</v>
      </c>
      <c r="AS247" t="s">
        <v>4447</v>
      </c>
      <c r="AT247" t="s">
        <v>74</v>
      </c>
      <c r="AU247">
        <v>2012</v>
      </c>
      <c r="AV247">
        <v>454</v>
      </c>
      <c r="AW247" t="s">
        <v>74</v>
      </c>
      <c r="AX247" t="s">
        <v>74</v>
      </c>
      <c r="AY247" t="s">
        <v>74</v>
      </c>
      <c r="AZ247" t="s">
        <v>74</v>
      </c>
      <c r="BA247" t="s">
        <v>74</v>
      </c>
      <c r="BB247">
        <v>91</v>
      </c>
      <c r="BC247">
        <v>104</v>
      </c>
      <c r="BD247" t="s">
        <v>74</v>
      </c>
      <c r="BE247" t="s">
        <v>4707</v>
      </c>
      <c r="BF247" t="str">
        <f>HYPERLINK("http://dx.doi.org/10.3354/meps09633","http://dx.doi.org/10.3354/meps09633")</f>
        <v>http://dx.doi.org/10.3354/meps09633</v>
      </c>
      <c r="BG247" t="s">
        <v>74</v>
      </c>
      <c r="BH247" t="s">
        <v>74</v>
      </c>
      <c r="BI247">
        <v>14</v>
      </c>
      <c r="BJ247" t="s">
        <v>4365</v>
      </c>
      <c r="BK247" t="s">
        <v>100</v>
      </c>
      <c r="BL247" t="s">
        <v>4366</v>
      </c>
      <c r="BM247" t="s">
        <v>4690</v>
      </c>
      <c r="BN247" t="s">
        <v>74</v>
      </c>
      <c r="BO247" t="s">
        <v>365</v>
      </c>
      <c r="BP247" t="s">
        <v>74</v>
      </c>
      <c r="BQ247" t="s">
        <v>74</v>
      </c>
      <c r="BR247" t="s">
        <v>102</v>
      </c>
      <c r="BS247" t="s">
        <v>4708</v>
      </c>
      <c r="BT247" t="str">
        <f>HYPERLINK("https%3A%2F%2Fwww.webofscience.com%2Fwos%2Fwoscc%2Ffull-record%2FWOS:000304605500008","View Full Record in Web of Science")</f>
        <v>View Full Record in Web of Science</v>
      </c>
    </row>
    <row r="248" spans="1:72" x14ac:dyDescent="0.15">
      <c r="A248" t="s">
        <v>72</v>
      </c>
      <c r="B248" t="s">
        <v>4709</v>
      </c>
      <c r="C248" t="s">
        <v>74</v>
      </c>
      <c r="D248" t="s">
        <v>74</v>
      </c>
      <c r="E248" t="s">
        <v>74</v>
      </c>
      <c r="F248" t="s">
        <v>4710</v>
      </c>
      <c r="G248" t="s">
        <v>74</v>
      </c>
      <c r="H248" t="s">
        <v>74</v>
      </c>
      <c r="I248" t="s">
        <v>4711</v>
      </c>
      <c r="J248" t="s">
        <v>4434</v>
      </c>
      <c r="K248" t="s">
        <v>74</v>
      </c>
      <c r="L248" t="s">
        <v>74</v>
      </c>
      <c r="M248" t="s">
        <v>78</v>
      </c>
      <c r="N248" t="s">
        <v>810</v>
      </c>
      <c r="O248" t="s">
        <v>74</v>
      </c>
      <c r="P248" t="s">
        <v>74</v>
      </c>
      <c r="Q248" t="s">
        <v>74</v>
      </c>
      <c r="R248" t="s">
        <v>74</v>
      </c>
      <c r="S248" t="s">
        <v>74</v>
      </c>
      <c r="T248" t="s">
        <v>4712</v>
      </c>
      <c r="U248" t="s">
        <v>4713</v>
      </c>
      <c r="V248" t="s">
        <v>4714</v>
      </c>
      <c r="W248" t="s">
        <v>4715</v>
      </c>
      <c r="X248" t="s">
        <v>4716</v>
      </c>
      <c r="Y248" t="s">
        <v>4717</v>
      </c>
      <c r="Z248" t="s">
        <v>4718</v>
      </c>
      <c r="AA248" t="s">
        <v>74</v>
      </c>
      <c r="AB248" t="s">
        <v>74</v>
      </c>
      <c r="AC248" t="s">
        <v>74</v>
      </c>
      <c r="AD248" t="s">
        <v>74</v>
      </c>
      <c r="AE248" t="s">
        <v>74</v>
      </c>
      <c r="AF248" t="s">
        <v>74</v>
      </c>
      <c r="AG248">
        <v>158</v>
      </c>
      <c r="AH248">
        <v>93</v>
      </c>
      <c r="AI248">
        <v>101</v>
      </c>
      <c r="AJ248">
        <v>4</v>
      </c>
      <c r="AK248">
        <v>82</v>
      </c>
      <c r="AL248" t="s">
        <v>1008</v>
      </c>
      <c r="AM248" t="s">
        <v>1009</v>
      </c>
      <c r="AN248" t="s">
        <v>1010</v>
      </c>
      <c r="AO248" t="s">
        <v>4444</v>
      </c>
      <c r="AP248" t="s">
        <v>4445</v>
      </c>
      <c r="AQ248" t="s">
        <v>74</v>
      </c>
      <c r="AR248" t="s">
        <v>4446</v>
      </c>
      <c r="AS248" t="s">
        <v>4447</v>
      </c>
      <c r="AT248" t="s">
        <v>74</v>
      </c>
      <c r="AU248">
        <v>2012</v>
      </c>
      <c r="AV248">
        <v>454</v>
      </c>
      <c r="AW248" t="s">
        <v>74</v>
      </c>
      <c r="AX248" t="s">
        <v>74</v>
      </c>
      <c r="AY248" t="s">
        <v>74</v>
      </c>
      <c r="AZ248" t="s">
        <v>74</v>
      </c>
      <c r="BA248" t="s">
        <v>74</v>
      </c>
      <c r="BB248">
        <v>107</v>
      </c>
      <c r="BC248" t="s">
        <v>1503</v>
      </c>
      <c r="BD248" t="s">
        <v>74</v>
      </c>
      <c r="BE248" t="s">
        <v>4719</v>
      </c>
      <c r="BF248" t="str">
        <f>HYPERLINK("http://dx.doi.org/10.3354/meps09806","http://dx.doi.org/10.3354/meps09806")</f>
        <v>http://dx.doi.org/10.3354/meps09806</v>
      </c>
      <c r="BG248" t="s">
        <v>74</v>
      </c>
      <c r="BH248" t="s">
        <v>74</v>
      </c>
      <c r="BI248">
        <v>18</v>
      </c>
      <c r="BJ248" t="s">
        <v>4365</v>
      </c>
      <c r="BK248" t="s">
        <v>100</v>
      </c>
      <c r="BL248" t="s">
        <v>4366</v>
      </c>
      <c r="BM248" t="s">
        <v>4690</v>
      </c>
      <c r="BN248" t="s">
        <v>74</v>
      </c>
      <c r="BO248" t="s">
        <v>365</v>
      </c>
      <c r="BP248" t="s">
        <v>74</v>
      </c>
      <c r="BQ248" t="s">
        <v>74</v>
      </c>
      <c r="BR248" t="s">
        <v>102</v>
      </c>
      <c r="BS248" t="s">
        <v>4720</v>
      </c>
      <c r="BT248" t="str">
        <f>HYPERLINK("https%3A%2F%2Fwww.webofscience.com%2Fwos%2Fwoscc%2Ffull-record%2FWOS:000304605500009","View Full Record in Web of Science")</f>
        <v>View Full Record in Web of Science</v>
      </c>
    </row>
    <row r="249" spans="1:72" x14ac:dyDescent="0.15">
      <c r="A249" t="s">
        <v>72</v>
      </c>
      <c r="B249" t="s">
        <v>4721</v>
      </c>
      <c r="C249" t="s">
        <v>74</v>
      </c>
      <c r="D249" t="s">
        <v>74</v>
      </c>
      <c r="E249" t="s">
        <v>74</v>
      </c>
      <c r="F249" t="s">
        <v>4722</v>
      </c>
      <c r="G249" t="s">
        <v>74</v>
      </c>
      <c r="H249" t="s">
        <v>74</v>
      </c>
      <c r="I249" t="s">
        <v>4723</v>
      </c>
      <c r="J249" t="s">
        <v>4434</v>
      </c>
      <c r="K249" t="s">
        <v>74</v>
      </c>
      <c r="L249" t="s">
        <v>74</v>
      </c>
      <c r="M249" t="s">
        <v>78</v>
      </c>
      <c r="N249" t="s">
        <v>1513</v>
      </c>
      <c r="O249" t="s">
        <v>74</v>
      </c>
      <c r="P249" t="s">
        <v>74</v>
      </c>
      <c r="Q249" t="s">
        <v>74</v>
      </c>
      <c r="R249" t="s">
        <v>74</v>
      </c>
      <c r="S249" t="s">
        <v>74</v>
      </c>
      <c r="T249" t="s">
        <v>4724</v>
      </c>
      <c r="U249" t="s">
        <v>4725</v>
      </c>
      <c r="V249" t="s">
        <v>4726</v>
      </c>
      <c r="W249" t="s">
        <v>4727</v>
      </c>
      <c r="X249" t="s">
        <v>4728</v>
      </c>
      <c r="Y249" t="s">
        <v>4729</v>
      </c>
      <c r="Z249" t="s">
        <v>4730</v>
      </c>
      <c r="AA249" t="s">
        <v>4731</v>
      </c>
      <c r="AB249" t="s">
        <v>4732</v>
      </c>
      <c r="AC249" t="s">
        <v>4733</v>
      </c>
      <c r="AD249" t="s">
        <v>4734</v>
      </c>
      <c r="AE249" t="s">
        <v>4735</v>
      </c>
      <c r="AF249" t="s">
        <v>74</v>
      </c>
      <c r="AG249">
        <v>240</v>
      </c>
      <c r="AH249">
        <v>122</v>
      </c>
      <c r="AI249">
        <v>128</v>
      </c>
      <c r="AJ249">
        <v>4</v>
      </c>
      <c r="AK249">
        <v>159</v>
      </c>
      <c r="AL249" t="s">
        <v>1008</v>
      </c>
      <c r="AM249" t="s">
        <v>1009</v>
      </c>
      <c r="AN249" t="s">
        <v>1010</v>
      </c>
      <c r="AO249" t="s">
        <v>4444</v>
      </c>
      <c r="AP249" t="s">
        <v>4445</v>
      </c>
      <c r="AQ249" t="s">
        <v>74</v>
      </c>
      <c r="AR249" t="s">
        <v>4446</v>
      </c>
      <c r="AS249" t="s">
        <v>4447</v>
      </c>
      <c r="AT249" t="s">
        <v>74</v>
      </c>
      <c r="AU249">
        <v>2012</v>
      </c>
      <c r="AV249">
        <v>454</v>
      </c>
      <c r="AW249" t="s">
        <v>74</v>
      </c>
      <c r="AX249" t="s">
        <v>74</v>
      </c>
      <c r="AY249" t="s">
        <v>74</v>
      </c>
      <c r="AZ249" t="s">
        <v>74</v>
      </c>
      <c r="BA249" t="s">
        <v>74</v>
      </c>
      <c r="BB249">
        <v>285</v>
      </c>
      <c r="BC249">
        <v>307</v>
      </c>
      <c r="BD249" t="s">
        <v>74</v>
      </c>
      <c r="BE249" t="s">
        <v>4736</v>
      </c>
      <c r="BF249" t="str">
        <f>HYPERLINK("http://dx.doi.org/10.3354/meps09616","http://dx.doi.org/10.3354/meps09616")</f>
        <v>http://dx.doi.org/10.3354/meps09616</v>
      </c>
      <c r="BG249" t="s">
        <v>74</v>
      </c>
      <c r="BH249" t="s">
        <v>74</v>
      </c>
      <c r="BI249">
        <v>23</v>
      </c>
      <c r="BJ249" t="s">
        <v>4365</v>
      </c>
      <c r="BK249" t="s">
        <v>100</v>
      </c>
      <c r="BL249" t="s">
        <v>4366</v>
      </c>
      <c r="BM249" t="s">
        <v>4690</v>
      </c>
      <c r="BN249" t="s">
        <v>74</v>
      </c>
      <c r="BO249" t="s">
        <v>3786</v>
      </c>
      <c r="BP249" t="s">
        <v>74</v>
      </c>
      <c r="BQ249" t="s">
        <v>74</v>
      </c>
      <c r="BR249" t="s">
        <v>102</v>
      </c>
      <c r="BS249" t="s">
        <v>4737</v>
      </c>
      <c r="BT249" t="str">
        <f>HYPERLINK("https%3A%2F%2Fwww.webofscience.com%2Fwos%2Fwoscc%2Ffull-record%2FWOS:000304605500023","View Full Record in Web of Science")</f>
        <v>View Full Record in Web of Science</v>
      </c>
    </row>
    <row r="250" spans="1:72" x14ac:dyDescent="0.15">
      <c r="A250" t="s">
        <v>72</v>
      </c>
      <c r="B250" t="s">
        <v>4738</v>
      </c>
      <c r="C250" t="s">
        <v>74</v>
      </c>
      <c r="D250" t="s">
        <v>74</v>
      </c>
      <c r="E250" t="s">
        <v>74</v>
      </c>
      <c r="F250" t="s">
        <v>4739</v>
      </c>
      <c r="G250" t="s">
        <v>74</v>
      </c>
      <c r="H250" t="s">
        <v>74</v>
      </c>
      <c r="I250" t="s">
        <v>4740</v>
      </c>
      <c r="J250" t="s">
        <v>4434</v>
      </c>
      <c r="K250" t="s">
        <v>74</v>
      </c>
      <c r="L250" t="s">
        <v>74</v>
      </c>
      <c r="M250" t="s">
        <v>78</v>
      </c>
      <c r="N250" t="s">
        <v>79</v>
      </c>
      <c r="O250" t="s">
        <v>74</v>
      </c>
      <c r="P250" t="s">
        <v>74</v>
      </c>
      <c r="Q250" t="s">
        <v>74</v>
      </c>
      <c r="R250" t="s">
        <v>74</v>
      </c>
      <c r="S250" t="s">
        <v>74</v>
      </c>
      <c r="T250" t="s">
        <v>4741</v>
      </c>
      <c r="U250" t="s">
        <v>4742</v>
      </c>
      <c r="V250" t="s">
        <v>4743</v>
      </c>
      <c r="W250" t="s">
        <v>4744</v>
      </c>
      <c r="X250" t="s">
        <v>4745</v>
      </c>
      <c r="Y250" t="s">
        <v>4746</v>
      </c>
      <c r="Z250" t="s">
        <v>1027</v>
      </c>
      <c r="AA250" t="s">
        <v>74</v>
      </c>
      <c r="AB250" t="s">
        <v>4747</v>
      </c>
      <c r="AC250" t="s">
        <v>4748</v>
      </c>
      <c r="AD250" t="s">
        <v>1029</v>
      </c>
      <c r="AE250" t="s">
        <v>4749</v>
      </c>
      <c r="AF250" t="s">
        <v>74</v>
      </c>
      <c r="AG250">
        <v>158</v>
      </c>
      <c r="AH250">
        <v>18</v>
      </c>
      <c r="AI250">
        <v>22</v>
      </c>
      <c r="AJ250">
        <v>2</v>
      </c>
      <c r="AK250">
        <v>53</v>
      </c>
      <c r="AL250" t="s">
        <v>1008</v>
      </c>
      <c r="AM250" t="s">
        <v>1009</v>
      </c>
      <c r="AN250" t="s">
        <v>1010</v>
      </c>
      <c r="AO250" t="s">
        <v>4444</v>
      </c>
      <c r="AP250" t="s">
        <v>4445</v>
      </c>
      <c r="AQ250" t="s">
        <v>74</v>
      </c>
      <c r="AR250" t="s">
        <v>4446</v>
      </c>
      <c r="AS250" t="s">
        <v>4447</v>
      </c>
      <c r="AT250" t="s">
        <v>74</v>
      </c>
      <c r="AU250">
        <v>2012</v>
      </c>
      <c r="AV250">
        <v>451</v>
      </c>
      <c r="AW250" t="s">
        <v>74</v>
      </c>
      <c r="AX250" t="s">
        <v>74</v>
      </c>
      <c r="AY250" t="s">
        <v>74</v>
      </c>
      <c r="AZ250" t="s">
        <v>74</v>
      </c>
      <c r="BA250" t="s">
        <v>74</v>
      </c>
      <c r="BB250">
        <v>231</v>
      </c>
      <c r="BC250">
        <v>243</v>
      </c>
      <c r="BD250" t="s">
        <v>74</v>
      </c>
      <c r="BE250" t="s">
        <v>4750</v>
      </c>
      <c r="BF250" t="str">
        <f>HYPERLINK("http://dx.doi.org/10.3354/meps09524","http://dx.doi.org/10.3354/meps09524")</f>
        <v>http://dx.doi.org/10.3354/meps09524</v>
      </c>
      <c r="BG250" t="s">
        <v>74</v>
      </c>
      <c r="BH250" t="s">
        <v>74</v>
      </c>
      <c r="BI250">
        <v>13</v>
      </c>
      <c r="BJ250" t="s">
        <v>4365</v>
      </c>
      <c r="BK250" t="s">
        <v>100</v>
      </c>
      <c r="BL250" t="s">
        <v>4366</v>
      </c>
      <c r="BM250" t="s">
        <v>4751</v>
      </c>
      <c r="BN250" t="s">
        <v>74</v>
      </c>
      <c r="BO250" t="s">
        <v>365</v>
      </c>
      <c r="BP250" t="s">
        <v>74</v>
      </c>
      <c r="BQ250" t="s">
        <v>74</v>
      </c>
      <c r="BR250" t="s">
        <v>102</v>
      </c>
      <c r="BS250" t="s">
        <v>4752</v>
      </c>
      <c r="BT250" t="str">
        <f>HYPERLINK("https%3A%2F%2Fwww.webofscience.com%2Fwos%2Fwoscc%2Ffull-record%2FWOS:000303908000018","View Full Record in Web of Science")</f>
        <v>View Full Record in Web of Science</v>
      </c>
    </row>
    <row r="251" spans="1:72" x14ac:dyDescent="0.15">
      <c r="A251" t="s">
        <v>72</v>
      </c>
      <c r="B251" t="s">
        <v>4753</v>
      </c>
      <c r="C251" t="s">
        <v>74</v>
      </c>
      <c r="D251" t="s">
        <v>74</v>
      </c>
      <c r="E251" t="s">
        <v>74</v>
      </c>
      <c r="F251" t="s">
        <v>4754</v>
      </c>
      <c r="G251" t="s">
        <v>74</v>
      </c>
      <c r="H251" t="s">
        <v>74</v>
      </c>
      <c r="I251" t="s">
        <v>4755</v>
      </c>
      <c r="J251" t="s">
        <v>4434</v>
      </c>
      <c r="K251" t="s">
        <v>74</v>
      </c>
      <c r="L251" t="s">
        <v>74</v>
      </c>
      <c r="M251" t="s">
        <v>78</v>
      </c>
      <c r="N251" t="s">
        <v>79</v>
      </c>
      <c r="O251" t="s">
        <v>74</v>
      </c>
      <c r="P251" t="s">
        <v>74</v>
      </c>
      <c r="Q251" t="s">
        <v>74</v>
      </c>
      <c r="R251" t="s">
        <v>74</v>
      </c>
      <c r="S251" t="s">
        <v>74</v>
      </c>
      <c r="T251" t="s">
        <v>4756</v>
      </c>
      <c r="U251" t="s">
        <v>4757</v>
      </c>
      <c r="V251" t="s">
        <v>4758</v>
      </c>
      <c r="W251" t="s">
        <v>4759</v>
      </c>
      <c r="X251" t="s">
        <v>4760</v>
      </c>
      <c r="Y251" t="s">
        <v>4761</v>
      </c>
      <c r="Z251" t="s">
        <v>4762</v>
      </c>
      <c r="AA251" t="s">
        <v>4763</v>
      </c>
      <c r="AB251" t="s">
        <v>4764</v>
      </c>
      <c r="AC251" t="s">
        <v>4765</v>
      </c>
      <c r="AD251" t="s">
        <v>4766</v>
      </c>
      <c r="AE251" t="s">
        <v>4767</v>
      </c>
      <c r="AF251" t="s">
        <v>74</v>
      </c>
      <c r="AG251">
        <v>64</v>
      </c>
      <c r="AH251">
        <v>30</v>
      </c>
      <c r="AI251">
        <v>31</v>
      </c>
      <c r="AJ251">
        <v>0</v>
      </c>
      <c r="AK251">
        <v>48</v>
      </c>
      <c r="AL251" t="s">
        <v>1008</v>
      </c>
      <c r="AM251" t="s">
        <v>1009</v>
      </c>
      <c r="AN251" t="s">
        <v>1010</v>
      </c>
      <c r="AO251" t="s">
        <v>4444</v>
      </c>
      <c r="AP251" t="s">
        <v>4445</v>
      </c>
      <c r="AQ251" t="s">
        <v>74</v>
      </c>
      <c r="AR251" t="s">
        <v>4446</v>
      </c>
      <c r="AS251" t="s">
        <v>4447</v>
      </c>
      <c r="AT251" t="s">
        <v>74</v>
      </c>
      <c r="AU251">
        <v>2012</v>
      </c>
      <c r="AV251">
        <v>450</v>
      </c>
      <c r="AW251" t="s">
        <v>74</v>
      </c>
      <c r="AX251" t="s">
        <v>74</v>
      </c>
      <c r="AY251" t="s">
        <v>74</v>
      </c>
      <c r="AZ251" t="s">
        <v>74</v>
      </c>
      <c r="BA251" t="s">
        <v>74</v>
      </c>
      <c r="BB251">
        <v>81</v>
      </c>
      <c r="BC251">
        <v>92</v>
      </c>
      <c r="BD251" t="s">
        <v>74</v>
      </c>
      <c r="BE251" t="s">
        <v>4768</v>
      </c>
      <c r="BF251" t="str">
        <f>HYPERLINK("http://dx.doi.org/10.3354/meps09577","http://dx.doi.org/10.3354/meps09577")</f>
        <v>http://dx.doi.org/10.3354/meps09577</v>
      </c>
      <c r="BG251" t="s">
        <v>74</v>
      </c>
      <c r="BH251" t="s">
        <v>74</v>
      </c>
      <c r="BI251">
        <v>12</v>
      </c>
      <c r="BJ251" t="s">
        <v>4365</v>
      </c>
      <c r="BK251" t="s">
        <v>100</v>
      </c>
      <c r="BL251" t="s">
        <v>4366</v>
      </c>
      <c r="BM251" t="s">
        <v>4769</v>
      </c>
      <c r="BN251" t="s">
        <v>74</v>
      </c>
      <c r="BO251" t="s">
        <v>4483</v>
      </c>
      <c r="BP251" t="s">
        <v>74</v>
      </c>
      <c r="BQ251" t="s">
        <v>74</v>
      </c>
      <c r="BR251" t="s">
        <v>102</v>
      </c>
      <c r="BS251" t="s">
        <v>4770</v>
      </c>
      <c r="BT251" t="str">
        <f>HYPERLINK("https%3A%2F%2Fwww.webofscience.com%2Fwos%2Fwoscc%2Ffull-record%2FWOS:000302066000006","View Full Record in Web of Science")</f>
        <v>View Full Record in Web of Science</v>
      </c>
    </row>
    <row r="252" spans="1:72" x14ac:dyDescent="0.15">
      <c r="A252" t="s">
        <v>72</v>
      </c>
      <c r="B252" t="s">
        <v>4771</v>
      </c>
      <c r="C252" t="s">
        <v>74</v>
      </c>
      <c r="D252" t="s">
        <v>74</v>
      </c>
      <c r="E252" t="s">
        <v>74</v>
      </c>
      <c r="F252" t="s">
        <v>4772</v>
      </c>
      <c r="G252" t="s">
        <v>74</v>
      </c>
      <c r="H252" t="s">
        <v>74</v>
      </c>
      <c r="I252" t="s">
        <v>4773</v>
      </c>
      <c r="J252" t="s">
        <v>4434</v>
      </c>
      <c r="K252" t="s">
        <v>74</v>
      </c>
      <c r="L252" t="s">
        <v>74</v>
      </c>
      <c r="M252" t="s">
        <v>78</v>
      </c>
      <c r="N252" t="s">
        <v>79</v>
      </c>
      <c r="O252" t="s">
        <v>74</v>
      </c>
      <c r="P252" t="s">
        <v>74</v>
      </c>
      <c r="Q252" t="s">
        <v>74</v>
      </c>
      <c r="R252" t="s">
        <v>74</v>
      </c>
      <c r="S252" t="s">
        <v>74</v>
      </c>
      <c r="T252" t="s">
        <v>4774</v>
      </c>
      <c r="U252" t="s">
        <v>4775</v>
      </c>
      <c r="V252" t="s">
        <v>4776</v>
      </c>
      <c r="W252" t="s">
        <v>4777</v>
      </c>
      <c r="X252" t="s">
        <v>4778</v>
      </c>
      <c r="Y252" t="s">
        <v>4779</v>
      </c>
      <c r="Z252" t="s">
        <v>4780</v>
      </c>
      <c r="AA252" t="s">
        <v>74</v>
      </c>
      <c r="AB252" t="s">
        <v>4781</v>
      </c>
      <c r="AC252" t="s">
        <v>4782</v>
      </c>
      <c r="AD252" t="s">
        <v>4783</v>
      </c>
      <c r="AE252" t="s">
        <v>4784</v>
      </c>
      <c r="AF252" t="s">
        <v>74</v>
      </c>
      <c r="AG252">
        <v>65</v>
      </c>
      <c r="AH252">
        <v>91</v>
      </c>
      <c r="AI252">
        <v>100</v>
      </c>
      <c r="AJ252">
        <v>0</v>
      </c>
      <c r="AK252">
        <v>58</v>
      </c>
      <c r="AL252" t="s">
        <v>1008</v>
      </c>
      <c r="AM252" t="s">
        <v>1009</v>
      </c>
      <c r="AN252" t="s">
        <v>1010</v>
      </c>
      <c r="AO252" t="s">
        <v>4444</v>
      </c>
      <c r="AP252" t="s">
        <v>4445</v>
      </c>
      <c r="AQ252" t="s">
        <v>74</v>
      </c>
      <c r="AR252" t="s">
        <v>4446</v>
      </c>
      <c r="AS252" t="s">
        <v>4447</v>
      </c>
      <c r="AT252" t="s">
        <v>74</v>
      </c>
      <c r="AU252">
        <v>2012</v>
      </c>
      <c r="AV252">
        <v>449</v>
      </c>
      <c r="AW252" t="s">
        <v>74</v>
      </c>
      <c r="AX252" t="s">
        <v>74</v>
      </c>
      <c r="AY252" t="s">
        <v>74</v>
      </c>
      <c r="AZ252" t="s">
        <v>74</v>
      </c>
      <c r="BA252" t="s">
        <v>74</v>
      </c>
      <c r="BB252">
        <v>277</v>
      </c>
      <c r="BC252">
        <v>290</v>
      </c>
      <c r="BD252" t="s">
        <v>74</v>
      </c>
      <c r="BE252" t="s">
        <v>4785</v>
      </c>
      <c r="BF252" t="str">
        <f>HYPERLINK("http://dx.doi.org/10.3354/meps09538","http://dx.doi.org/10.3354/meps09538")</f>
        <v>http://dx.doi.org/10.3354/meps09538</v>
      </c>
      <c r="BG252" t="s">
        <v>74</v>
      </c>
      <c r="BH252" t="s">
        <v>74</v>
      </c>
      <c r="BI252">
        <v>14</v>
      </c>
      <c r="BJ252" t="s">
        <v>4365</v>
      </c>
      <c r="BK252" t="s">
        <v>100</v>
      </c>
      <c r="BL252" t="s">
        <v>4366</v>
      </c>
      <c r="BM252" t="s">
        <v>4786</v>
      </c>
      <c r="BN252" t="s">
        <v>74</v>
      </c>
      <c r="BO252" t="s">
        <v>2679</v>
      </c>
      <c r="BP252" t="s">
        <v>74</v>
      </c>
      <c r="BQ252" t="s">
        <v>74</v>
      </c>
      <c r="BR252" t="s">
        <v>102</v>
      </c>
      <c r="BS252" t="s">
        <v>4787</v>
      </c>
      <c r="BT252" t="str">
        <f>HYPERLINK("https%3A%2F%2Fwww.webofscience.com%2Fwos%2Fwoscc%2Ffull-record%2FWOS:000301231500022","View Full Record in Web of Science")</f>
        <v>View Full Record in Web of Science</v>
      </c>
    </row>
    <row r="253" spans="1:72" x14ac:dyDescent="0.15">
      <c r="A253" t="s">
        <v>517</v>
      </c>
      <c r="B253" t="s">
        <v>4788</v>
      </c>
      <c r="C253" t="s">
        <v>74</v>
      </c>
      <c r="D253" t="s">
        <v>4789</v>
      </c>
      <c r="E253" t="s">
        <v>74</v>
      </c>
      <c r="F253" t="s">
        <v>4790</v>
      </c>
      <c r="G253" t="s">
        <v>74</v>
      </c>
      <c r="H253" t="s">
        <v>74</v>
      </c>
      <c r="I253" t="s">
        <v>4791</v>
      </c>
      <c r="J253" t="s">
        <v>4792</v>
      </c>
      <c r="K253" t="s">
        <v>74</v>
      </c>
      <c r="L253" t="s">
        <v>74</v>
      </c>
      <c r="M253" t="s">
        <v>78</v>
      </c>
      <c r="N253" t="s">
        <v>523</v>
      </c>
      <c r="O253" t="s">
        <v>74</v>
      </c>
      <c r="P253" t="s">
        <v>74</v>
      </c>
      <c r="Q253" t="s">
        <v>74</v>
      </c>
      <c r="R253" t="s">
        <v>74</v>
      </c>
      <c r="S253" t="s">
        <v>74</v>
      </c>
      <c r="T253" t="s">
        <v>74</v>
      </c>
      <c r="U253" t="s">
        <v>4793</v>
      </c>
      <c r="V253" t="s">
        <v>74</v>
      </c>
      <c r="W253" t="s">
        <v>4794</v>
      </c>
      <c r="X253" t="s">
        <v>4795</v>
      </c>
      <c r="Y253" t="s">
        <v>4796</v>
      </c>
      <c r="Z253" t="s">
        <v>74</v>
      </c>
      <c r="AA253" t="s">
        <v>4797</v>
      </c>
      <c r="AB253" t="s">
        <v>4798</v>
      </c>
      <c r="AC253" t="s">
        <v>74</v>
      </c>
      <c r="AD253" t="s">
        <v>74</v>
      </c>
      <c r="AE253" t="s">
        <v>74</v>
      </c>
      <c r="AF253" t="s">
        <v>74</v>
      </c>
      <c r="AG253">
        <v>71</v>
      </c>
      <c r="AH253">
        <v>10</v>
      </c>
      <c r="AI253">
        <v>12</v>
      </c>
      <c r="AJ253">
        <v>0</v>
      </c>
      <c r="AK253">
        <v>0</v>
      </c>
      <c r="AL253" t="s">
        <v>3005</v>
      </c>
      <c r="AM253" t="s">
        <v>3006</v>
      </c>
      <c r="AN253" t="s">
        <v>3007</v>
      </c>
      <c r="AO253" t="s">
        <v>74</v>
      </c>
      <c r="AP253" t="s">
        <v>74</v>
      </c>
      <c r="AQ253" t="s">
        <v>4799</v>
      </c>
      <c r="AR253" t="s">
        <v>74</v>
      </c>
      <c r="AS253" t="s">
        <v>74</v>
      </c>
      <c r="AT253" t="s">
        <v>74</v>
      </c>
      <c r="AU253">
        <v>2012</v>
      </c>
      <c r="AV253" t="s">
        <v>74</v>
      </c>
      <c r="AW253" t="s">
        <v>74</v>
      </c>
      <c r="AX253" t="s">
        <v>74</v>
      </c>
      <c r="AY253" t="s">
        <v>74</v>
      </c>
      <c r="AZ253" t="s">
        <v>74</v>
      </c>
      <c r="BA253" t="s">
        <v>74</v>
      </c>
      <c r="BB253">
        <v>61</v>
      </c>
      <c r="BC253">
        <v>76</v>
      </c>
      <c r="BD253" t="s">
        <v>74</v>
      </c>
      <c r="BE253" t="s">
        <v>74</v>
      </c>
      <c r="BF253" t="s">
        <v>74</v>
      </c>
      <c r="BG253" t="s">
        <v>4800</v>
      </c>
      <c r="BH253" t="s">
        <v>74</v>
      </c>
      <c r="BI253">
        <v>16</v>
      </c>
      <c r="BJ253" t="s">
        <v>4394</v>
      </c>
      <c r="BK253" t="s">
        <v>534</v>
      </c>
      <c r="BL253" t="s">
        <v>4395</v>
      </c>
      <c r="BM253" t="s">
        <v>4801</v>
      </c>
      <c r="BN253" t="s">
        <v>74</v>
      </c>
      <c r="BO253" t="s">
        <v>74</v>
      </c>
      <c r="BP253" t="s">
        <v>74</v>
      </c>
      <c r="BQ253" t="s">
        <v>74</v>
      </c>
      <c r="BR253" t="s">
        <v>102</v>
      </c>
      <c r="BS253" t="s">
        <v>4802</v>
      </c>
      <c r="BT253" t="str">
        <f>HYPERLINK("https%3A%2F%2Fwww.webofscience.com%2Fwos%2Fwoscc%2Ffull-record%2FWOS:000387290900004","View Full Record in Web of Science")</f>
        <v>View Full Record in Web of Science</v>
      </c>
    </row>
    <row r="254" spans="1:72" x14ac:dyDescent="0.15">
      <c r="A254" t="s">
        <v>517</v>
      </c>
      <c r="B254" t="s">
        <v>4803</v>
      </c>
      <c r="C254" t="s">
        <v>74</v>
      </c>
      <c r="D254" t="s">
        <v>4789</v>
      </c>
      <c r="E254" t="s">
        <v>74</v>
      </c>
      <c r="F254" t="s">
        <v>4804</v>
      </c>
      <c r="G254" t="s">
        <v>74</v>
      </c>
      <c r="H254" t="s">
        <v>74</v>
      </c>
      <c r="I254" t="s">
        <v>4805</v>
      </c>
      <c r="J254" t="s">
        <v>4792</v>
      </c>
      <c r="K254" t="s">
        <v>74</v>
      </c>
      <c r="L254" t="s">
        <v>74</v>
      </c>
      <c r="M254" t="s">
        <v>78</v>
      </c>
      <c r="N254" t="s">
        <v>523</v>
      </c>
      <c r="O254" t="s">
        <v>74</v>
      </c>
      <c r="P254" t="s">
        <v>74</v>
      </c>
      <c r="Q254" t="s">
        <v>74</v>
      </c>
      <c r="R254" t="s">
        <v>74</v>
      </c>
      <c r="S254" t="s">
        <v>74</v>
      </c>
      <c r="T254" t="s">
        <v>74</v>
      </c>
      <c r="U254" t="s">
        <v>4806</v>
      </c>
      <c r="V254" t="s">
        <v>74</v>
      </c>
      <c r="W254" t="s">
        <v>4807</v>
      </c>
      <c r="X254" t="s">
        <v>4808</v>
      </c>
      <c r="Y254" t="s">
        <v>4809</v>
      </c>
      <c r="Z254" t="s">
        <v>74</v>
      </c>
      <c r="AA254" t="s">
        <v>4810</v>
      </c>
      <c r="AB254" t="s">
        <v>4811</v>
      </c>
      <c r="AC254" t="s">
        <v>74</v>
      </c>
      <c r="AD254" t="s">
        <v>74</v>
      </c>
      <c r="AE254" t="s">
        <v>74</v>
      </c>
      <c r="AF254" t="s">
        <v>74</v>
      </c>
      <c r="AG254">
        <v>68</v>
      </c>
      <c r="AH254">
        <v>9</v>
      </c>
      <c r="AI254">
        <v>10</v>
      </c>
      <c r="AJ254">
        <v>0</v>
      </c>
      <c r="AK254">
        <v>4</v>
      </c>
      <c r="AL254" t="s">
        <v>3005</v>
      </c>
      <c r="AM254" t="s">
        <v>3006</v>
      </c>
      <c r="AN254" t="s">
        <v>3007</v>
      </c>
      <c r="AO254" t="s">
        <v>74</v>
      </c>
      <c r="AP254" t="s">
        <v>74</v>
      </c>
      <c r="AQ254" t="s">
        <v>4799</v>
      </c>
      <c r="AR254" t="s">
        <v>74</v>
      </c>
      <c r="AS254" t="s">
        <v>74</v>
      </c>
      <c r="AT254" t="s">
        <v>74</v>
      </c>
      <c r="AU254">
        <v>2012</v>
      </c>
      <c r="AV254" t="s">
        <v>74</v>
      </c>
      <c r="AW254" t="s">
        <v>74</v>
      </c>
      <c r="AX254" t="s">
        <v>74</v>
      </c>
      <c r="AY254" t="s">
        <v>74</v>
      </c>
      <c r="AZ254" t="s">
        <v>74</v>
      </c>
      <c r="BA254" t="s">
        <v>74</v>
      </c>
      <c r="BB254">
        <v>105</v>
      </c>
      <c r="BC254">
        <v>126</v>
      </c>
      <c r="BD254" t="s">
        <v>74</v>
      </c>
      <c r="BE254" t="s">
        <v>74</v>
      </c>
      <c r="BF254" t="s">
        <v>74</v>
      </c>
      <c r="BG254" t="s">
        <v>4800</v>
      </c>
      <c r="BH254" t="s">
        <v>74</v>
      </c>
      <c r="BI254">
        <v>22</v>
      </c>
      <c r="BJ254" t="s">
        <v>4394</v>
      </c>
      <c r="BK254" t="s">
        <v>534</v>
      </c>
      <c r="BL254" t="s">
        <v>4395</v>
      </c>
      <c r="BM254" t="s">
        <v>4801</v>
      </c>
      <c r="BN254" t="s">
        <v>74</v>
      </c>
      <c r="BO254" t="s">
        <v>74</v>
      </c>
      <c r="BP254" t="s">
        <v>74</v>
      </c>
      <c r="BQ254" t="s">
        <v>74</v>
      </c>
      <c r="BR254" t="s">
        <v>102</v>
      </c>
      <c r="BS254" t="s">
        <v>4812</v>
      </c>
      <c r="BT254" t="str">
        <f>HYPERLINK("https%3A%2F%2Fwww.webofscience.com%2Fwos%2Fwoscc%2Ffull-record%2FWOS:000387290900006","View Full Record in Web of Science")</f>
        <v>View Full Record in Web of Science</v>
      </c>
    </row>
    <row r="255" spans="1:72" x14ac:dyDescent="0.15">
      <c r="A255" t="s">
        <v>72</v>
      </c>
      <c r="B255" t="s">
        <v>4813</v>
      </c>
      <c r="C255" t="s">
        <v>74</v>
      </c>
      <c r="D255" t="s">
        <v>74</v>
      </c>
      <c r="E255" t="s">
        <v>74</v>
      </c>
      <c r="F255" t="s">
        <v>4814</v>
      </c>
      <c r="G255" t="s">
        <v>74</v>
      </c>
      <c r="H255" t="s">
        <v>74</v>
      </c>
      <c r="I255" t="s">
        <v>4815</v>
      </c>
      <c r="J255" t="s">
        <v>4816</v>
      </c>
      <c r="K255" t="s">
        <v>74</v>
      </c>
      <c r="L255" t="s">
        <v>74</v>
      </c>
      <c r="M255" t="s">
        <v>78</v>
      </c>
      <c r="N255" t="s">
        <v>79</v>
      </c>
      <c r="O255" t="s">
        <v>74</v>
      </c>
      <c r="P255" t="s">
        <v>74</v>
      </c>
      <c r="Q255" t="s">
        <v>74</v>
      </c>
      <c r="R255" t="s">
        <v>74</v>
      </c>
      <c r="S255" t="s">
        <v>74</v>
      </c>
      <c r="T255" t="s">
        <v>4817</v>
      </c>
      <c r="U255" t="s">
        <v>4818</v>
      </c>
      <c r="V255" t="s">
        <v>4819</v>
      </c>
      <c r="W255" t="s">
        <v>4820</v>
      </c>
      <c r="X255" t="s">
        <v>3573</v>
      </c>
      <c r="Y255" t="s">
        <v>4821</v>
      </c>
      <c r="Z255" t="s">
        <v>4822</v>
      </c>
      <c r="AA255" t="s">
        <v>74</v>
      </c>
      <c r="AB255" t="s">
        <v>74</v>
      </c>
      <c r="AC255" t="s">
        <v>4823</v>
      </c>
      <c r="AD255" t="s">
        <v>4824</v>
      </c>
      <c r="AE255" t="s">
        <v>4825</v>
      </c>
      <c r="AF255" t="s">
        <v>74</v>
      </c>
      <c r="AG255">
        <v>53</v>
      </c>
      <c r="AH255">
        <v>109</v>
      </c>
      <c r="AI255">
        <v>118</v>
      </c>
      <c r="AJ255">
        <v>31</v>
      </c>
      <c r="AK255">
        <v>449</v>
      </c>
      <c r="AL255" t="s">
        <v>2832</v>
      </c>
      <c r="AM255" t="s">
        <v>796</v>
      </c>
      <c r="AN255" t="s">
        <v>797</v>
      </c>
      <c r="AO255" t="s">
        <v>4826</v>
      </c>
      <c r="AP255" t="s">
        <v>4827</v>
      </c>
      <c r="AQ255" t="s">
        <v>74</v>
      </c>
      <c r="AR255" t="s">
        <v>4828</v>
      </c>
      <c r="AS255" t="s">
        <v>4829</v>
      </c>
      <c r="AT255" t="s">
        <v>97</v>
      </c>
      <c r="AU255">
        <v>2012</v>
      </c>
      <c r="AV255">
        <v>28</v>
      </c>
      <c r="AW255">
        <v>1</v>
      </c>
      <c r="AX255" t="s">
        <v>74</v>
      </c>
      <c r="AY255" t="s">
        <v>74</v>
      </c>
      <c r="AZ255" t="s">
        <v>74</v>
      </c>
      <c r="BA255" t="s">
        <v>74</v>
      </c>
      <c r="BB255">
        <v>16</v>
      </c>
      <c r="BC255">
        <v>36</v>
      </c>
      <c r="BD255" t="s">
        <v>74</v>
      </c>
      <c r="BE255" t="s">
        <v>4830</v>
      </c>
      <c r="BF255" t="str">
        <f>HYPERLINK("http://dx.doi.org/10.1111/j.1748-7692.2010.00453.x","http://dx.doi.org/10.1111/j.1748-7692.2010.00453.x")</f>
        <v>http://dx.doi.org/10.1111/j.1748-7692.2010.00453.x</v>
      </c>
      <c r="BG255" t="s">
        <v>74</v>
      </c>
      <c r="BH255" t="s">
        <v>74</v>
      </c>
      <c r="BI255">
        <v>21</v>
      </c>
      <c r="BJ255" t="s">
        <v>1038</v>
      </c>
      <c r="BK255" t="s">
        <v>100</v>
      </c>
      <c r="BL255" t="s">
        <v>1038</v>
      </c>
      <c r="BM255" t="s">
        <v>4831</v>
      </c>
      <c r="BN255" t="s">
        <v>74</v>
      </c>
      <c r="BO255" t="s">
        <v>74</v>
      </c>
      <c r="BP255" t="s">
        <v>74</v>
      </c>
      <c r="BQ255" t="s">
        <v>74</v>
      </c>
      <c r="BR255" t="s">
        <v>102</v>
      </c>
      <c r="BS255" t="s">
        <v>4832</v>
      </c>
      <c r="BT255" t="str">
        <f>HYPERLINK("https%3A%2F%2Fwww.webofscience.com%2Fwos%2Fwoscc%2Ffull-record%2FWOS:000298588300007","View Full Record in Web of Science")</f>
        <v>View Full Record in Web of Science</v>
      </c>
    </row>
    <row r="256" spans="1:72" x14ac:dyDescent="0.15">
      <c r="A256" t="s">
        <v>393</v>
      </c>
      <c r="B256" t="s">
        <v>4833</v>
      </c>
      <c r="C256" t="s">
        <v>74</v>
      </c>
      <c r="D256" t="s">
        <v>4834</v>
      </c>
      <c r="E256" t="s">
        <v>74</v>
      </c>
      <c r="F256" t="s">
        <v>4835</v>
      </c>
      <c r="G256" t="s">
        <v>74</v>
      </c>
      <c r="H256" t="s">
        <v>74</v>
      </c>
      <c r="I256" t="s">
        <v>4836</v>
      </c>
      <c r="J256" t="s">
        <v>4837</v>
      </c>
      <c r="K256" t="s">
        <v>74</v>
      </c>
      <c r="L256" t="s">
        <v>74</v>
      </c>
      <c r="M256" t="s">
        <v>78</v>
      </c>
      <c r="N256" t="s">
        <v>400</v>
      </c>
      <c r="O256" t="s">
        <v>4838</v>
      </c>
      <c r="P256" t="s">
        <v>4839</v>
      </c>
      <c r="Q256" t="s">
        <v>4840</v>
      </c>
      <c r="R256" t="s">
        <v>74</v>
      </c>
      <c r="S256" t="s">
        <v>74</v>
      </c>
      <c r="T256" t="s">
        <v>4841</v>
      </c>
      <c r="U256" t="s">
        <v>4842</v>
      </c>
      <c r="V256" t="s">
        <v>4843</v>
      </c>
      <c r="W256" t="s">
        <v>4844</v>
      </c>
      <c r="X256" t="s">
        <v>4845</v>
      </c>
      <c r="Y256" t="s">
        <v>4846</v>
      </c>
      <c r="Z256" t="s">
        <v>4847</v>
      </c>
      <c r="AA256" t="s">
        <v>4848</v>
      </c>
      <c r="AB256" t="s">
        <v>4849</v>
      </c>
      <c r="AC256" t="s">
        <v>4850</v>
      </c>
      <c r="AD256" t="s">
        <v>4851</v>
      </c>
      <c r="AE256" t="s">
        <v>4852</v>
      </c>
      <c r="AF256" t="s">
        <v>74</v>
      </c>
      <c r="AG256">
        <v>15</v>
      </c>
      <c r="AH256">
        <v>2</v>
      </c>
      <c r="AI256">
        <v>2</v>
      </c>
      <c r="AJ256">
        <v>0</v>
      </c>
      <c r="AK256">
        <v>7</v>
      </c>
      <c r="AL256" t="s">
        <v>616</v>
      </c>
      <c r="AM256" t="s">
        <v>617</v>
      </c>
      <c r="AN256" t="s">
        <v>618</v>
      </c>
      <c r="AO256" t="s">
        <v>74</v>
      </c>
      <c r="AP256" t="s">
        <v>74</v>
      </c>
      <c r="AQ256" t="s">
        <v>4853</v>
      </c>
      <c r="AR256" t="s">
        <v>74</v>
      </c>
      <c r="AS256" t="s">
        <v>74</v>
      </c>
      <c r="AT256" t="s">
        <v>74</v>
      </c>
      <c r="AU256">
        <v>2012</v>
      </c>
      <c r="AV256" t="s">
        <v>74</v>
      </c>
      <c r="AW256" t="s">
        <v>74</v>
      </c>
      <c r="AX256" t="s">
        <v>74</v>
      </c>
      <c r="AY256" t="s">
        <v>74</v>
      </c>
      <c r="AZ256" t="s">
        <v>74</v>
      </c>
      <c r="BA256" t="s">
        <v>74</v>
      </c>
      <c r="BB256">
        <v>131</v>
      </c>
      <c r="BC256">
        <v>134</v>
      </c>
      <c r="BD256" t="s">
        <v>74</v>
      </c>
      <c r="BE256" t="s">
        <v>74</v>
      </c>
      <c r="BF256" t="s">
        <v>74</v>
      </c>
      <c r="BG256" t="s">
        <v>74</v>
      </c>
      <c r="BH256" t="s">
        <v>74</v>
      </c>
      <c r="BI256">
        <v>4</v>
      </c>
      <c r="BJ256" t="s">
        <v>3089</v>
      </c>
      <c r="BK256" t="s">
        <v>419</v>
      </c>
      <c r="BL256" t="s">
        <v>3089</v>
      </c>
      <c r="BM256" t="s">
        <v>4854</v>
      </c>
      <c r="BN256" t="s">
        <v>74</v>
      </c>
      <c r="BO256" t="s">
        <v>74</v>
      </c>
      <c r="BP256" t="s">
        <v>74</v>
      </c>
      <c r="BQ256" t="s">
        <v>74</v>
      </c>
      <c r="BR256" t="s">
        <v>102</v>
      </c>
      <c r="BS256" t="s">
        <v>4855</v>
      </c>
      <c r="BT256" t="str">
        <f>HYPERLINK("https%3A%2F%2Fwww.webofscience.com%2Fwos%2Fwoscc%2Ffull-record%2FWOS:000339479900027","View Full Record in Web of Science")</f>
        <v>View Full Record in Web of Science</v>
      </c>
    </row>
    <row r="257" spans="1:72" x14ac:dyDescent="0.15">
      <c r="A257" t="s">
        <v>393</v>
      </c>
      <c r="B257" t="s">
        <v>4856</v>
      </c>
      <c r="C257" t="s">
        <v>74</v>
      </c>
      <c r="D257" t="s">
        <v>4834</v>
      </c>
      <c r="E257" t="s">
        <v>74</v>
      </c>
      <c r="F257" t="s">
        <v>4857</v>
      </c>
      <c r="G257" t="s">
        <v>74</v>
      </c>
      <c r="H257" t="s">
        <v>74</v>
      </c>
      <c r="I257" t="s">
        <v>4858</v>
      </c>
      <c r="J257" t="s">
        <v>4837</v>
      </c>
      <c r="K257" t="s">
        <v>74</v>
      </c>
      <c r="L257" t="s">
        <v>74</v>
      </c>
      <c r="M257" t="s">
        <v>78</v>
      </c>
      <c r="N257" t="s">
        <v>400</v>
      </c>
      <c r="O257" t="s">
        <v>4838</v>
      </c>
      <c r="P257" t="s">
        <v>4839</v>
      </c>
      <c r="Q257" t="s">
        <v>4840</v>
      </c>
      <c r="R257" t="s">
        <v>74</v>
      </c>
      <c r="S257" t="s">
        <v>74</v>
      </c>
      <c r="T257" t="s">
        <v>4859</v>
      </c>
      <c r="U257" t="s">
        <v>4860</v>
      </c>
      <c r="V257" t="s">
        <v>4861</v>
      </c>
      <c r="W257" t="s">
        <v>4862</v>
      </c>
      <c r="X257" t="s">
        <v>4863</v>
      </c>
      <c r="Y257" t="s">
        <v>4864</v>
      </c>
      <c r="Z257" t="s">
        <v>4865</v>
      </c>
      <c r="AA257" t="s">
        <v>4866</v>
      </c>
      <c r="AB257" t="s">
        <v>4867</v>
      </c>
      <c r="AC257" t="s">
        <v>4868</v>
      </c>
      <c r="AD257" t="s">
        <v>4869</v>
      </c>
      <c r="AE257" t="s">
        <v>4870</v>
      </c>
      <c r="AF257" t="s">
        <v>74</v>
      </c>
      <c r="AG257">
        <v>13</v>
      </c>
      <c r="AH257">
        <v>0</v>
      </c>
      <c r="AI257">
        <v>0</v>
      </c>
      <c r="AJ257">
        <v>0</v>
      </c>
      <c r="AK257">
        <v>1</v>
      </c>
      <c r="AL257" t="s">
        <v>616</v>
      </c>
      <c r="AM257" t="s">
        <v>617</v>
      </c>
      <c r="AN257" t="s">
        <v>618</v>
      </c>
      <c r="AO257" t="s">
        <v>74</v>
      </c>
      <c r="AP257" t="s">
        <v>74</v>
      </c>
      <c r="AQ257" t="s">
        <v>4853</v>
      </c>
      <c r="AR257" t="s">
        <v>74</v>
      </c>
      <c r="AS257" t="s">
        <v>74</v>
      </c>
      <c r="AT257" t="s">
        <v>74</v>
      </c>
      <c r="AU257">
        <v>2012</v>
      </c>
      <c r="AV257" t="s">
        <v>74</v>
      </c>
      <c r="AW257" t="s">
        <v>74</v>
      </c>
      <c r="AX257" t="s">
        <v>74</v>
      </c>
      <c r="AY257" t="s">
        <v>74</v>
      </c>
      <c r="AZ257" t="s">
        <v>74</v>
      </c>
      <c r="BA257" t="s">
        <v>74</v>
      </c>
      <c r="BB257">
        <v>423</v>
      </c>
      <c r="BC257">
        <v>426</v>
      </c>
      <c r="BD257" t="s">
        <v>74</v>
      </c>
      <c r="BE257" t="s">
        <v>74</v>
      </c>
      <c r="BF257" t="s">
        <v>74</v>
      </c>
      <c r="BG257" t="s">
        <v>74</v>
      </c>
      <c r="BH257" t="s">
        <v>74</v>
      </c>
      <c r="BI257">
        <v>4</v>
      </c>
      <c r="BJ257" t="s">
        <v>3089</v>
      </c>
      <c r="BK257" t="s">
        <v>419</v>
      </c>
      <c r="BL257" t="s">
        <v>3089</v>
      </c>
      <c r="BM257" t="s">
        <v>4854</v>
      </c>
      <c r="BN257" t="s">
        <v>74</v>
      </c>
      <c r="BO257" t="s">
        <v>74</v>
      </c>
      <c r="BP257" t="s">
        <v>74</v>
      </c>
      <c r="BQ257" t="s">
        <v>74</v>
      </c>
      <c r="BR257" t="s">
        <v>102</v>
      </c>
      <c r="BS257" t="s">
        <v>4871</v>
      </c>
      <c r="BT257" t="str">
        <f>HYPERLINK("https%3A%2F%2Fwww.webofscience.com%2Fwos%2Fwoscc%2Ffull-record%2FWOS:000339479900086","View Full Record in Web of Science")</f>
        <v>View Full Record in Web of Science</v>
      </c>
    </row>
    <row r="258" spans="1:72" x14ac:dyDescent="0.15">
      <c r="A258" t="s">
        <v>72</v>
      </c>
      <c r="B258" t="s">
        <v>4872</v>
      </c>
      <c r="C258" t="s">
        <v>74</v>
      </c>
      <c r="D258" t="s">
        <v>74</v>
      </c>
      <c r="E258" t="s">
        <v>74</v>
      </c>
      <c r="F258" t="s">
        <v>4873</v>
      </c>
      <c r="G258" t="s">
        <v>74</v>
      </c>
      <c r="H258" t="s">
        <v>74</v>
      </c>
      <c r="I258" t="s">
        <v>4874</v>
      </c>
      <c r="J258" t="s">
        <v>4875</v>
      </c>
      <c r="K258" t="s">
        <v>74</v>
      </c>
      <c r="L258" t="s">
        <v>74</v>
      </c>
      <c r="M258" t="s">
        <v>78</v>
      </c>
      <c r="N258" t="s">
        <v>79</v>
      </c>
      <c r="O258" t="s">
        <v>74</v>
      </c>
      <c r="P258" t="s">
        <v>74</v>
      </c>
      <c r="Q258" t="s">
        <v>74</v>
      </c>
      <c r="R258" t="s">
        <v>74</v>
      </c>
      <c r="S258" t="s">
        <v>74</v>
      </c>
      <c r="T258" t="s">
        <v>74</v>
      </c>
      <c r="U258" t="s">
        <v>4876</v>
      </c>
      <c r="V258" t="s">
        <v>4877</v>
      </c>
      <c r="W258" t="s">
        <v>4878</v>
      </c>
      <c r="X258" t="s">
        <v>4879</v>
      </c>
      <c r="Y258" t="s">
        <v>4880</v>
      </c>
      <c r="Z258" t="s">
        <v>4881</v>
      </c>
      <c r="AA258" t="s">
        <v>74</v>
      </c>
      <c r="AB258" t="s">
        <v>74</v>
      </c>
      <c r="AC258" t="s">
        <v>4882</v>
      </c>
      <c r="AD258" t="s">
        <v>4883</v>
      </c>
      <c r="AE258" t="s">
        <v>4884</v>
      </c>
      <c r="AF258" t="s">
        <v>74</v>
      </c>
      <c r="AG258">
        <v>58</v>
      </c>
      <c r="AH258">
        <v>48</v>
      </c>
      <c r="AI258">
        <v>50</v>
      </c>
      <c r="AJ258">
        <v>0</v>
      </c>
      <c r="AK258">
        <v>54</v>
      </c>
      <c r="AL258" t="s">
        <v>250</v>
      </c>
      <c r="AM258" t="s">
        <v>413</v>
      </c>
      <c r="AN258" t="s">
        <v>490</v>
      </c>
      <c r="AO258" t="s">
        <v>4885</v>
      </c>
      <c r="AP258" t="s">
        <v>4886</v>
      </c>
      <c r="AQ258" t="s">
        <v>74</v>
      </c>
      <c r="AR258" t="s">
        <v>4887</v>
      </c>
      <c r="AS258" t="s">
        <v>4888</v>
      </c>
      <c r="AT258" t="s">
        <v>97</v>
      </c>
      <c r="AU258">
        <v>2012</v>
      </c>
      <c r="AV258">
        <v>63</v>
      </c>
      <c r="AW258">
        <v>1</v>
      </c>
      <c r="AX258" t="s">
        <v>74</v>
      </c>
      <c r="AY258" t="s">
        <v>74</v>
      </c>
      <c r="AZ258" t="s">
        <v>74</v>
      </c>
      <c r="BA258" t="s">
        <v>74</v>
      </c>
      <c r="BB258">
        <v>210</v>
      </c>
      <c r="BC258">
        <v>223</v>
      </c>
      <c r="BD258" t="s">
        <v>74</v>
      </c>
      <c r="BE258" t="s">
        <v>4889</v>
      </c>
      <c r="BF258" t="str">
        <f>HYPERLINK("http://dx.doi.org/10.1007/s00248-011-9904-x","http://dx.doi.org/10.1007/s00248-011-9904-x")</f>
        <v>http://dx.doi.org/10.1007/s00248-011-9904-x</v>
      </c>
      <c r="BG258" t="s">
        <v>74</v>
      </c>
      <c r="BH258" t="s">
        <v>74</v>
      </c>
      <c r="BI258">
        <v>14</v>
      </c>
      <c r="BJ258" t="s">
        <v>1060</v>
      </c>
      <c r="BK258" t="s">
        <v>100</v>
      </c>
      <c r="BL258" t="s">
        <v>1061</v>
      </c>
      <c r="BM258" t="s">
        <v>4890</v>
      </c>
      <c r="BN258">
        <v>21748267</v>
      </c>
      <c r="BO258" t="s">
        <v>74</v>
      </c>
      <c r="BP258" t="s">
        <v>74</v>
      </c>
      <c r="BQ258" t="s">
        <v>74</v>
      </c>
      <c r="BR258" t="s">
        <v>102</v>
      </c>
      <c r="BS258" t="s">
        <v>4891</v>
      </c>
      <c r="BT258" t="str">
        <f>HYPERLINK("https%3A%2F%2Fwww.webofscience.com%2Fwos%2Fwoscc%2Ffull-record%2FWOS:000299084000020","View Full Record in Web of Science")</f>
        <v>View Full Record in Web of Science</v>
      </c>
    </row>
    <row r="259" spans="1:72" x14ac:dyDescent="0.15">
      <c r="A259" t="s">
        <v>72</v>
      </c>
      <c r="B259" t="s">
        <v>4892</v>
      </c>
      <c r="C259" t="s">
        <v>74</v>
      </c>
      <c r="D259" t="s">
        <v>74</v>
      </c>
      <c r="E259" t="s">
        <v>74</v>
      </c>
      <c r="F259" t="s">
        <v>4893</v>
      </c>
      <c r="G259" t="s">
        <v>74</v>
      </c>
      <c r="H259" t="s">
        <v>74</v>
      </c>
      <c r="I259" t="s">
        <v>4894</v>
      </c>
      <c r="J259" t="s">
        <v>4895</v>
      </c>
      <c r="K259" t="s">
        <v>74</v>
      </c>
      <c r="L259" t="s">
        <v>74</v>
      </c>
      <c r="M259" t="s">
        <v>78</v>
      </c>
      <c r="N259" t="s">
        <v>79</v>
      </c>
      <c r="O259" t="s">
        <v>74</v>
      </c>
      <c r="P259" t="s">
        <v>74</v>
      </c>
      <c r="Q259" t="s">
        <v>74</v>
      </c>
      <c r="R259" t="s">
        <v>74</v>
      </c>
      <c r="S259" t="s">
        <v>74</v>
      </c>
      <c r="T259" t="s">
        <v>4896</v>
      </c>
      <c r="U259" t="s">
        <v>4897</v>
      </c>
      <c r="V259" t="s">
        <v>4898</v>
      </c>
      <c r="W259" t="s">
        <v>4899</v>
      </c>
      <c r="X259" t="s">
        <v>4900</v>
      </c>
      <c r="Y259" t="s">
        <v>4901</v>
      </c>
      <c r="Z259" t="s">
        <v>4902</v>
      </c>
      <c r="AA259" t="s">
        <v>4903</v>
      </c>
      <c r="AB259" t="s">
        <v>4904</v>
      </c>
      <c r="AC259" t="s">
        <v>4905</v>
      </c>
      <c r="AD259" t="s">
        <v>4906</v>
      </c>
      <c r="AE259" t="s">
        <v>4907</v>
      </c>
      <c r="AF259" t="s">
        <v>74</v>
      </c>
      <c r="AG259">
        <v>49</v>
      </c>
      <c r="AH259">
        <v>41</v>
      </c>
      <c r="AI259">
        <v>41</v>
      </c>
      <c r="AJ259">
        <v>1</v>
      </c>
      <c r="AK259">
        <v>13</v>
      </c>
      <c r="AL259" t="s">
        <v>4284</v>
      </c>
      <c r="AM259" t="s">
        <v>4285</v>
      </c>
      <c r="AN259" t="s">
        <v>4286</v>
      </c>
      <c r="AO259" t="s">
        <v>4908</v>
      </c>
      <c r="AP259" t="s">
        <v>74</v>
      </c>
      <c r="AQ259" t="s">
        <v>74</v>
      </c>
      <c r="AR259" t="s">
        <v>4909</v>
      </c>
      <c r="AS259" t="s">
        <v>4910</v>
      </c>
      <c r="AT259" t="s">
        <v>74</v>
      </c>
      <c r="AU259">
        <v>2012</v>
      </c>
      <c r="AV259">
        <v>167</v>
      </c>
      <c r="AW259">
        <v>4</v>
      </c>
      <c r="AX259" t="s">
        <v>74</v>
      </c>
      <c r="AY259" t="s">
        <v>74</v>
      </c>
      <c r="AZ259" t="s">
        <v>74</v>
      </c>
      <c r="BA259" t="s">
        <v>74</v>
      </c>
      <c r="BB259">
        <v>211</v>
      </c>
      <c r="BC259">
        <v>219</v>
      </c>
      <c r="BD259" t="s">
        <v>74</v>
      </c>
      <c r="BE259" t="s">
        <v>4911</v>
      </c>
      <c r="BF259" t="str">
        <f>HYPERLINK("http://dx.doi.org/10.1016/j.micres.2011.08.002","http://dx.doi.org/10.1016/j.micres.2011.08.002")</f>
        <v>http://dx.doi.org/10.1016/j.micres.2011.08.002</v>
      </c>
      <c r="BG259" t="s">
        <v>74</v>
      </c>
      <c r="BH259" t="s">
        <v>74</v>
      </c>
      <c r="BI259">
        <v>9</v>
      </c>
      <c r="BJ259" t="s">
        <v>3089</v>
      </c>
      <c r="BK259" t="s">
        <v>100</v>
      </c>
      <c r="BL259" t="s">
        <v>3089</v>
      </c>
      <c r="BM259" t="s">
        <v>4912</v>
      </c>
      <c r="BN259">
        <v>21945102</v>
      </c>
      <c r="BO259" t="s">
        <v>74</v>
      </c>
      <c r="BP259" t="s">
        <v>74</v>
      </c>
      <c r="BQ259" t="s">
        <v>74</v>
      </c>
      <c r="BR259" t="s">
        <v>102</v>
      </c>
      <c r="BS259" t="s">
        <v>4913</v>
      </c>
      <c r="BT259" t="str">
        <f>HYPERLINK("https%3A%2F%2Fwww.webofscience.com%2Fwos%2Fwoscc%2Ffull-record%2FWOS:000302741900004","View Full Record in Web of Science")</f>
        <v>View Full Record in Web of Science</v>
      </c>
    </row>
    <row r="260" spans="1:72" x14ac:dyDescent="0.15">
      <c r="A260" t="s">
        <v>72</v>
      </c>
      <c r="B260" t="s">
        <v>4914</v>
      </c>
      <c r="C260" t="s">
        <v>74</v>
      </c>
      <c r="D260" t="s">
        <v>74</v>
      </c>
      <c r="E260" t="s">
        <v>74</v>
      </c>
      <c r="F260" t="s">
        <v>4915</v>
      </c>
      <c r="G260" t="s">
        <v>74</v>
      </c>
      <c r="H260" t="s">
        <v>74</v>
      </c>
      <c r="I260" t="s">
        <v>4916</v>
      </c>
      <c r="J260" t="s">
        <v>4917</v>
      </c>
      <c r="K260" t="s">
        <v>74</v>
      </c>
      <c r="L260" t="s">
        <v>74</v>
      </c>
      <c r="M260" t="s">
        <v>78</v>
      </c>
      <c r="N260" t="s">
        <v>810</v>
      </c>
      <c r="O260" t="s">
        <v>74</v>
      </c>
      <c r="P260" t="s">
        <v>74</v>
      </c>
      <c r="Q260" t="s">
        <v>74</v>
      </c>
      <c r="R260" t="s">
        <v>74</v>
      </c>
      <c r="S260" t="s">
        <v>74</v>
      </c>
      <c r="T260" t="s">
        <v>74</v>
      </c>
      <c r="U260" t="s">
        <v>74</v>
      </c>
      <c r="V260" t="s">
        <v>74</v>
      </c>
      <c r="W260" t="s">
        <v>4918</v>
      </c>
      <c r="X260" t="s">
        <v>4919</v>
      </c>
      <c r="Y260" t="s">
        <v>4920</v>
      </c>
      <c r="Z260" t="s">
        <v>4921</v>
      </c>
      <c r="AA260" t="s">
        <v>74</v>
      </c>
      <c r="AB260" t="s">
        <v>74</v>
      </c>
      <c r="AC260" t="s">
        <v>74</v>
      </c>
      <c r="AD260" t="s">
        <v>74</v>
      </c>
      <c r="AE260" t="s">
        <v>74</v>
      </c>
      <c r="AF260" t="s">
        <v>74</v>
      </c>
      <c r="AG260">
        <v>3</v>
      </c>
      <c r="AH260">
        <v>0</v>
      </c>
      <c r="AI260">
        <v>0</v>
      </c>
      <c r="AJ260">
        <v>0</v>
      </c>
      <c r="AK260">
        <v>0</v>
      </c>
      <c r="AL260" t="s">
        <v>4922</v>
      </c>
      <c r="AM260" t="s">
        <v>4923</v>
      </c>
      <c r="AN260" t="s">
        <v>4924</v>
      </c>
      <c r="AO260" t="s">
        <v>4925</v>
      </c>
      <c r="AP260" t="s">
        <v>4926</v>
      </c>
      <c r="AQ260" t="s">
        <v>74</v>
      </c>
      <c r="AR260" t="s">
        <v>4917</v>
      </c>
      <c r="AS260" t="s">
        <v>4927</v>
      </c>
      <c r="AT260" t="s">
        <v>74</v>
      </c>
      <c r="AU260">
        <v>2012</v>
      </c>
      <c r="AV260">
        <v>58</v>
      </c>
      <c r="AW260">
        <v>6</v>
      </c>
      <c r="AX260" t="s">
        <v>74</v>
      </c>
      <c r="AY260" t="s">
        <v>74</v>
      </c>
      <c r="AZ260" t="s">
        <v>74</v>
      </c>
      <c r="BA260" t="s">
        <v>74</v>
      </c>
      <c r="BB260">
        <v>544</v>
      </c>
      <c r="BC260">
        <v>547</v>
      </c>
      <c r="BD260" t="s">
        <v>74</v>
      </c>
      <c r="BE260" t="s">
        <v>74</v>
      </c>
      <c r="BF260" t="s">
        <v>74</v>
      </c>
      <c r="BG260" t="s">
        <v>74</v>
      </c>
      <c r="BH260" t="s">
        <v>74</v>
      </c>
      <c r="BI260">
        <v>4</v>
      </c>
      <c r="BJ260" t="s">
        <v>4186</v>
      </c>
      <c r="BK260" t="s">
        <v>100</v>
      </c>
      <c r="BL260" t="s">
        <v>4186</v>
      </c>
      <c r="BM260" t="s">
        <v>4928</v>
      </c>
      <c r="BN260" t="s">
        <v>74</v>
      </c>
      <c r="BO260" t="s">
        <v>74</v>
      </c>
      <c r="BP260" t="s">
        <v>74</v>
      </c>
      <c r="BQ260" t="s">
        <v>74</v>
      </c>
      <c r="BR260" t="s">
        <v>102</v>
      </c>
      <c r="BS260" t="s">
        <v>4929</v>
      </c>
      <c r="BT260" t="str">
        <f>HYPERLINK("https%3A%2F%2Fwww.webofscience.com%2Fwos%2Fwoscc%2Ffull-record%2FWOS:000209065100006","View Full Record in Web of Science")</f>
        <v>View Full Record in Web of Science</v>
      </c>
    </row>
    <row r="261" spans="1:72" x14ac:dyDescent="0.15">
      <c r="A261" t="s">
        <v>72</v>
      </c>
      <c r="B261" t="s">
        <v>4930</v>
      </c>
      <c r="C261" t="s">
        <v>74</v>
      </c>
      <c r="D261" t="s">
        <v>74</v>
      </c>
      <c r="E261" t="s">
        <v>74</v>
      </c>
      <c r="F261" t="s">
        <v>4931</v>
      </c>
      <c r="G261" t="s">
        <v>74</v>
      </c>
      <c r="H261" t="s">
        <v>74</v>
      </c>
      <c r="I261" t="s">
        <v>4932</v>
      </c>
      <c r="J261" t="s">
        <v>4933</v>
      </c>
      <c r="K261" t="s">
        <v>74</v>
      </c>
      <c r="L261" t="s">
        <v>74</v>
      </c>
      <c r="M261" t="s">
        <v>4934</v>
      </c>
      <c r="N261" t="s">
        <v>79</v>
      </c>
      <c r="O261" t="s">
        <v>74</v>
      </c>
      <c r="P261" t="s">
        <v>74</v>
      </c>
      <c r="Q261" t="s">
        <v>74</v>
      </c>
      <c r="R261" t="s">
        <v>74</v>
      </c>
      <c r="S261" t="s">
        <v>74</v>
      </c>
      <c r="T261" t="s">
        <v>4935</v>
      </c>
      <c r="U261" t="s">
        <v>74</v>
      </c>
      <c r="V261" t="s">
        <v>4936</v>
      </c>
      <c r="W261" t="s">
        <v>4937</v>
      </c>
      <c r="X261" t="s">
        <v>4938</v>
      </c>
      <c r="Y261" t="s">
        <v>4939</v>
      </c>
      <c r="Z261" t="s">
        <v>4940</v>
      </c>
      <c r="AA261" t="s">
        <v>4941</v>
      </c>
      <c r="AB261" t="s">
        <v>4942</v>
      </c>
      <c r="AC261" t="s">
        <v>74</v>
      </c>
      <c r="AD261" t="s">
        <v>74</v>
      </c>
      <c r="AE261" t="s">
        <v>74</v>
      </c>
      <c r="AF261" t="s">
        <v>74</v>
      </c>
      <c r="AG261">
        <v>4</v>
      </c>
      <c r="AH261">
        <v>0</v>
      </c>
      <c r="AI261">
        <v>0</v>
      </c>
      <c r="AJ261">
        <v>0</v>
      </c>
      <c r="AK261">
        <v>0</v>
      </c>
      <c r="AL261" t="s">
        <v>4943</v>
      </c>
      <c r="AM261" t="s">
        <v>3291</v>
      </c>
      <c r="AN261" t="s">
        <v>4944</v>
      </c>
      <c r="AO261" t="s">
        <v>4945</v>
      </c>
      <c r="AP261" t="s">
        <v>4946</v>
      </c>
      <c r="AQ261" t="s">
        <v>74</v>
      </c>
      <c r="AR261" t="s">
        <v>4947</v>
      </c>
      <c r="AS261" t="s">
        <v>4948</v>
      </c>
      <c r="AT261" t="s">
        <v>74</v>
      </c>
      <c r="AU261">
        <v>2012</v>
      </c>
      <c r="AV261">
        <v>2</v>
      </c>
      <c r="AW261" t="s">
        <v>74</v>
      </c>
      <c r="AX261" t="s">
        <v>74</v>
      </c>
      <c r="AY261" t="s">
        <v>74</v>
      </c>
      <c r="AZ261" t="s">
        <v>339</v>
      </c>
      <c r="BA261" t="s">
        <v>74</v>
      </c>
      <c r="BB261">
        <v>261</v>
      </c>
      <c r="BC261">
        <v>263</v>
      </c>
      <c r="BD261" t="s">
        <v>74</v>
      </c>
      <c r="BE261" t="s">
        <v>74</v>
      </c>
      <c r="BF261" t="s">
        <v>74</v>
      </c>
      <c r="BG261" t="s">
        <v>74</v>
      </c>
      <c r="BH261" t="s">
        <v>74</v>
      </c>
      <c r="BI261">
        <v>3</v>
      </c>
      <c r="BJ261" t="s">
        <v>3216</v>
      </c>
      <c r="BK261" t="s">
        <v>1158</v>
      </c>
      <c r="BL261" t="s">
        <v>3216</v>
      </c>
      <c r="BM261" t="s">
        <v>4949</v>
      </c>
      <c r="BN261" t="s">
        <v>74</v>
      </c>
      <c r="BO261" t="s">
        <v>74</v>
      </c>
      <c r="BP261" t="s">
        <v>74</v>
      </c>
      <c r="BQ261" t="s">
        <v>74</v>
      </c>
      <c r="BR261" t="s">
        <v>102</v>
      </c>
      <c r="BS261" t="s">
        <v>4950</v>
      </c>
      <c r="BT261" t="str">
        <f>HYPERLINK("https%3A%2F%2Fwww.webofscience.com%2Fwos%2Fwoscc%2Ffull-record%2FWOS:000436725000065","View Full Record in Web of Science")</f>
        <v>View Full Record in Web of Science</v>
      </c>
    </row>
    <row r="262" spans="1:72" x14ac:dyDescent="0.15">
      <c r="A262" t="s">
        <v>72</v>
      </c>
      <c r="B262" t="s">
        <v>4951</v>
      </c>
      <c r="C262" t="s">
        <v>74</v>
      </c>
      <c r="D262" t="s">
        <v>74</v>
      </c>
      <c r="E262" t="s">
        <v>74</v>
      </c>
      <c r="F262" t="s">
        <v>4952</v>
      </c>
      <c r="G262" t="s">
        <v>74</v>
      </c>
      <c r="H262" t="s">
        <v>74</v>
      </c>
      <c r="I262" t="s">
        <v>4953</v>
      </c>
      <c r="J262" t="s">
        <v>4954</v>
      </c>
      <c r="K262" t="s">
        <v>74</v>
      </c>
      <c r="L262" t="s">
        <v>74</v>
      </c>
      <c r="M262" t="s">
        <v>78</v>
      </c>
      <c r="N262" t="s">
        <v>79</v>
      </c>
      <c r="O262" t="s">
        <v>74</v>
      </c>
      <c r="P262" t="s">
        <v>74</v>
      </c>
      <c r="Q262" t="s">
        <v>74</v>
      </c>
      <c r="R262" t="s">
        <v>74</v>
      </c>
      <c r="S262" t="s">
        <v>74</v>
      </c>
      <c r="T262" t="s">
        <v>4955</v>
      </c>
      <c r="U262" t="s">
        <v>4956</v>
      </c>
      <c r="V262" t="s">
        <v>4957</v>
      </c>
      <c r="W262" t="s">
        <v>4958</v>
      </c>
      <c r="X262" t="s">
        <v>4959</v>
      </c>
      <c r="Y262" t="s">
        <v>4960</v>
      </c>
      <c r="Z262" t="s">
        <v>4961</v>
      </c>
      <c r="AA262" t="s">
        <v>4962</v>
      </c>
      <c r="AB262" t="s">
        <v>4963</v>
      </c>
      <c r="AC262" t="s">
        <v>4964</v>
      </c>
      <c r="AD262" t="s">
        <v>4964</v>
      </c>
      <c r="AE262" t="s">
        <v>4965</v>
      </c>
      <c r="AF262" t="s">
        <v>74</v>
      </c>
      <c r="AG262">
        <v>21</v>
      </c>
      <c r="AH262">
        <v>12</v>
      </c>
      <c r="AI262">
        <v>16</v>
      </c>
      <c r="AJ262">
        <v>0</v>
      </c>
      <c r="AK262">
        <v>7</v>
      </c>
      <c r="AL262" t="s">
        <v>4966</v>
      </c>
      <c r="AM262" t="s">
        <v>4967</v>
      </c>
      <c r="AN262" t="s">
        <v>4968</v>
      </c>
      <c r="AO262" t="s">
        <v>4969</v>
      </c>
      <c r="AP262" t="s">
        <v>4970</v>
      </c>
      <c r="AQ262" t="s">
        <v>74</v>
      </c>
      <c r="AR262" t="s">
        <v>4971</v>
      </c>
      <c r="AS262" t="s">
        <v>4972</v>
      </c>
      <c r="AT262" t="s">
        <v>74</v>
      </c>
      <c r="AU262">
        <v>2012</v>
      </c>
      <c r="AV262">
        <v>19</v>
      </c>
      <c r="AW262">
        <v>6</v>
      </c>
      <c r="AX262" t="s">
        <v>74</v>
      </c>
      <c r="AY262" t="s">
        <v>74</v>
      </c>
      <c r="AZ262" t="s">
        <v>74</v>
      </c>
      <c r="BA262" t="s">
        <v>74</v>
      </c>
      <c r="BB262">
        <v>327</v>
      </c>
      <c r="BC262">
        <v>333</v>
      </c>
      <c r="BD262" t="s">
        <v>74</v>
      </c>
      <c r="BE262" t="s">
        <v>4973</v>
      </c>
      <c r="BF262" t="str">
        <f>HYPERLINK("http://dx.doi.org/10.1159/000339512","http://dx.doi.org/10.1159/000339512")</f>
        <v>http://dx.doi.org/10.1159/000339512</v>
      </c>
      <c r="BG262" t="s">
        <v>74</v>
      </c>
      <c r="BH262" t="s">
        <v>74</v>
      </c>
      <c r="BI262">
        <v>7</v>
      </c>
      <c r="BJ262" t="s">
        <v>4974</v>
      </c>
      <c r="BK262" t="s">
        <v>100</v>
      </c>
      <c r="BL262" t="s">
        <v>4975</v>
      </c>
      <c r="BM262" t="s">
        <v>4976</v>
      </c>
      <c r="BN262">
        <v>22868480</v>
      </c>
      <c r="BO262" t="s">
        <v>365</v>
      </c>
      <c r="BP262" t="s">
        <v>74</v>
      </c>
      <c r="BQ262" t="s">
        <v>74</v>
      </c>
      <c r="BR262" t="s">
        <v>102</v>
      </c>
      <c r="BS262" t="s">
        <v>4977</v>
      </c>
      <c r="BT262" t="str">
        <f>HYPERLINK("https%3A%2F%2Fwww.webofscience.com%2Fwos%2Fwoscc%2Ffull-record%2FWOS:000310764400001","View Full Record in Web of Science")</f>
        <v>View Full Record in Web of Science</v>
      </c>
    </row>
    <row r="263" spans="1:72" x14ac:dyDescent="0.15">
      <c r="A263" t="s">
        <v>393</v>
      </c>
      <c r="B263" t="s">
        <v>4978</v>
      </c>
      <c r="C263" t="s">
        <v>74</v>
      </c>
      <c r="D263" t="s">
        <v>4979</v>
      </c>
      <c r="E263" t="s">
        <v>74</v>
      </c>
      <c r="F263" t="s">
        <v>4980</v>
      </c>
      <c r="G263" t="s">
        <v>74</v>
      </c>
      <c r="H263" t="s">
        <v>4981</v>
      </c>
      <c r="I263" t="s">
        <v>4982</v>
      </c>
      <c r="J263" t="s">
        <v>4983</v>
      </c>
      <c r="K263" t="s">
        <v>4984</v>
      </c>
      <c r="L263" t="s">
        <v>74</v>
      </c>
      <c r="M263" t="s">
        <v>78</v>
      </c>
      <c r="N263" t="s">
        <v>400</v>
      </c>
      <c r="O263" t="s">
        <v>4985</v>
      </c>
      <c r="P263" t="s">
        <v>4986</v>
      </c>
      <c r="Q263" t="s">
        <v>4987</v>
      </c>
      <c r="R263" t="s">
        <v>74</v>
      </c>
      <c r="S263" t="s">
        <v>74</v>
      </c>
      <c r="T263" t="s">
        <v>74</v>
      </c>
      <c r="U263" t="s">
        <v>74</v>
      </c>
      <c r="V263" t="s">
        <v>4988</v>
      </c>
      <c r="W263" t="s">
        <v>4989</v>
      </c>
      <c r="X263" t="s">
        <v>4990</v>
      </c>
      <c r="Y263" t="s">
        <v>4991</v>
      </c>
      <c r="Z263" t="s">
        <v>74</v>
      </c>
      <c r="AA263" t="s">
        <v>4992</v>
      </c>
      <c r="AB263" t="s">
        <v>74</v>
      </c>
      <c r="AC263" t="s">
        <v>74</v>
      </c>
      <c r="AD263" t="s">
        <v>74</v>
      </c>
      <c r="AE263" t="s">
        <v>74</v>
      </c>
      <c r="AF263" t="s">
        <v>74</v>
      </c>
      <c r="AG263">
        <v>5</v>
      </c>
      <c r="AH263">
        <v>0</v>
      </c>
      <c r="AI263">
        <v>0</v>
      </c>
      <c r="AJ263">
        <v>0</v>
      </c>
      <c r="AK263">
        <v>0</v>
      </c>
      <c r="AL263" t="s">
        <v>4993</v>
      </c>
      <c r="AM263" t="s">
        <v>334</v>
      </c>
      <c r="AN263" t="s">
        <v>4994</v>
      </c>
      <c r="AO263" t="s">
        <v>4995</v>
      </c>
      <c r="AP263" t="s">
        <v>74</v>
      </c>
      <c r="AQ263" t="s">
        <v>4996</v>
      </c>
      <c r="AR263" t="s">
        <v>4997</v>
      </c>
      <c r="AS263" t="s">
        <v>74</v>
      </c>
      <c r="AT263" t="s">
        <v>74</v>
      </c>
      <c r="AU263">
        <v>2012</v>
      </c>
      <c r="AV263">
        <v>182</v>
      </c>
      <c r="AW263" t="s">
        <v>74</v>
      </c>
      <c r="AX263" t="s">
        <v>74</v>
      </c>
      <c r="AY263" t="s">
        <v>74</v>
      </c>
      <c r="AZ263" t="s">
        <v>74</v>
      </c>
      <c r="BA263" t="s">
        <v>74</v>
      </c>
      <c r="BB263">
        <v>359</v>
      </c>
      <c r="BC263">
        <v>361</v>
      </c>
      <c r="BD263" t="s">
        <v>74</v>
      </c>
      <c r="BE263" t="s">
        <v>4998</v>
      </c>
      <c r="BF263" t="str">
        <f>HYPERLINK("http://dx.doi.org/10.3254/978-1-61499-173-1-359","http://dx.doi.org/10.3254/978-1-61499-173-1-359")</f>
        <v>http://dx.doi.org/10.3254/978-1-61499-173-1-359</v>
      </c>
      <c r="BG263" t="s">
        <v>74</v>
      </c>
      <c r="BH263" t="s">
        <v>74</v>
      </c>
      <c r="BI263">
        <v>3</v>
      </c>
      <c r="BJ263" t="s">
        <v>4999</v>
      </c>
      <c r="BK263" t="s">
        <v>419</v>
      </c>
      <c r="BL263" t="s">
        <v>1131</v>
      </c>
      <c r="BM263" t="s">
        <v>5000</v>
      </c>
      <c r="BN263" t="s">
        <v>74</v>
      </c>
      <c r="BO263" t="s">
        <v>74</v>
      </c>
      <c r="BP263" t="s">
        <v>74</v>
      </c>
      <c r="BQ263" t="s">
        <v>74</v>
      </c>
      <c r="BR263" t="s">
        <v>102</v>
      </c>
      <c r="BS263" t="s">
        <v>5001</v>
      </c>
      <c r="BT263" t="str">
        <f>HYPERLINK("https%3A%2F%2Fwww.webofscience.com%2Fwos%2Fwoscc%2Ffull-record%2FWOS:000350877600023","View Full Record in Web of Science")</f>
        <v>View Full Record in Web of Science</v>
      </c>
    </row>
    <row r="264" spans="1:72" x14ac:dyDescent="0.15">
      <c r="A264" t="s">
        <v>393</v>
      </c>
      <c r="B264" t="s">
        <v>5002</v>
      </c>
      <c r="C264" t="s">
        <v>74</v>
      </c>
      <c r="D264" t="s">
        <v>5003</v>
      </c>
      <c r="E264" t="s">
        <v>74</v>
      </c>
      <c r="F264" t="s">
        <v>5004</v>
      </c>
      <c r="G264" t="s">
        <v>74</v>
      </c>
      <c r="H264" t="s">
        <v>74</v>
      </c>
      <c r="I264" t="s">
        <v>5005</v>
      </c>
      <c r="J264" t="s">
        <v>5006</v>
      </c>
      <c r="K264" t="s">
        <v>543</v>
      </c>
      <c r="L264" t="s">
        <v>74</v>
      </c>
      <c r="M264" t="s">
        <v>78</v>
      </c>
      <c r="N264" t="s">
        <v>400</v>
      </c>
      <c r="O264" t="s">
        <v>5007</v>
      </c>
      <c r="P264" t="s">
        <v>5008</v>
      </c>
      <c r="Q264" t="s">
        <v>546</v>
      </c>
      <c r="R264" t="s">
        <v>74</v>
      </c>
      <c r="S264" t="s">
        <v>74</v>
      </c>
      <c r="T264" t="s">
        <v>5009</v>
      </c>
      <c r="U264" t="s">
        <v>5010</v>
      </c>
      <c r="V264" t="s">
        <v>5011</v>
      </c>
      <c r="W264" t="s">
        <v>5012</v>
      </c>
      <c r="X264" t="s">
        <v>5013</v>
      </c>
      <c r="Y264" t="s">
        <v>5014</v>
      </c>
      <c r="Z264" t="s">
        <v>5015</v>
      </c>
      <c r="AA264" t="s">
        <v>74</v>
      </c>
      <c r="AB264" t="s">
        <v>5016</v>
      </c>
      <c r="AC264" t="s">
        <v>5017</v>
      </c>
      <c r="AD264" t="s">
        <v>5018</v>
      </c>
      <c r="AE264" t="s">
        <v>5019</v>
      </c>
      <c r="AF264" t="s">
        <v>74</v>
      </c>
      <c r="AG264">
        <v>14</v>
      </c>
      <c r="AH264">
        <v>16</v>
      </c>
      <c r="AI264">
        <v>17</v>
      </c>
      <c r="AJ264">
        <v>1</v>
      </c>
      <c r="AK264">
        <v>4</v>
      </c>
      <c r="AL264" t="s">
        <v>559</v>
      </c>
      <c r="AM264" t="s">
        <v>560</v>
      </c>
      <c r="AN264" t="s">
        <v>561</v>
      </c>
      <c r="AO264" t="s">
        <v>562</v>
      </c>
      <c r="AP264" t="s">
        <v>74</v>
      </c>
      <c r="AQ264" t="s">
        <v>5020</v>
      </c>
      <c r="AR264" t="s">
        <v>564</v>
      </c>
      <c r="AS264" t="s">
        <v>74</v>
      </c>
      <c r="AT264" t="s">
        <v>74</v>
      </c>
      <c r="AU264">
        <v>2012</v>
      </c>
      <c r="AV264">
        <v>8448</v>
      </c>
      <c r="AW264" t="s">
        <v>74</v>
      </c>
      <c r="AX264" t="s">
        <v>74</v>
      </c>
      <c r="AY264" t="s">
        <v>74</v>
      </c>
      <c r="AZ264" t="s">
        <v>74</v>
      </c>
      <c r="BA264" t="s">
        <v>74</v>
      </c>
      <c r="BB264" t="s">
        <v>74</v>
      </c>
      <c r="BC264" t="s">
        <v>74</v>
      </c>
      <c r="BD264">
        <v>844826</v>
      </c>
      <c r="BE264" t="s">
        <v>5021</v>
      </c>
      <c r="BF264" t="str">
        <f>HYPERLINK("http://dx.doi.org/10.1117/12.925600","http://dx.doi.org/10.1117/12.925600")</f>
        <v>http://dx.doi.org/10.1117/12.925600</v>
      </c>
      <c r="BG264" t="s">
        <v>74</v>
      </c>
      <c r="BH264" t="s">
        <v>74</v>
      </c>
      <c r="BI264">
        <v>7</v>
      </c>
      <c r="BJ264" t="s">
        <v>5022</v>
      </c>
      <c r="BK264" t="s">
        <v>419</v>
      </c>
      <c r="BL264" t="s">
        <v>5022</v>
      </c>
      <c r="BM264" t="s">
        <v>5023</v>
      </c>
      <c r="BN264" t="s">
        <v>74</v>
      </c>
      <c r="BO264" t="s">
        <v>74</v>
      </c>
      <c r="BP264" t="s">
        <v>74</v>
      </c>
      <c r="BQ264" t="s">
        <v>74</v>
      </c>
      <c r="BR264" t="s">
        <v>102</v>
      </c>
      <c r="BS264" t="s">
        <v>5024</v>
      </c>
      <c r="BT264" t="str">
        <f>HYPERLINK("https%3A%2F%2Fwww.webofscience.com%2Fwos%2Fwoscc%2Ffull-record%2FWOS:000312389300069","View Full Record in Web of Science")</f>
        <v>View Full Record in Web of Science</v>
      </c>
    </row>
    <row r="265" spans="1:72" x14ac:dyDescent="0.15">
      <c r="A265" t="s">
        <v>72</v>
      </c>
      <c r="B265" t="s">
        <v>5025</v>
      </c>
      <c r="C265" t="s">
        <v>74</v>
      </c>
      <c r="D265" t="s">
        <v>74</v>
      </c>
      <c r="E265" t="s">
        <v>74</v>
      </c>
      <c r="F265" t="s">
        <v>5026</v>
      </c>
      <c r="G265" t="s">
        <v>74</v>
      </c>
      <c r="H265" t="s">
        <v>74</v>
      </c>
      <c r="I265" t="s">
        <v>5027</v>
      </c>
      <c r="J265" t="s">
        <v>5028</v>
      </c>
      <c r="K265" t="s">
        <v>74</v>
      </c>
      <c r="L265" t="s">
        <v>74</v>
      </c>
      <c r="M265" t="s">
        <v>78</v>
      </c>
      <c r="N265" t="s">
        <v>79</v>
      </c>
      <c r="O265" t="s">
        <v>74</v>
      </c>
      <c r="P265" t="s">
        <v>74</v>
      </c>
      <c r="Q265" t="s">
        <v>74</v>
      </c>
      <c r="R265" t="s">
        <v>74</v>
      </c>
      <c r="S265" t="s">
        <v>74</v>
      </c>
      <c r="T265" t="s">
        <v>74</v>
      </c>
      <c r="U265" t="s">
        <v>5029</v>
      </c>
      <c r="V265" t="s">
        <v>5030</v>
      </c>
      <c r="W265" t="s">
        <v>5031</v>
      </c>
      <c r="X265" t="s">
        <v>5032</v>
      </c>
      <c r="Y265" t="s">
        <v>5033</v>
      </c>
      <c r="Z265" t="s">
        <v>5034</v>
      </c>
      <c r="AA265" t="s">
        <v>5035</v>
      </c>
      <c r="AB265" t="s">
        <v>5036</v>
      </c>
      <c r="AC265" t="s">
        <v>5037</v>
      </c>
      <c r="AD265" t="s">
        <v>5038</v>
      </c>
      <c r="AE265" t="s">
        <v>5039</v>
      </c>
      <c r="AF265" t="s">
        <v>74</v>
      </c>
      <c r="AG265">
        <v>78</v>
      </c>
      <c r="AH265">
        <v>26</v>
      </c>
      <c r="AI265">
        <v>26</v>
      </c>
      <c r="AJ265">
        <v>0</v>
      </c>
      <c r="AK265">
        <v>14</v>
      </c>
      <c r="AL265" t="s">
        <v>766</v>
      </c>
      <c r="AM265" t="s">
        <v>767</v>
      </c>
      <c r="AN265" t="s">
        <v>768</v>
      </c>
      <c r="AO265" t="s">
        <v>5040</v>
      </c>
      <c r="AP265" t="s">
        <v>74</v>
      </c>
      <c r="AQ265" t="s">
        <v>74</v>
      </c>
      <c r="AR265" t="s">
        <v>5041</v>
      </c>
      <c r="AS265" t="s">
        <v>5042</v>
      </c>
      <c r="AT265" t="s">
        <v>74</v>
      </c>
      <c r="AU265">
        <v>2012</v>
      </c>
      <c r="AV265">
        <v>8</v>
      </c>
      <c r="AW265">
        <v>3</v>
      </c>
      <c r="AX265" t="s">
        <v>74</v>
      </c>
      <c r="AY265" t="s">
        <v>74</v>
      </c>
      <c r="AZ265" t="s">
        <v>74</v>
      </c>
      <c r="BA265" t="s">
        <v>74</v>
      </c>
      <c r="BB265">
        <v>369</v>
      </c>
      <c r="BC265">
        <v>388</v>
      </c>
      <c r="BD265" t="s">
        <v>74</v>
      </c>
      <c r="BE265" t="s">
        <v>5043</v>
      </c>
      <c r="BF265" t="str">
        <f>HYPERLINK("http://dx.doi.org/10.5194/os-8-369-2012","http://dx.doi.org/10.5194/os-8-369-2012")</f>
        <v>http://dx.doi.org/10.5194/os-8-369-2012</v>
      </c>
      <c r="BG265" t="s">
        <v>74</v>
      </c>
      <c r="BH265" t="s">
        <v>74</v>
      </c>
      <c r="BI265">
        <v>20</v>
      </c>
      <c r="BJ265" t="s">
        <v>5044</v>
      </c>
      <c r="BK265" t="s">
        <v>100</v>
      </c>
      <c r="BL265" t="s">
        <v>5044</v>
      </c>
      <c r="BM265" t="s">
        <v>5045</v>
      </c>
      <c r="BN265" t="s">
        <v>74</v>
      </c>
      <c r="BO265" t="s">
        <v>5046</v>
      </c>
      <c r="BP265" t="s">
        <v>74</v>
      </c>
      <c r="BQ265" t="s">
        <v>74</v>
      </c>
      <c r="BR265" t="s">
        <v>102</v>
      </c>
      <c r="BS265" t="s">
        <v>5047</v>
      </c>
      <c r="BT265" t="str">
        <f>HYPERLINK("https%3A%2F%2Fwww.webofscience.com%2Fwos%2Fwoscc%2Ffull-record%2FWOS:000305830500005","View Full Record in Web of Science")</f>
        <v>View Full Record in Web of Science</v>
      </c>
    </row>
    <row r="266" spans="1:72" x14ac:dyDescent="0.15">
      <c r="A266" t="s">
        <v>72</v>
      </c>
      <c r="B266" t="s">
        <v>5048</v>
      </c>
      <c r="C266" t="s">
        <v>74</v>
      </c>
      <c r="D266" t="s">
        <v>74</v>
      </c>
      <c r="E266" t="s">
        <v>74</v>
      </c>
      <c r="F266" t="s">
        <v>5049</v>
      </c>
      <c r="G266" t="s">
        <v>74</v>
      </c>
      <c r="H266" t="s">
        <v>74</v>
      </c>
      <c r="I266" t="s">
        <v>5050</v>
      </c>
      <c r="J266" t="s">
        <v>5028</v>
      </c>
      <c r="K266" t="s">
        <v>74</v>
      </c>
      <c r="L266" t="s">
        <v>74</v>
      </c>
      <c r="M266" t="s">
        <v>78</v>
      </c>
      <c r="N266" t="s">
        <v>79</v>
      </c>
      <c r="O266" t="s">
        <v>74</v>
      </c>
      <c r="P266" t="s">
        <v>74</v>
      </c>
      <c r="Q266" t="s">
        <v>74</v>
      </c>
      <c r="R266" t="s">
        <v>74</v>
      </c>
      <c r="S266" t="s">
        <v>74</v>
      </c>
      <c r="T266" t="s">
        <v>74</v>
      </c>
      <c r="U266" t="s">
        <v>5051</v>
      </c>
      <c r="V266" t="s">
        <v>5052</v>
      </c>
      <c r="W266" t="s">
        <v>5053</v>
      </c>
      <c r="X266" t="s">
        <v>5054</v>
      </c>
      <c r="Y266" t="s">
        <v>5055</v>
      </c>
      <c r="Z266" t="s">
        <v>5056</v>
      </c>
      <c r="AA266" t="s">
        <v>5057</v>
      </c>
      <c r="AB266" t="s">
        <v>5058</v>
      </c>
      <c r="AC266" t="s">
        <v>5059</v>
      </c>
      <c r="AD266" t="s">
        <v>5060</v>
      </c>
      <c r="AE266" t="s">
        <v>5061</v>
      </c>
      <c r="AF266" t="s">
        <v>74</v>
      </c>
      <c r="AG266">
        <v>42</v>
      </c>
      <c r="AH266">
        <v>41</v>
      </c>
      <c r="AI266">
        <v>46</v>
      </c>
      <c r="AJ266">
        <v>0</v>
      </c>
      <c r="AK266">
        <v>22</v>
      </c>
      <c r="AL266" t="s">
        <v>766</v>
      </c>
      <c r="AM266" t="s">
        <v>767</v>
      </c>
      <c r="AN266" t="s">
        <v>768</v>
      </c>
      <c r="AO266" t="s">
        <v>5040</v>
      </c>
      <c r="AP266" t="s">
        <v>74</v>
      </c>
      <c r="AQ266" t="s">
        <v>74</v>
      </c>
      <c r="AR266" t="s">
        <v>5041</v>
      </c>
      <c r="AS266" t="s">
        <v>5042</v>
      </c>
      <c r="AT266" t="s">
        <v>74</v>
      </c>
      <c r="AU266">
        <v>2012</v>
      </c>
      <c r="AV266">
        <v>8</v>
      </c>
      <c r="AW266">
        <v>4</v>
      </c>
      <c r="AX266" t="s">
        <v>74</v>
      </c>
      <c r="AY266" t="s">
        <v>74</v>
      </c>
      <c r="AZ266" t="s">
        <v>74</v>
      </c>
      <c r="BA266" t="s">
        <v>74</v>
      </c>
      <c r="BB266">
        <v>419</v>
      </c>
      <c r="BC266">
        <v>432</v>
      </c>
      <c r="BD266" t="s">
        <v>74</v>
      </c>
      <c r="BE266" t="s">
        <v>5062</v>
      </c>
      <c r="BF266" t="str">
        <f>HYPERLINK("http://dx.doi.org/10.5194/os-8-419-2012","http://dx.doi.org/10.5194/os-8-419-2012")</f>
        <v>http://dx.doi.org/10.5194/os-8-419-2012</v>
      </c>
      <c r="BG266" t="s">
        <v>74</v>
      </c>
      <c r="BH266" t="s">
        <v>74</v>
      </c>
      <c r="BI266">
        <v>14</v>
      </c>
      <c r="BJ266" t="s">
        <v>5044</v>
      </c>
      <c r="BK266" t="s">
        <v>100</v>
      </c>
      <c r="BL266" t="s">
        <v>5044</v>
      </c>
      <c r="BM266" t="s">
        <v>5063</v>
      </c>
      <c r="BN266" t="s">
        <v>74</v>
      </c>
      <c r="BO266" t="s">
        <v>1392</v>
      </c>
      <c r="BP266" t="s">
        <v>74</v>
      </c>
      <c r="BQ266" t="s">
        <v>74</v>
      </c>
      <c r="BR266" t="s">
        <v>102</v>
      </c>
      <c r="BS266" t="s">
        <v>5064</v>
      </c>
      <c r="BT266" t="str">
        <f>HYPERLINK("https%3A%2F%2Fwww.webofscience.com%2Fwos%2Fwoscc%2Ffull-record%2FWOS:000309616400002","View Full Record in Web of Science")</f>
        <v>View Full Record in Web of Science</v>
      </c>
    </row>
    <row r="267" spans="1:72" x14ac:dyDescent="0.15">
      <c r="A267" t="s">
        <v>72</v>
      </c>
      <c r="B267" t="s">
        <v>5065</v>
      </c>
      <c r="C267" t="s">
        <v>74</v>
      </c>
      <c r="D267" t="s">
        <v>74</v>
      </c>
      <c r="E267" t="s">
        <v>74</v>
      </c>
      <c r="F267" t="s">
        <v>5066</v>
      </c>
      <c r="G267" t="s">
        <v>74</v>
      </c>
      <c r="H267" t="s">
        <v>74</v>
      </c>
      <c r="I267" t="s">
        <v>5067</v>
      </c>
      <c r="J267" t="s">
        <v>5028</v>
      </c>
      <c r="K267" t="s">
        <v>74</v>
      </c>
      <c r="L267" t="s">
        <v>74</v>
      </c>
      <c r="M267" t="s">
        <v>78</v>
      </c>
      <c r="N267" t="s">
        <v>79</v>
      </c>
      <c r="O267" t="s">
        <v>74</v>
      </c>
      <c r="P267" t="s">
        <v>74</v>
      </c>
      <c r="Q267" t="s">
        <v>74</v>
      </c>
      <c r="R267" t="s">
        <v>74</v>
      </c>
      <c r="S267" t="s">
        <v>74</v>
      </c>
      <c r="T267" t="s">
        <v>74</v>
      </c>
      <c r="U267" t="s">
        <v>5068</v>
      </c>
      <c r="V267" t="s">
        <v>5069</v>
      </c>
      <c r="W267" t="s">
        <v>5070</v>
      </c>
      <c r="X267" t="s">
        <v>5071</v>
      </c>
      <c r="Y267" t="s">
        <v>5072</v>
      </c>
      <c r="Z267" t="s">
        <v>5073</v>
      </c>
      <c r="AA267" t="s">
        <v>74</v>
      </c>
      <c r="AB267" t="s">
        <v>74</v>
      </c>
      <c r="AC267" t="s">
        <v>5074</v>
      </c>
      <c r="AD267" t="s">
        <v>5075</v>
      </c>
      <c r="AE267" t="s">
        <v>5076</v>
      </c>
      <c r="AF267" t="s">
        <v>74</v>
      </c>
      <c r="AG267">
        <v>22</v>
      </c>
      <c r="AH267">
        <v>115</v>
      </c>
      <c r="AI267">
        <v>135</v>
      </c>
      <c r="AJ267">
        <v>1</v>
      </c>
      <c r="AK267">
        <v>33</v>
      </c>
      <c r="AL267" t="s">
        <v>766</v>
      </c>
      <c r="AM267" t="s">
        <v>767</v>
      </c>
      <c r="AN267" t="s">
        <v>768</v>
      </c>
      <c r="AO267" t="s">
        <v>5040</v>
      </c>
      <c r="AP267" t="s">
        <v>74</v>
      </c>
      <c r="AQ267" t="s">
        <v>74</v>
      </c>
      <c r="AR267" t="s">
        <v>5041</v>
      </c>
      <c r="AS267" t="s">
        <v>5042</v>
      </c>
      <c r="AT267" t="s">
        <v>74</v>
      </c>
      <c r="AU267">
        <v>2012</v>
      </c>
      <c r="AV267">
        <v>8</v>
      </c>
      <c r="AW267">
        <v>4</v>
      </c>
      <c r="AX267" t="s">
        <v>74</v>
      </c>
      <c r="AY267" t="s">
        <v>74</v>
      </c>
      <c r="AZ267" t="s">
        <v>74</v>
      </c>
      <c r="BA267" t="s">
        <v>74</v>
      </c>
      <c r="BB267">
        <v>433</v>
      </c>
      <c r="BC267">
        <v>442</v>
      </c>
      <c r="BD267" t="s">
        <v>74</v>
      </c>
      <c r="BE267" t="s">
        <v>5077</v>
      </c>
      <c r="BF267" t="str">
        <f>HYPERLINK("http://dx.doi.org/10.5194/os-8-433-2012","http://dx.doi.org/10.5194/os-8-433-2012")</f>
        <v>http://dx.doi.org/10.5194/os-8-433-2012</v>
      </c>
      <c r="BG267" t="s">
        <v>74</v>
      </c>
      <c r="BH267" t="s">
        <v>74</v>
      </c>
      <c r="BI267">
        <v>10</v>
      </c>
      <c r="BJ267" t="s">
        <v>5044</v>
      </c>
      <c r="BK267" t="s">
        <v>100</v>
      </c>
      <c r="BL267" t="s">
        <v>5044</v>
      </c>
      <c r="BM267" t="s">
        <v>5063</v>
      </c>
      <c r="BN267" t="s">
        <v>74</v>
      </c>
      <c r="BO267" t="s">
        <v>1237</v>
      </c>
      <c r="BP267" t="s">
        <v>74</v>
      </c>
      <c r="BQ267" t="s">
        <v>74</v>
      </c>
      <c r="BR267" t="s">
        <v>102</v>
      </c>
      <c r="BS267" t="s">
        <v>5078</v>
      </c>
      <c r="BT267" t="str">
        <f>HYPERLINK("https%3A%2F%2Fwww.webofscience.com%2Fwos%2Fwoscc%2Ffull-record%2FWOS:000309616400003","View Full Record in Web of Science")</f>
        <v>View Full Record in Web of Science</v>
      </c>
    </row>
    <row r="268" spans="1:72" x14ac:dyDescent="0.15">
      <c r="A268" t="s">
        <v>72</v>
      </c>
      <c r="B268" t="s">
        <v>5079</v>
      </c>
      <c r="C268" t="s">
        <v>74</v>
      </c>
      <c r="D268" t="s">
        <v>74</v>
      </c>
      <c r="E268" t="s">
        <v>74</v>
      </c>
      <c r="F268" t="s">
        <v>5080</v>
      </c>
      <c r="G268" t="s">
        <v>74</v>
      </c>
      <c r="H268" t="s">
        <v>74</v>
      </c>
      <c r="I268" t="s">
        <v>5081</v>
      </c>
      <c r="J268" t="s">
        <v>5028</v>
      </c>
      <c r="K268" t="s">
        <v>74</v>
      </c>
      <c r="L268" t="s">
        <v>74</v>
      </c>
      <c r="M268" t="s">
        <v>78</v>
      </c>
      <c r="N268" t="s">
        <v>79</v>
      </c>
      <c r="O268" t="s">
        <v>74</v>
      </c>
      <c r="P268" t="s">
        <v>74</v>
      </c>
      <c r="Q268" t="s">
        <v>74</v>
      </c>
      <c r="R268" t="s">
        <v>74</v>
      </c>
      <c r="S268" t="s">
        <v>74</v>
      </c>
      <c r="T268" t="s">
        <v>74</v>
      </c>
      <c r="U268" t="s">
        <v>5082</v>
      </c>
      <c r="V268" t="s">
        <v>5083</v>
      </c>
      <c r="W268" t="s">
        <v>5084</v>
      </c>
      <c r="X268" t="s">
        <v>5085</v>
      </c>
      <c r="Y268" t="s">
        <v>5086</v>
      </c>
      <c r="Z268" t="s">
        <v>5087</v>
      </c>
      <c r="AA268" t="s">
        <v>5088</v>
      </c>
      <c r="AB268" t="s">
        <v>5089</v>
      </c>
      <c r="AC268" t="s">
        <v>5090</v>
      </c>
      <c r="AD268" t="s">
        <v>5091</v>
      </c>
      <c r="AE268" t="s">
        <v>5092</v>
      </c>
      <c r="AF268" t="s">
        <v>74</v>
      </c>
      <c r="AG268">
        <v>24</v>
      </c>
      <c r="AH268">
        <v>5</v>
      </c>
      <c r="AI268">
        <v>5</v>
      </c>
      <c r="AJ268">
        <v>0</v>
      </c>
      <c r="AK268">
        <v>4</v>
      </c>
      <c r="AL268" t="s">
        <v>766</v>
      </c>
      <c r="AM268" t="s">
        <v>767</v>
      </c>
      <c r="AN268" t="s">
        <v>768</v>
      </c>
      <c r="AO268" t="s">
        <v>5040</v>
      </c>
      <c r="AP268" t="s">
        <v>5093</v>
      </c>
      <c r="AQ268" t="s">
        <v>74</v>
      </c>
      <c r="AR268" t="s">
        <v>5041</v>
      </c>
      <c r="AS268" t="s">
        <v>5042</v>
      </c>
      <c r="AT268" t="s">
        <v>74</v>
      </c>
      <c r="AU268">
        <v>2012</v>
      </c>
      <c r="AV268">
        <v>8</v>
      </c>
      <c r="AW268">
        <v>6</v>
      </c>
      <c r="AX268" t="s">
        <v>74</v>
      </c>
      <c r="AY268" t="s">
        <v>74</v>
      </c>
      <c r="AZ268" t="s">
        <v>74</v>
      </c>
      <c r="BA268" t="s">
        <v>74</v>
      </c>
      <c r="BB268">
        <v>1117</v>
      </c>
      <c r="BC268">
        <v>1122</v>
      </c>
      <c r="BD268" t="s">
        <v>74</v>
      </c>
      <c r="BE268" t="s">
        <v>5094</v>
      </c>
      <c r="BF268" t="str">
        <f>HYPERLINK("http://dx.doi.org/10.5194/os-8-1117-2012","http://dx.doi.org/10.5194/os-8-1117-2012")</f>
        <v>http://dx.doi.org/10.5194/os-8-1117-2012</v>
      </c>
      <c r="BG268" t="s">
        <v>74</v>
      </c>
      <c r="BH268" t="s">
        <v>74</v>
      </c>
      <c r="BI268">
        <v>6</v>
      </c>
      <c r="BJ268" t="s">
        <v>5044</v>
      </c>
      <c r="BK268" t="s">
        <v>100</v>
      </c>
      <c r="BL268" t="s">
        <v>5044</v>
      </c>
      <c r="BM268" t="s">
        <v>5095</v>
      </c>
      <c r="BN268" t="s">
        <v>74</v>
      </c>
      <c r="BO268" t="s">
        <v>1326</v>
      </c>
      <c r="BP268" t="s">
        <v>74</v>
      </c>
      <c r="BQ268" t="s">
        <v>74</v>
      </c>
      <c r="BR268" t="s">
        <v>102</v>
      </c>
      <c r="BS268" t="s">
        <v>5096</v>
      </c>
      <c r="BT268" t="str">
        <f>HYPERLINK("https%3A%2F%2Fwww.webofscience.com%2Fwos%2Fwoscc%2Ffull-record%2FWOS:000312698600014","View Full Record in Web of Science")</f>
        <v>View Full Record in Web of Science</v>
      </c>
    </row>
    <row r="269" spans="1:72" x14ac:dyDescent="0.15">
      <c r="A269" t="s">
        <v>72</v>
      </c>
      <c r="B269" t="s">
        <v>5097</v>
      </c>
      <c r="C269" t="s">
        <v>74</v>
      </c>
      <c r="D269" t="s">
        <v>74</v>
      </c>
      <c r="E269" t="s">
        <v>74</v>
      </c>
      <c r="F269" t="s">
        <v>5098</v>
      </c>
      <c r="G269" t="s">
        <v>74</v>
      </c>
      <c r="H269" t="s">
        <v>74</v>
      </c>
      <c r="I269" t="s">
        <v>5099</v>
      </c>
      <c r="J269" t="s">
        <v>5100</v>
      </c>
      <c r="K269" t="s">
        <v>74</v>
      </c>
      <c r="L269" t="s">
        <v>74</v>
      </c>
      <c r="M269" t="s">
        <v>78</v>
      </c>
      <c r="N269" t="s">
        <v>79</v>
      </c>
      <c r="O269" t="s">
        <v>74</v>
      </c>
      <c r="P269" t="s">
        <v>74</v>
      </c>
      <c r="Q269" t="s">
        <v>74</v>
      </c>
      <c r="R269" t="s">
        <v>74</v>
      </c>
      <c r="S269" t="s">
        <v>74</v>
      </c>
      <c r="T269" t="s">
        <v>5101</v>
      </c>
      <c r="U269" t="s">
        <v>74</v>
      </c>
      <c r="V269" t="s">
        <v>5102</v>
      </c>
      <c r="W269" t="s">
        <v>5103</v>
      </c>
      <c r="X269" t="s">
        <v>5104</v>
      </c>
      <c r="Y269" t="s">
        <v>5105</v>
      </c>
      <c r="Z269" t="s">
        <v>5106</v>
      </c>
      <c r="AA269" t="s">
        <v>74</v>
      </c>
      <c r="AB269" t="s">
        <v>5107</v>
      </c>
      <c r="AC269" t="s">
        <v>5108</v>
      </c>
      <c r="AD269" t="s">
        <v>5109</v>
      </c>
      <c r="AE269" t="s">
        <v>5110</v>
      </c>
      <c r="AF269" t="s">
        <v>74</v>
      </c>
      <c r="AG269">
        <v>20</v>
      </c>
      <c r="AH269">
        <v>0</v>
      </c>
      <c r="AI269">
        <v>1</v>
      </c>
      <c r="AJ269">
        <v>0</v>
      </c>
      <c r="AK269">
        <v>4</v>
      </c>
      <c r="AL269" t="s">
        <v>5111</v>
      </c>
      <c r="AM269" t="s">
        <v>5112</v>
      </c>
      <c r="AN269" t="s">
        <v>5113</v>
      </c>
      <c r="AO269" t="s">
        <v>5114</v>
      </c>
      <c r="AP269" t="s">
        <v>74</v>
      </c>
      <c r="AQ269" t="s">
        <v>74</v>
      </c>
      <c r="AR269" t="s">
        <v>5115</v>
      </c>
      <c r="AS269" t="s">
        <v>5116</v>
      </c>
      <c r="AT269" t="s">
        <v>74</v>
      </c>
      <c r="AU269">
        <v>2012</v>
      </c>
      <c r="AV269">
        <v>23</v>
      </c>
      <c r="AW269">
        <v>2</v>
      </c>
      <c r="AX269" t="s">
        <v>74</v>
      </c>
      <c r="AY269" t="s">
        <v>74</v>
      </c>
      <c r="AZ269" t="s">
        <v>74</v>
      </c>
      <c r="BA269" t="s">
        <v>74</v>
      </c>
      <c r="BB269">
        <v>235</v>
      </c>
      <c r="BC269">
        <v>242</v>
      </c>
      <c r="BD269" t="s">
        <v>74</v>
      </c>
      <c r="BE269" t="s">
        <v>74</v>
      </c>
      <c r="BF269" t="s">
        <v>74</v>
      </c>
      <c r="BG269" t="s">
        <v>74</v>
      </c>
      <c r="BH269" t="s">
        <v>74</v>
      </c>
      <c r="BI269">
        <v>8</v>
      </c>
      <c r="BJ269" t="s">
        <v>2880</v>
      </c>
      <c r="BK269" t="s">
        <v>100</v>
      </c>
      <c r="BL269" t="s">
        <v>2881</v>
      </c>
      <c r="BM269" t="s">
        <v>5117</v>
      </c>
      <c r="BN269" t="s">
        <v>74</v>
      </c>
      <c r="BO269" t="s">
        <v>74</v>
      </c>
      <c r="BP269" t="s">
        <v>74</v>
      </c>
      <c r="BQ269" t="s">
        <v>74</v>
      </c>
      <c r="BR269" t="s">
        <v>102</v>
      </c>
      <c r="BS269" t="s">
        <v>5118</v>
      </c>
      <c r="BT269" t="str">
        <f>HYPERLINK("https%3A%2F%2Fwww.webofscience.com%2Fwos%2Fwoscc%2Ffull-record%2FWOS:000209469200009","View Full Record in Web of Science")</f>
        <v>View Full Record in Web of Science</v>
      </c>
    </row>
    <row r="270" spans="1:72" x14ac:dyDescent="0.15">
      <c r="A270" t="s">
        <v>72</v>
      </c>
      <c r="B270" t="s">
        <v>5119</v>
      </c>
      <c r="C270" t="s">
        <v>74</v>
      </c>
      <c r="D270" t="s">
        <v>74</v>
      </c>
      <c r="E270" t="s">
        <v>74</v>
      </c>
      <c r="F270" t="s">
        <v>5120</v>
      </c>
      <c r="G270" t="s">
        <v>74</v>
      </c>
      <c r="H270" t="s">
        <v>74</v>
      </c>
      <c r="I270" t="s">
        <v>5121</v>
      </c>
      <c r="J270" t="s">
        <v>5122</v>
      </c>
      <c r="K270" t="s">
        <v>74</v>
      </c>
      <c r="L270" t="s">
        <v>74</v>
      </c>
      <c r="M270" t="s">
        <v>78</v>
      </c>
      <c r="N270" t="s">
        <v>79</v>
      </c>
      <c r="O270" t="s">
        <v>74</v>
      </c>
      <c r="P270" t="s">
        <v>74</v>
      </c>
      <c r="Q270" t="s">
        <v>74</v>
      </c>
      <c r="R270" t="s">
        <v>74</v>
      </c>
      <c r="S270" t="s">
        <v>74</v>
      </c>
      <c r="T270" t="s">
        <v>74</v>
      </c>
      <c r="U270" t="s">
        <v>5123</v>
      </c>
      <c r="V270" t="s">
        <v>5124</v>
      </c>
      <c r="W270" t="s">
        <v>5125</v>
      </c>
      <c r="X270" t="s">
        <v>5126</v>
      </c>
      <c r="Y270" t="s">
        <v>5127</v>
      </c>
      <c r="Z270" t="s">
        <v>5128</v>
      </c>
      <c r="AA270" t="s">
        <v>5129</v>
      </c>
      <c r="AB270" t="s">
        <v>5130</v>
      </c>
      <c r="AC270" t="s">
        <v>5131</v>
      </c>
      <c r="AD270" t="s">
        <v>5132</v>
      </c>
      <c r="AE270" t="s">
        <v>5133</v>
      </c>
      <c r="AF270" t="s">
        <v>74</v>
      </c>
      <c r="AG270">
        <v>74</v>
      </c>
      <c r="AH270">
        <v>32</v>
      </c>
      <c r="AI270">
        <v>33</v>
      </c>
      <c r="AJ270">
        <v>0</v>
      </c>
      <c r="AK270">
        <v>24</v>
      </c>
      <c r="AL270" t="s">
        <v>5134</v>
      </c>
      <c r="AM270" t="s">
        <v>5135</v>
      </c>
      <c r="AN270" t="s">
        <v>5136</v>
      </c>
      <c r="AO270" t="s">
        <v>5137</v>
      </c>
      <c r="AP270" t="s">
        <v>5138</v>
      </c>
      <c r="AQ270" t="s">
        <v>74</v>
      </c>
      <c r="AR270" t="s">
        <v>5122</v>
      </c>
      <c r="AS270" t="s">
        <v>5139</v>
      </c>
      <c r="AT270" t="s">
        <v>388</v>
      </c>
      <c r="AU270">
        <v>2012</v>
      </c>
      <c r="AV270">
        <v>27</v>
      </c>
      <c r="AW270" t="s">
        <v>1776</v>
      </c>
      <c r="AX270" t="s">
        <v>74</v>
      </c>
      <c r="AY270" t="s">
        <v>74</v>
      </c>
      <c r="AZ270" t="s">
        <v>74</v>
      </c>
      <c r="BA270" t="s">
        <v>74</v>
      </c>
      <c r="BB270">
        <v>55</v>
      </c>
      <c r="BC270">
        <v>62</v>
      </c>
      <c r="BD270" t="s">
        <v>74</v>
      </c>
      <c r="BE270" t="s">
        <v>5140</v>
      </c>
      <c r="BF270" t="str">
        <f>HYPERLINK("http://dx.doi.org/10.2110/palo.2011.p11-076r","http://dx.doi.org/10.2110/palo.2011.p11-076r")</f>
        <v>http://dx.doi.org/10.2110/palo.2011.p11-076r</v>
      </c>
      <c r="BG270" t="s">
        <v>74</v>
      </c>
      <c r="BH270" t="s">
        <v>74</v>
      </c>
      <c r="BI270">
        <v>8</v>
      </c>
      <c r="BJ270" t="s">
        <v>5141</v>
      </c>
      <c r="BK270" t="s">
        <v>100</v>
      </c>
      <c r="BL270" t="s">
        <v>5141</v>
      </c>
      <c r="BM270" t="s">
        <v>5142</v>
      </c>
      <c r="BN270" t="s">
        <v>74</v>
      </c>
      <c r="BO270" t="s">
        <v>342</v>
      </c>
      <c r="BP270" t="s">
        <v>74</v>
      </c>
      <c r="BQ270" t="s">
        <v>74</v>
      </c>
      <c r="BR270" t="s">
        <v>102</v>
      </c>
      <c r="BS270" t="s">
        <v>5143</v>
      </c>
      <c r="BT270" t="str">
        <f>HYPERLINK("https%3A%2F%2Fwww.webofscience.com%2Fwos%2Fwoscc%2Ffull-record%2FWOS:000301469400006","View Full Record in Web of Science")</f>
        <v>View Full Record in Web of Science</v>
      </c>
    </row>
    <row r="271" spans="1:72" x14ac:dyDescent="0.15">
      <c r="A271" t="s">
        <v>72</v>
      </c>
      <c r="B271" t="s">
        <v>5144</v>
      </c>
      <c r="C271" t="s">
        <v>74</v>
      </c>
      <c r="D271" t="s">
        <v>74</v>
      </c>
      <c r="E271" t="s">
        <v>74</v>
      </c>
      <c r="F271" t="s">
        <v>5145</v>
      </c>
      <c r="G271" t="s">
        <v>74</v>
      </c>
      <c r="H271" t="s">
        <v>74</v>
      </c>
      <c r="I271" t="s">
        <v>5146</v>
      </c>
      <c r="J271" t="s">
        <v>5147</v>
      </c>
      <c r="K271" t="s">
        <v>74</v>
      </c>
      <c r="L271" t="s">
        <v>74</v>
      </c>
      <c r="M271" t="s">
        <v>78</v>
      </c>
      <c r="N271" t="s">
        <v>79</v>
      </c>
      <c r="O271" t="s">
        <v>74</v>
      </c>
      <c r="P271" t="s">
        <v>74</v>
      </c>
      <c r="Q271" t="s">
        <v>74</v>
      </c>
      <c r="R271" t="s">
        <v>74</v>
      </c>
      <c r="S271" t="s">
        <v>74</v>
      </c>
      <c r="T271" t="s">
        <v>5148</v>
      </c>
      <c r="U271" t="s">
        <v>5149</v>
      </c>
      <c r="V271" t="s">
        <v>5150</v>
      </c>
      <c r="W271" t="s">
        <v>5151</v>
      </c>
      <c r="X271" t="s">
        <v>5152</v>
      </c>
      <c r="Y271" t="s">
        <v>5153</v>
      </c>
      <c r="Z271" t="s">
        <v>5154</v>
      </c>
      <c r="AA271" t="s">
        <v>5155</v>
      </c>
      <c r="AB271" t="s">
        <v>5156</v>
      </c>
      <c r="AC271" t="s">
        <v>5157</v>
      </c>
      <c r="AD271" t="s">
        <v>5158</v>
      </c>
      <c r="AE271" t="s">
        <v>5159</v>
      </c>
      <c r="AF271" t="s">
        <v>74</v>
      </c>
      <c r="AG271">
        <v>56</v>
      </c>
      <c r="AH271">
        <v>13</v>
      </c>
      <c r="AI271">
        <v>15</v>
      </c>
      <c r="AJ271">
        <v>3</v>
      </c>
      <c r="AK271">
        <v>61</v>
      </c>
      <c r="AL271" t="s">
        <v>4112</v>
      </c>
      <c r="AM271" t="s">
        <v>4113</v>
      </c>
      <c r="AN271" t="s">
        <v>4114</v>
      </c>
      <c r="AO271" t="s">
        <v>5160</v>
      </c>
      <c r="AP271" t="s">
        <v>5161</v>
      </c>
      <c r="AQ271" t="s">
        <v>74</v>
      </c>
      <c r="AR271" t="s">
        <v>5147</v>
      </c>
      <c r="AS271" t="s">
        <v>5162</v>
      </c>
      <c r="AT271" t="s">
        <v>74</v>
      </c>
      <c r="AU271">
        <v>2012</v>
      </c>
      <c r="AV271">
        <v>55</v>
      </c>
      <c r="AW271">
        <v>2</v>
      </c>
      <c r="AX271" t="s">
        <v>74</v>
      </c>
      <c r="AY271" t="s">
        <v>74</v>
      </c>
      <c r="AZ271" t="s">
        <v>74</v>
      </c>
      <c r="BA271" t="s">
        <v>74</v>
      </c>
      <c r="BB271">
        <v>75</v>
      </c>
      <c r="BC271">
        <v>81</v>
      </c>
      <c r="BD271" t="s">
        <v>74</v>
      </c>
      <c r="BE271" t="s">
        <v>5163</v>
      </c>
      <c r="BF271" t="str">
        <f>HYPERLINK("http://dx.doi.org/10.1016/j.pedobi.2011.11.001","http://dx.doi.org/10.1016/j.pedobi.2011.11.001")</f>
        <v>http://dx.doi.org/10.1016/j.pedobi.2011.11.001</v>
      </c>
      <c r="BG271" t="s">
        <v>74</v>
      </c>
      <c r="BH271" t="s">
        <v>74</v>
      </c>
      <c r="BI271">
        <v>7</v>
      </c>
      <c r="BJ271" t="s">
        <v>5164</v>
      </c>
      <c r="BK271" t="s">
        <v>100</v>
      </c>
      <c r="BL271" t="s">
        <v>5165</v>
      </c>
      <c r="BM271" t="s">
        <v>5166</v>
      </c>
      <c r="BN271" t="s">
        <v>74</v>
      </c>
      <c r="BO271" t="s">
        <v>74</v>
      </c>
      <c r="BP271" t="s">
        <v>74</v>
      </c>
      <c r="BQ271" t="s">
        <v>74</v>
      </c>
      <c r="BR271" t="s">
        <v>102</v>
      </c>
      <c r="BS271" t="s">
        <v>5167</v>
      </c>
      <c r="BT271" t="str">
        <f>HYPERLINK("https%3A%2F%2Fwww.webofscience.com%2Fwos%2Fwoscc%2Ffull-record%2FWOS:000302984000002","View Full Record in Web of Science")</f>
        <v>View Full Record in Web of Science</v>
      </c>
    </row>
    <row r="272" spans="1:72" x14ac:dyDescent="0.15">
      <c r="A272" t="s">
        <v>72</v>
      </c>
      <c r="B272" t="s">
        <v>5168</v>
      </c>
      <c r="C272" t="s">
        <v>74</v>
      </c>
      <c r="D272" t="s">
        <v>74</v>
      </c>
      <c r="E272" t="s">
        <v>74</v>
      </c>
      <c r="F272" t="s">
        <v>5169</v>
      </c>
      <c r="G272" t="s">
        <v>74</v>
      </c>
      <c r="H272" t="s">
        <v>74</v>
      </c>
      <c r="I272" t="s">
        <v>5170</v>
      </c>
      <c r="J272" t="s">
        <v>5171</v>
      </c>
      <c r="K272" t="s">
        <v>74</v>
      </c>
      <c r="L272" t="s">
        <v>74</v>
      </c>
      <c r="M272" t="s">
        <v>78</v>
      </c>
      <c r="N272" t="s">
        <v>79</v>
      </c>
      <c r="O272" t="s">
        <v>74</v>
      </c>
      <c r="P272" t="s">
        <v>74</v>
      </c>
      <c r="Q272" t="s">
        <v>74</v>
      </c>
      <c r="R272" t="s">
        <v>74</v>
      </c>
      <c r="S272" t="s">
        <v>74</v>
      </c>
      <c r="T272" t="s">
        <v>74</v>
      </c>
      <c r="U272" t="s">
        <v>5172</v>
      </c>
      <c r="V272" t="s">
        <v>5173</v>
      </c>
      <c r="W272" t="s">
        <v>5174</v>
      </c>
      <c r="X272" t="s">
        <v>5175</v>
      </c>
      <c r="Y272" t="s">
        <v>5176</v>
      </c>
      <c r="Z272" t="s">
        <v>74</v>
      </c>
      <c r="AA272" t="s">
        <v>74</v>
      </c>
      <c r="AB272" t="s">
        <v>74</v>
      </c>
      <c r="AC272" t="s">
        <v>74</v>
      </c>
      <c r="AD272" t="s">
        <v>74</v>
      </c>
      <c r="AE272" t="s">
        <v>74</v>
      </c>
      <c r="AF272" t="s">
        <v>74</v>
      </c>
      <c r="AG272">
        <v>19</v>
      </c>
      <c r="AH272">
        <v>1</v>
      </c>
      <c r="AI272">
        <v>1</v>
      </c>
      <c r="AJ272">
        <v>0</v>
      </c>
      <c r="AK272">
        <v>9</v>
      </c>
      <c r="AL272" t="s">
        <v>5177</v>
      </c>
      <c r="AM272" t="s">
        <v>221</v>
      </c>
      <c r="AN272" t="s">
        <v>2986</v>
      </c>
      <c r="AO272" t="s">
        <v>5178</v>
      </c>
      <c r="AP272" t="s">
        <v>5179</v>
      </c>
      <c r="AQ272" t="s">
        <v>74</v>
      </c>
      <c r="AR272" t="s">
        <v>5180</v>
      </c>
      <c r="AS272" t="s">
        <v>5181</v>
      </c>
      <c r="AT272" t="s">
        <v>74</v>
      </c>
      <c r="AU272">
        <v>2012</v>
      </c>
      <c r="AV272">
        <v>11</v>
      </c>
      <c r="AW272">
        <v>7</v>
      </c>
      <c r="AX272" t="s">
        <v>74</v>
      </c>
      <c r="AY272" t="s">
        <v>74</v>
      </c>
      <c r="AZ272" t="s">
        <v>74</v>
      </c>
      <c r="BA272" t="s">
        <v>74</v>
      </c>
      <c r="BB272">
        <v>1193</v>
      </c>
      <c r="BC272">
        <v>1200</v>
      </c>
      <c r="BD272" t="s">
        <v>74</v>
      </c>
      <c r="BE272" t="s">
        <v>5182</v>
      </c>
      <c r="BF272" t="str">
        <f>HYPERLINK("http://dx.doi.org/10.1039/c2pp05365a","http://dx.doi.org/10.1039/c2pp05365a")</f>
        <v>http://dx.doi.org/10.1039/c2pp05365a</v>
      </c>
      <c r="BG272" t="s">
        <v>74</v>
      </c>
      <c r="BH272" t="s">
        <v>74</v>
      </c>
      <c r="BI272">
        <v>8</v>
      </c>
      <c r="BJ272" t="s">
        <v>5183</v>
      </c>
      <c r="BK272" t="s">
        <v>100</v>
      </c>
      <c r="BL272" t="s">
        <v>5184</v>
      </c>
      <c r="BM272" t="s">
        <v>5185</v>
      </c>
      <c r="BN272">
        <v>22419356</v>
      </c>
      <c r="BO272" t="s">
        <v>365</v>
      </c>
      <c r="BP272" t="s">
        <v>74</v>
      </c>
      <c r="BQ272" t="s">
        <v>74</v>
      </c>
      <c r="BR272" t="s">
        <v>102</v>
      </c>
      <c r="BS272" t="s">
        <v>5186</v>
      </c>
      <c r="BT272" t="str">
        <f>HYPERLINK("https%3A%2F%2Fwww.webofscience.com%2Fwos%2Fwoscc%2Ffull-record%2FWOS:000305533100007","View Full Record in Web of Science")</f>
        <v>View Full Record in Web of Science</v>
      </c>
    </row>
    <row r="273" spans="1:72" x14ac:dyDescent="0.15">
      <c r="A273" t="s">
        <v>72</v>
      </c>
      <c r="B273" t="s">
        <v>5187</v>
      </c>
      <c r="C273" t="s">
        <v>74</v>
      </c>
      <c r="D273" t="s">
        <v>74</v>
      </c>
      <c r="E273" t="s">
        <v>74</v>
      </c>
      <c r="F273" t="s">
        <v>5188</v>
      </c>
      <c r="G273" t="s">
        <v>74</v>
      </c>
      <c r="H273" t="s">
        <v>74</v>
      </c>
      <c r="I273" t="s">
        <v>5189</v>
      </c>
      <c r="J273" t="s">
        <v>5190</v>
      </c>
      <c r="K273" t="s">
        <v>74</v>
      </c>
      <c r="L273" t="s">
        <v>74</v>
      </c>
      <c r="M273" t="s">
        <v>78</v>
      </c>
      <c r="N273" t="s">
        <v>79</v>
      </c>
      <c r="O273" t="s">
        <v>74</v>
      </c>
      <c r="P273" t="s">
        <v>74</v>
      </c>
      <c r="Q273" t="s">
        <v>74</v>
      </c>
      <c r="R273" t="s">
        <v>74</v>
      </c>
      <c r="S273" t="s">
        <v>74</v>
      </c>
      <c r="T273" t="s">
        <v>5191</v>
      </c>
      <c r="U273" t="s">
        <v>5192</v>
      </c>
      <c r="V273" t="s">
        <v>5193</v>
      </c>
      <c r="W273" t="s">
        <v>5194</v>
      </c>
      <c r="X273" t="s">
        <v>5195</v>
      </c>
      <c r="Y273" t="s">
        <v>5196</v>
      </c>
      <c r="Z273" t="s">
        <v>5197</v>
      </c>
      <c r="AA273" t="s">
        <v>5198</v>
      </c>
      <c r="AB273" t="s">
        <v>5199</v>
      </c>
      <c r="AC273" t="s">
        <v>5200</v>
      </c>
      <c r="AD273" t="s">
        <v>5201</v>
      </c>
      <c r="AE273" t="s">
        <v>5202</v>
      </c>
      <c r="AF273" t="s">
        <v>74</v>
      </c>
      <c r="AG273">
        <v>80</v>
      </c>
      <c r="AH273">
        <v>7</v>
      </c>
      <c r="AI273">
        <v>7</v>
      </c>
      <c r="AJ273">
        <v>2</v>
      </c>
      <c r="AK273">
        <v>25</v>
      </c>
      <c r="AL273" t="s">
        <v>155</v>
      </c>
      <c r="AM273" t="s">
        <v>156</v>
      </c>
      <c r="AN273" t="s">
        <v>157</v>
      </c>
      <c r="AO273" t="s">
        <v>5203</v>
      </c>
      <c r="AP273" t="s">
        <v>5204</v>
      </c>
      <c r="AQ273" t="s">
        <v>74</v>
      </c>
      <c r="AR273" t="s">
        <v>5205</v>
      </c>
      <c r="AS273" t="s">
        <v>5206</v>
      </c>
      <c r="AT273" t="s">
        <v>97</v>
      </c>
      <c r="AU273">
        <v>2012</v>
      </c>
      <c r="AV273">
        <v>60</v>
      </c>
      <c r="AW273">
        <v>1</v>
      </c>
      <c r="AX273" t="s">
        <v>74</v>
      </c>
      <c r="AY273" t="s">
        <v>74</v>
      </c>
      <c r="AZ273" t="s">
        <v>74</v>
      </c>
      <c r="BA273" t="s">
        <v>74</v>
      </c>
      <c r="BB273">
        <v>386</v>
      </c>
      <c r="BC273">
        <v>398</v>
      </c>
      <c r="BD273" t="s">
        <v>74</v>
      </c>
      <c r="BE273" t="s">
        <v>5207</v>
      </c>
      <c r="BF273" t="str">
        <f>HYPERLINK("http://dx.doi.org/10.1016/j.pss.2011.11.008","http://dx.doi.org/10.1016/j.pss.2011.11.008")</f>
        <v>http://dx.doi.org/10.1016/j.pss.2011.11.008</v>
      </c>
      <c r="BG273" t="s">
        <v>74</v>
      </c>
      <c r="BH273" t="s">
        <v>74</v>
      </c>
      <c r="BI273">
        <v>13</v>
      </c>
      <c r="BJ273" t="s">
        <v>5208</v>
      </c>
      <c r="BK273" t="s">
        <v>100</v>
      </c>
      <c r="BL273" t="s">
        <v>5208</v>
      </c>
      <c r="BM273" t="s">
        <v>5209</v>
      </c>
      <c r="BN273" t="s">
        <v>74</v>
      </c>
      <c r="BO273" t="s">
        <v>74</v>
      </c>
      <c r="BP273" t="s">
        <v>74</v>
      </c>
      <c r="BQ273" t="s">
        <v>74</v>
      </c>
      <c r="BR273" t="s">
        <v>102</v>
      </c>
      <c r="BS273" t="s">
        <v>5210</v>
      </c>
      <c r="BT273" t="str">
        <f>HYPERLINK("https%3A%2F%2Fwww.webofscience.com%2Fwos%2Fwoscc%2Ffull-record%2FWOS:000300483200044","View Full Record in Web of Science")</f>
        <v>View Full Record in Web of Science</v>
      </c>
    </row>
    <row r="274" spans="1:72" x14ac:dyDescent="0.15">
      <c r="A274" t="s">
        <v>72</v>
      </c>
      <c r="B274" t="s">
        <v>5211</v>
      </c>
      <c r="C274" t="s">
        <v>74</v>
      </c>
      <c r="D274" t="s">
        <v>74</v>
      </c>
      <c r="E274" t="s">
        <v>74</v>
      </c>
      <c r="F274" t="s">
        <v>5212</v>
      </c>
      <c r="G274" t="s">
        <v>74</v>
      </c>
      <c r="H274" t="s">
        <v>74</v>
      </c>
      <c r="I274" t="s">
        <v>5213</v>
      </c>
      <c r="J274" t="s">
        <v>5214</v>
      </c>
      <c r="K274" t="s">
        <v>74</v>
      </c>
      <c r="L274" t="s">
        <v>74</v>
      </c>
      <c r="M274" t="s">
        <v>78</v>
      </c>
      <c r="N274" t="s">
        <v>79</v>
      </c>
      <c r="O274" t="s">
        <v>74</v>
      </c>
      <c r="P274" t="s">
        <v>74</v>
      </c>
      <c r="Q274" t="s">
        <v>74</v>
      </c>
      <c r="R274" t="s">
        <v>74</v>
      </c>
      <c r="S274" t="s">
        <v>74</v>
      </c>
      <c r="T274" t="s">
        <v>5215</v>
      </c>
      <c r="U274" t="s">
        <v>5216</v>
      </c>
      <c r="V274" t="s">
        <v>5217</v>
      </c>
      <c r="W274" t="s">
        <v>5218</v>
      </c>
      <c r="X274" t="s">
        <v>5219</v>
      </c>
      <c r="Y274" t="s">
        <v>5220</v>
      </c>
      <c r="Z274" t="s">
        <v>5221</v>
      </c>
      <c r="AA274" t="s">
        <v>5222</v>
      </c>
      <c r="AB274" t="s">
        <v>5223</v>
      </c>
      <c r="AC274" t="s">
        <v>5224</v>
      </c>
      <c r="AD274" t="s">
        <v>5225</v>
      </c>
      <c r="AE274" t="s">
        <v>5226</v>
      </c>
      <c r="AF274" t="s">
        <v>74</v>
      </c>
      <c r="AG274">
        <v>72</v>
      </c>
      <c r="AH274">
        <v>45</v>
      </c>
      <c r="AI274">
        <v>49</v>
      </c>
      <c r="AJ274">
        <v>2</v>
      </c>
      <c r="AK274">
        <v>51</v>
      </c>
      <c r="AL274" t="s">
        <v>5227</v>
      </c>
      <c r="AM274" t="s">
        <v>5228</v>
      </c>
      <c r="AN274" t="s">
        <v>5229</v>
      </c>
      <c r="AO274" t="s">
        <v>5230</v>
      </c>
      <c r="AP274" t="s">
        <v>5231</v>
      </c>
      <c r="AQ274" t="s">
        <v>74</v>
      </c>
      <c r="AR274" t="s">
        <v>5232</v>
      </c>
      <c r="AS274" t="s">
        <v>5233</v>
      </c>
      <c r="AT274" t="s">
        <v>74</v>
      </c>
      <c r="AU274">
        <v>2012</v>
      </c>
      <c r="AV274">
        <v>145</v>
      </c>
      <c r="AW274">
        <v>2</v>
      </c>
      <c r="AX274" t="s">
        <v>74</v>
      </c>
      <c r="AY274" t="s">
        <v>74</v>
      </c>
      <c r="AZ274" t="s">
        <v>74</v>
      </c>
      <c r="BA274" t="s">
        <v>74</v>
      </c>
      <c r="BB274">
        <v>190</v>
      </c>
      <c r="BC274">
        <v>208</v>
      </c>
      <c r="BD274" t="s">
        <v>74</v>
      </c>
      <c r="BE274" t="s">
        <v>5234</v>
      </c>
      <c r="BF274" t="str">
        <f>HYPERLINK("http://dx.doi.org/10.5091/plecevo.2012.639","http://dx.doi.org/10.5091/plecevo.2012.639")</f>
        <v>http://dx.doi.org/10.5091/plecevo.2012.639</v>
      </c>
      <c r="BG274" t="s">
        <v>74</v>
      </c>
      <c r="BH274" t="s">
        <v>74</v>
      </c>
      <c r="BI274">
        <v>19</v>
      </c>
      <c r="BJ274" t="s">
        <v>3216</v>
      </c>
      <c r="BK274" t="s">
        <v>100</v>
      </c>
      <c r="BL274" t="s">
        <v>3216</v>
      </c>
      <c r="BM274" t="s">
        <v>5235</v>
      </c>
      <c r="BN274" t="s">
        <v>74</v>
      </c>
      <c r="BO274" t="s">
        <v>3175</v>
      </c>
      <c r="BP274" t="s">
        <v>74</v>
      </c>
      <c r="BQ274" t="s">
        <v>74</v>
      </c>
      <c r="BR274" t="s">
        <v>102</v>
      </c>
      <c r="BS274" t="s">
        <v>5236</v>
      </c>
      <c r="BT274" t="str">
        <f>HYPERLINK("https%3A%2F%2Fwww.webofscience.com%2Fwos%2Fwoscc%2Ffull-record%2FWOS:000306302900006","View Full Record in Web of Science")</f>
        <v>View Full Record in Web of Science</v>
      </c>
    </row>
    <row r="275" spans="1:72" x14ac:dyDescent="0.15">
      <c r="A275" t="s">
        <v>72</v>
      </c>
      <c r="B275" t="s">
        <v>5237</v>
      </c>
      <c r="C275" t="s">
        <v>74</v>
      </c>
      <c r="D275" t="s">
        <v>74</v>
      </c>
      <c r="E275" t="s">
        <v>74</v>
      </c>
      <c r="F275" t="s">
        <v>5238</v>
      </c>
      <c r="G275" t="s">
        <v>74</v>
      </c>
      <c r="H275" t="s">
        <v>74</v>
      </c>
      <c r="I275" t="s">
        <v>5239</v>
      </c>
      <c r="J275" t="s">
        <v>5240</v>
      </c>
      <c r="K275" t="s">
        <v>74</v>
      </c>
      <c r="L275" t="s">
        <v>74</v>
      </c>
      <c r="M275" t="s">
        <v>78</v>
      </c>
      <c r="N275" t="s">
        <v>810</v>
      </c>
      <c r="O275" t="s">
        <v>74</v>
      </c>
      <c r="P275" t="s">
        <v>74</v>
      </c>
      <c r="Q275" t="s">
        <v>74</v>
      </c>
      <c r="R275" t="s">
        <v>74</v>
      </c>
      <c r="S275" t="s">
        <v>74</v>
      </c>
      <c r="T275" t="s">
        <v>74</v>
      </c>
      <c r="U275" t="s">
        <v>5241</v>
      </c>
      <c r="V275" t="s">
        <v>5242</v>
      </c>
      <c r="W275" t="s">
        <v>5243</v>
      </c>
      <c r="X275" t="s">
        <v>5244</v>
      </c>
      <c r="Y275" t="s">
        <v>5245</v>
      </c>
      <c r="Z275" t="s">
        <v>5246</v>
      </c>
      <c r="AA275" t="s">
        <v>5247</v>
      </c>
      <c r="AB275" t="s">
        <v>5248</v>
      </c>
      <c r="AC275" t="s">
        <v>74</v>
      </c>
      <c r="AD275" t="s">
        <v>74</v>
      </c>
      <c r="AE275" t="s">
        <v>74</v>
      </c>
      <c r="AF275" t="s">
        <v>74</v>
      </c>
      <c r="AG275">
        <v>40</v>
      </c>
      <c r="AH275">
        <v>7</v>
      </c>
      <c r="AI275">
        <v>9</v>
      </c>
      <c r="AJ275">
        <v>0</v>
      </c>
      <c r="AK275">
        <v>79</v>
      </c>
      <c r="AL275" t="s">
        <v>5249</v>
      </c>
      <c r="AM275" t="s">
        <v>5250</v>
      </c>
      <c r="AN275" t="s">
        <v>5251</v>
      </c>
      <c r="AO275" t="s">
        <v>5252</v>
      </c>
      <c r="AP275" t="s">
        <v>5253</v>
      </c>
      <c r="AQ275" t="s">
        <v>74</v>
      </c>
      <c r="AR275" t="s">
        <v>5254</v>
      </c>
      <c r="AS275" t="s">
        <v>5255</v>
      </c>
      <c r="AT275" t="s">
        <v>97</v>
      </c>
      <c r="AU275">
        <v>2012</v>
      </c>
      <c r="AV275">
        <v>10</v>
      </c>
      <c r="AW275">
        <v>1</v>
      </c>
      <c r="AX275" t="s">
        <v>74</v>
      </c>
      <c r="AY275" t="s">
        <v>74</v>
      </c>
      <c r="AZ275" t="s">
        <v>74</v>
      </c>
      <c r="BA275" t="s">
        <v>74</v>
      </c>
      <c r="BB275" t="s">
        <v>74</v>
      </c>
      <c r="BC275" t="s">
        <v>74</v>
      </c>
      <c r="BD275" t="s">
        <v>5256</v>
      </c>
      <c r="BE275" t="s">
        <v>5257</v>
      </c>
      <c r="BF275" t="str">
        <f>HYPERLINK("http://dx.doi.org/10.1371/journal.pbio.1001232","http://dx.doi.org/10.1371/journal.pbio.1001232")</f>
        <v>http://dx.doi.org/10.1371/journal.pbio.1001232</v>
      </c>
      <c r="BG275" t="s">
        <v>74</v>
      </c>
      <c r="BH275" t="s">
        <v>74</v>
      </c>
      <c r="BI275">
        <v>4</v>
      </c>
      <c r="BJ275" t="s">
        <v>5258</v>
      </c>
      <c r="BK275" t="s">
        <v>100</v>
      </c>
      <c r="BL275" t="s">
        <v>5259</v>
      </c>
      <c r="BM275" t="s">
        <v>5260</v>
      </c>
      <c r="BN275">
        <v>22235192</v>
      </c>
      <c r="BO275" t="s">
        <v>2136</v>
      </c>
      <c r="BP275" t="s">
        <v>74</v>
      </c>
      <c r="BQ275" t="s">
        <v>74</v>
      </c>
      <c r="BR275" t="s">
        <v>102</v>
      </c>
      <c r="BS275" t="s">
        <v>5261</v>
      </c>
      <c r="BT275" t="str">
        <f>HYPERLINK("https%3A%2F%2Fwww.webofscience.com%2Fwos%2Fwoscc%2Ffull-record%2FWOS:000300420400004","View Full Record in Web of Science")</f>
        <v>View Full Record in Web of Science</v>
      </c>
    </row>
    <row r="276" spans="1:72" x14ac:dyDescent="0.15">
      <c r="A276" t="s">
        <v>72</v>
      </c>
      <c r="B276" t="s">
        <v>5262</v>
      </c>
      <c r="C276" t="s">
        <v>74</v>
      </c>
      <c r="D276" t="s">
        <v>74</v>
      </c>
      <c r="E276" t="s">
        <v>74</v>
      </c>
      <c r="F276" t="s">
        <v>5263</v>
      </c>
      <c r="G276" t="s">
        <v>74</v>
      </c>
      <c r="H276" t="s">
        <v>74</v>
      </c>
      <c r="I276" t="s">
        <v>5264</v>
      </c>
      <c r="J276" t="s">
        <v>5240</v>
      </c>
      <c r="K276" t="s">
        <v>74</v>
      </c>
      <c r="L276" t="s">
        <v>74</v>
      </c>
      <c r="M276" t="s">
        <v>78</v>
      </c>
      <c r="N276" t="s">
        <v>79</v>
      </c>
      <c r="O276" t="s">
        <v>74</v>
      </c>
      <c r="P276" t="s">
        <v>74</v>
      </c>
      <c r="Q276" t="s">
        <v>74</v>
      </c>
      <c r="R276" t="s">
        <v>74</v>
      </c>
      <c r="S276" t="s">
        <v>74</v>
      </c>
      <c r="T276" t="s">
        <v>74</v>
      </c>
      <c r="U276" t="s">
        <v>5265</v>
      </c>
      <c r="V276" t="s">
        <v>5266</v>
      </c>
      <c r="W276" t="s">
        <v>5267</v>
      </c>
      <c r="X276" t="s">
        <v>5268</v>
      </c>
      <c r="Y276" t="s">
        <v>5269</v>
      </c>
      <c r="Z276" t="s">
        <v>5270</v>
      </c>
      <c r="AA276" t="s">
        <v>5271</v>
      </c>
      <c r="AB276" t="s">
        <v>5272</v>
      </c>
      <c r="AC276" t="s">
        <v>5273</v>
      </c>
      <c r="AD276" t="s">
        <v>5274</v>
      </c>
      <c r="AE276" t="s">
        <v>5275</v>
      </c>
      <c r="AF276" t="s">
        <v>74</v>
      </c>
      <c r="AG276">
        <v>82</v>
      </c>
      <c r="AH276">
        <v>208</v>
      </c>
      <c r="AI276">
        <v>229</v>
      </c>
      <c r="AJ276">
        <v>5</v>
      </c>
      <c r="AK276">
        <v>185</v>
      </c>
      <c r="AL276" t="s">
        <v>5249</v>
      </c>
      <c r="AM276" t="s">
        <v>5250</v>
      </c>
      <c r="AN276" t="s">
        <v>5251</v>
      </c>
      <c r="AO276" t="s">
        <v>5252</v>
      </c>
      <c r="AP276" t="s">
        <v>5253</v>
      </c>
      <c r="AQ276" t="s">
        <v>74</v>
      </c>
      <c r="AR276" t="s">
        <v>5254</v>
      </c>
      <c r="AS276" t="s">
        <v>5255</v>
      </c>
      <c r="AT276" t="s">
        <v>97</v>
      </c>
      <c r="AU276">
        <v>2012</v>
      </c>
      <c r="AV276">
        <v>10</v>
      </c>
      <c r="AW276">
        <v>1</v>
      </c>
      <c r="AX276" t="s">
        <v>74</v>
      </c>
      <c r="AY276" t="s">
        <v>74</v>
      </c>
      <c r="AZ276" t="s">
        <v>74</v>
      </c>
      <c r="BA276" t="s">
        <v>74</v>
      </c>
      <c r="BB276" t="s">
        <v>74</v>
      </c>
      <c r="BC276" t="s">
        <v>74</v>
      </c>
      <c r="BD276" t="s">
        <v>5276</v>
      </c>
      <c r="BE276" t="s">
        <v>5277</v>
      </c>
      <c r="BF276" t="str">
        <f>HYPERLINK("http://dx.doi.org/10.1371/journal.pbio.1001234","http://dx.doi.org/10.1371/journal.pbio.1001234")</f>
        <v>http://dx.doi.org/10.1371/journal.pbio.1001234</v>
      </c>
      <c r="BG276" t="s">
        <v>74</v>
      </c>
      <c r="BH276" t="s">
        <v>74</v>
      </c>
      <c r="BI276">
        <v>17</v>
      </c>
      <c r="BJ276" t="s">
        <v>5258</v>
      </c>
      <c r="BK276" t="s">
        <v>100</v>
      </c>
      <c r="BL276" t="s">
        <v>5259</v>
      </c>
      <c r="BM276" t="s">
        <v>5260</v>
      </c>
      <c r="BN276">
        <v>22235194</v>
      </c>
      <c r="BO276" t="s">
        <v>5278</v>
      </c>
      <c r="BP276" t="s">
        <v>74</v>
      </c>
      <c r="BQ276" t="s">
        <v>74</v>
      </c>
      <c r="BR276" t="s">
        <v>102</v>
      </c>
      <c r="BS276" t="s">
        <v>5279</v>
      </c>
      <c r="BT276" t="str">
        <f>HYPERLINK("https%3A%2F%2Fwww.webofscience.com%2Fwos%2Fwoscc%2Ffull-record%2FWOS:000300420400006","View Full Record in Web of Science")</f>
        <v>View Full Record in Web of Science</v>
      </c>
    </row>
    <row r="277" spans="1:72" x14ac:dyDescent="0.15">
      <c r="A277" t="s">
        <v>72</v>
      </c>
      <c r="B277" t="s">
        <v>5280</v>
      </c>
      <c r="C277" t="s">
        <v>74</v>
      </c>
      <c r="D277" t="s">
        <v>74</v>
      </c>
      <c r="E277" t="s">
        <v>74</v>
      </c>
      <c r="F277" t="s">
        <v>5281</v>
      </c>
      <c r="G277" t="s">
        <v>74</v>
      </c>
      <c r="H277" t="s">
        <v>74</v>
      </c>
      <c r="I277" t="s">
        <v>5282</v>
      </c>
      <c r="J277" t="s">
        <v>5283</v>
      </c>
      <c r="K277" t="s">
        <v>74</v>
      </c>
      <c r="L277" t="s">
        <v>74</v>
      </c>
      <c r="M277" t="s">
        <v>78</v>
      </c>
      <c r="N277" t="s">
        <v>1513</v>
      </c>
      <c r="O277" t="s">
        <v>74</v>
      </c>
      <c r="P277" t="s">
        <v>74</v>
      </c>
      <c r="Q277" t="s">
        <v>74</v>
      </c>
      <c r="R277" t="s">
        <v>74</v>
      </c>
      <c r="S277" t="s">
        <v>74</v>
      </c>
      <c r="T277" t="s">
        <v>5284</v>
      </c>
      <c r="U277" t="s">
        <v>5285</v>
      </c>
      <c r="V277" t="s">
        <v>5286</v>
      </c>
      <c r="W277" t="s">
        <v>5287</v>
      </c>
      <c r="X277" t="s">
        <v>3984</v>
      </c>
      <c r="Y277" t="s">
        <v>5288</v>
      </c>
      <c r="Z277" t="s">
        <v>5289</v>
      </c>
      <c r="AA277" t="s">
        <v>5290</v>
      </c>
      <c r="AB277" t="s">
        <v>5291</v>
      </c>
      <c r="AC277" t="s">
        <v>5292</v>
      </c>
      <c r="AD277" t="s">
        <v>5293</v>
      </c>
      <c r="AE277" t="s">
        <v>5294</v>
      </c>
      <c r="AF277" t="s">
        <v>74</v>
      </c>
      <c r="AG277">
        <v>145</v>
      </c>
      <c r="AH277">
        <v>89</v>
      </c>
      <c r="AI277">
        <v>100</v>
      </c>
      <c r="AJ277">
        <v>1</v>
      </c>
      <c r="AK277">
        <v>71</v>
      </c>
      <c r="AL277" t="s">
        <v>250</v>
      </c>
      <c r="AM277" t="s">
        <v>413</v>
      </c>
      <c r="AN277" t="s">
        <v>490</v>
      </c>
      <c r="AO277" t="s">
        <v>5295</v>
      </c>
      <c r="AP277" t="s">
        <v>5296</v>
      </c>
      <c r="AQ277" t="s">
        <v>74</v>
      </c>
      <c r="AR277" t="s">
        <v>5297</v>
      </c>
      <c r="AS277" t="s">
        <v>5298</v>
      </c>
      <c r="AT277" t="s">
        <v>97</v>
      </c>
      <c r="AU277">
        <v>2012</v>
      </c>
      <c r="AV277">
        <v>35</v>
      </c>
      <c r="AW277">
        <v>1</v>
      </c>
      <c r="AX277" t="s">
        <v>74</v>
      </c>
      <c r="AY277" t="s">
        <v>74</v>
      </c>
      <c r="AZ277" t="s">
        <v>74</v>
      </c>
      <c r="BA277" t="s">
        <v>74</v>
      </c>
      <c r="BB277">
        <v>15</v>
      </c>
      <c r="BC277">
        <v>37</v>
      </c>
      <c r="BD277" t="s">
        <v>74</v>
      </c>
      <c r="BE277" t="s">
        <v>5299</v>
      </c>
      <c r="BF277" t="str">
        <f>HYPERLINK("http://dx.doi.org/10.1007/s00300-011-1120-0","http://dx.doi.org/10.1007/s00300-011-1120-0")</f>
        <v>http://dx.doi.org/10.1007/s00300-011-1120-0</v>
      </c>
      <c r="BG277" t="s">
        <v>74</v>
      </c>
      <c r="BH277" t="s">
        <v>74</v>
      </c>
      <c r="BI277">
        <v>23</v>
      </c>
      <c r="BJ277" t="s">
        <v>5300</v>
      </c>
      <c r="BK277" t="s">
        <v>100</v>
      </c>
      <c r="BL277" t="s">
        <v>3505</v>
      </c>
      <c r="BM277" t="s">
        <v>5301</v>
      </c>
      <c r="BN277" t="s">
        <v>74</v>
      </c>
      <c r="BO277" t="s">
        <v>5302</v>
      </c>
      <c r="BP277" t="s">
        <v>74</v>
      </c>
      <c r="BQ277" t="s">
        <v>74</v>
      </c>
      <c r="BR277" t="s">
        <v>102</v>
      </c>
      <c r="BS277" t="s">
        <v>5303</v>
      </c>
      <c r="BT277" t="str">
        <f>HYPERLINK("https%3A%2F%2Fwww.webofscience.com%2Fwos%2Fwoscc%2Ffull-record%2FWOS:000297596700002","View Full Record in Web of Science")</f>
        <v>View Full Record in Web of Science</v>
      </c>
    </row>
    <row r="278" spans="1:72" x14ac:dyDescent="0.15">
      <c r="A278" t="s">
        <v>72</v>
      </c>
      <c r="B278" t="s">
        <v>5304</v>
      </c>
      <c r="C278" t="s">
        <v>74</v>
      </c>
      <c r="D278" t="s">
        <v>74</v>
      </c>
      <c r="E278" t="s">
        <v>74</v>
      </c>
      <c r="F278" t="s">
        <v>5305</v>
      </c>
      <c r="G278" t="s">
        <v>74</v>
      </c>
      <c r="H278" t="s">
        <v>74</v>
      </c>
      <c r="I278" t="s">
        <v>5306</v>
      </c>
      <c r="J278" t="s">
        <v>5283</v>
      </c>
      <c r="K278" t="s">
        <v>74</v>
      </c>
      <c r="L278" t="s">
        <v>74</v>
      </c>
      <c r="M278" t="s">
        <v>78</v>
      </c>
      <c r="N278" t="s">
        <v>79</v>
      </c>
      <c r="O278" t="s">
        <v>74</v>
      </c>
      <c r="P278" t="s">
        <v>74</v>
      </c>
      <c r="Q278" t="s">
        <v>74</v>
      </c>
      <c r="R278" t="s">
        <v>74</v>
      </c>
      <c r="S278" t="s">
        <v>74</v>
      </c>
      <c r="T278" t="s">
        <v>5307</v>
      </c>
      <c r="U278" t="s">
        <v>5308</v>
      </c>
      <c r="V278" t="s">
        <v>5309</v>
      </c>
      <c r="W278" t="s">
        <v>5310</v>
      </c>
      <c r="X278" t="s">
        <v>5311</v>
      </c>
      <c r="Y278" t="s">
        <v>5312</v>
      </c>
      <c r="Z278" t="s">
        <v>5313</v>
      </c>
      <c r="AA278" t="s">
        <v>5314</v>
      </c>
      <c r="AB278" t="s">
        <v>5315</v>
      </c>
      <c r="AC278" t="s">
        <v>5316</v>
      </c>
      <c r="AD278" t="s">
        <v>5317</v>
      </c>
      <c r="AE278" t="s">
        <v>5318</v>
      </c>
      <c r="AF278" t="s">
        <v>74</v>
      </c>
      <c r="AG278">
        <v>57</v>
      </c>
      <c r="AH278">
        <v>11</v>
      </c>
      <c r="AI278">
        <v>14</v>
      </c>
      <c r="AJ278">
        <v>1</v>
      </c>
      <c r="AK278">
        <v>38</v>
      </c>
      <c r="AL278" t="s">
        <v>250</v>
      </c>
      <c r="AM278" t="s">
        <v>413</v>
      </c>
      <c r="AN278" t="s">
        <v>514</v>
      </c>
      <c r="AO278" t="s">
        <v>5295</v>
      </c>
      <c r="AP278" t="s">
        <v>5296</v>
      </c>
      <c r="AQ278" t="s">
        <v>74</v>
      </c>
      <c r="AR278" t="s">
        <v>5297</v>
      </c>
      <c r="AS278" t="s">
        <v>5298</v>
      </c>
      <c r="AT278" t="s">
        <v>97</v>
      </c>
      <c r="AU278">
        <v>2012</v>
      </c>
      <c r="AV278">
        <v>35</v>
      </c>
      <c r="AW278">
        <v>1</v>
      </c>
      <c r="AX278" t="s">
        <v>74</v>
      </c>
      <c r="AY278" t="s">
        <v>74</v>
      </c>
      <c r="AZ278" t="s">
        <v>74</v>
      </c>
      <c r="BA278" t="s">
        <v>74</v>
      </c>
      <c r="BB278">
        <v>39</v>
      </c>
      <c r="BC278">
        <v>51</v>
      </c>
      <c r="BD278" t="s">
        <v>74</v>
      </c>
      <c r="BE278" t="s">
        <v>5319</v>
      </c>
      <c r="BF278" t="str">
        <f>HYPERLINK("http://dx.doi.org/10.1007/s00300-011-1029-7","http://dx.doi.org/10.1007/s00300-011-1029-7")</f>
        <v>http://dx.doi.org/10.1007/s00300-011-1029-7</v>
      </c>
      <c r="BG278" t="s">
        <v>74</v>
      </c>
      <c r="BH278" t="s">
        <v>74</v>
      </c>
      <c r="BI278">
        <v>13</v>
      </c>
      <c r="BJ278" t="s">
        <v>5300</v>
      </c>
      <c r="BK278" t="s">
        <v>100</v>
      </c>
      <c r="BL278" t="s">
        <v>3505</v>
      </c>
      <c r="BM278" t="s">
        <v>5301</v>
      </c>
      <c r="BN278" t="s">
        <v>74</v>
      </c>
      <c r="BO278" t="s">
        <v>74</v>
      </c>
      <c r="BP278" t="s">
        <v>74</v>
      </c>
      <c r="BQ278" t="s">
        <v>74</v>
      </c>
      <c r="BR278" t="s">
        <v>102</v>
      </c>
      <c r="BS278" t="s">
        <v>5320</v>
      </c>
      <c r="BT278" t="str">
        <f>HYPERLINK("https%3A%2F%2Fwww.webofscience.com%2Fwos%2Fwoscc%2Ffull-record%2FWOS:000297596700003","View Full Record in Web of Science")</f>
        <v>View Full Record in Web of Science</v>
      </c>
    </row>
    <row r="279" spans="1:72" x14ac:dyDescent="0.15">
      <c r="A279" t="s">
        <v>72</v>
      </c>
      <c r="B279" t="s">
        <v>5321</v>
      </c>
      <c r="C279" t="s">
        <v>74</v>
      </c>
      <c r="D279" t="s">
        <v>74</v>
      </c>
      <c r="E279" t="s">
        <v>74</v>
      </c>
      <c r="F279" t="s">
        <v>5322</v>
      </c>
      <c r="G279" t="s">
        <v>74</v>
      </c>
      <c r="H279" t="s">
        <v>74</v>
      </c>
      <c r="I279" t="s">
        <v>5323</v>
      </c>
      <c r="J279" t="s">
        <v>5324</v>
      </c>
      <c r="K279" t="s">
        <v>74</v>
      </c>
      <c r="L279" t="s">
        <v>74</v>
      </c>
      <c r="M279" t="s">
        <v>78</v>
      </c>
      <c r="N279" t="s">
        <v>79</v>
      </c>
      <c r="O279" t="s">
        <v>74</v>
      </c>
      <c r="P279" t="s">
        <v>74</v>
      </c>
      <c r="Q279" t="s">
        <v>74</v>
      </c>
      <c r="R279" t="s">
        <v>74</v>
      </c>
      <c r="S279" t="s">
        <v>74</v>
      </c>
      <c r="T279" t="s">
        <v>74</v>
      </c>
      <c r="U279" t="s">
        <v>5325</v>
      </c>
      <c r="V279" t="s">
        <v>5326</v>
      </c>
      <c r="W279" t="s">
        <v>5327</v>
      </c>
      <c r="X279" t="s">
        <v>5328</v>
      </c>
      <c r="Y279" t="s">
        <v>5329</v>
      </c>
      <c r="Z279" t="s">
        <v>5330</v>
      </c>
      <c r="AA279" t="s">
        <v>74</v>
      </c>
      <c r="AB279" t="s">
        <v>74</v>
      </c>
      <c r="AC279" t="s">
        <v>5331</v>
      </c>
      <c r="AD279" t="s">
        <v>5332</v>
      </c>
      <c r="AE279" t="s">
        <v>5333</v>
      </c>
      <c r="AF279" t="s">
        <v>74</v>
      </c>
      <c r="AG279">
        <v>31</v>
      </c>
      <c r="AH279">
        <v>60</v>
      </c>
      <c r="AI279">
        <v>66</v>
      </c>
      <c r="AJ279">
        <v>0</v>
      </c>
      <c r="AK279">
        <v>1</v>
      </c>
      <c r="AL279" t="s">
        <v>713</v>
      </c>
      <c r="AM279" t="s">
        <v>714</v>
      </c>
      <c r="AN279" t="s">
        <v>5334</v>
      </c>
      <c r="AO279" t="s">
        <v>5335</v>
      </c>
      <c r="AP279" t="s">
        <v>5336</v>
      </c>
      <c r="AQ279" t="s">
        <v>74</v>
      </c>
      <c r="AR279" t="s">
        <v>5337</v>
      </c>
      <c r="AS279" t="s">
        <v>5338</v>
      </c>
      <c r="AT279" t="s">
        <v>74</v>
      </c>
      <c r="AU279">
        <v>2012</v>
      </c>
      <c r="AV279">
        <v>35</v>
      </c>
      <c r="AW279">
        <v>2</v>
      </c>
      <c r="AX279" t="s">
        <v>74</v>
      </c>
      <c r="AY279" t="s">
        <v>74</v>
      </c>
      <c r="AZ279" t="s">
        <v>74</v>
      </c>
      <c r="BA279" t="s">
        <v>74</v>
      </c>
      <c r="BB279">
        <v>155</v>
      </c>
      <c r="BC279">
        <v>168</v>
      </c>
      <c r="BD279" t="s">
        <v>74</v>
      </c>
      <c r="BE279" t="s">
        <v>5339</v>
      </c>
      <c r="BF279" t="str">
        <f>HYPERLINK("http://dx.doi.org/10.1080/1088937X.2012.684155","http://dx.doi.org/10.1080/1088937X.2012.684155")</f>
        <v>http://dx.doi.org/10.1080/1088937X.2012.684155</v>
      </c>
      <c r="BG279" t="s">
        <v>74</v>
      </c>
      <c r="BH279" t="s">
        <v>74</v>
      </c>
      <c r="BI279">
        <v>14</v>
      </c>
      <c r="BJ279" t="s">
        <v>3892</v>
      </c>
      <c r="BK279" t="s">
        <v>1158</v>
      </c>
      <c r="BL279" t="s">
        <v>3893</v>
      </c>
      <c r="BM279" t="s">
        <v>5340</v>
      </c>
      <c r="BN279" t="s">
        <v>74</v>
      </c>
      <c r="BO279" t="s">
        <v>74</v>
      </c>
      <c r="BP279" t="s">
        <v>74</v>
      </c>
      <c r="BQ279" t="s">
        <v>74</v>
      </c>
      <c r="BR279" t="s">
        <v>102</v>
      </c>
      <c r="BS279" t="s">
        <v>5341</v>
      </c>
      <c r="BT279" t="str">
        <f>HYPERLINK("https%3A%2F%2Fwww.webofscience.com%2Fwos%2Fwoscc%2Ffull-record%2FWOS:000211109100004","View Full Record in Web of Science")</f>
        <v>View Full Record in Web of Science</v>
      </c>
    </row>
    <row r="280" spans="1:72" x14ac:dyDescent="0.15">
      <c r="A280" t="s">
        <v>72</v>
      </c>
      <c r="B280" t="s">
        <v>5342</v>
      </c>
      <c r="C280" t="s">
        <v>74</v>
      </c>
      <c r="D280" t="s">
        <v>74</v>
      </c>
      <c r="E280" t="s">
        <v>74</v>
      </c>
      <c r="F280" t="s">
        <v>5343</v>
      </c>
      <c r="G280" t="s">
        <v>74</v>
      </c>
      <c r="H280" t="s">
        <v>74</v>
      </c>
      <c r="I280" t="s">
        <v>5344</v>
      </c>
      <c r="J280" t="s">
        <v>5345</v>
      </c>
      <c r="K280" t="s">
        <v>74</v>
      </c>
      <c r="L280" t="s">
        <v>74</v>
      </c>
      <c r="M280" t="s">
        <v>78</v>
      </c>
      <c r="N280" t="s">
        <v>79</v>
      </c>
      <c r="O280" t="s">
        <v>74</v>
      </c>
      <c r="P280" t="s">
        <v>74</v>
      </c>
      <c r="Q280" t="s">
        <v>74</v>
      </c>
      <c r="R280" t="s">
        <v>74</v>
      </c>
      <c r="S280" t="s">
        <v>74</v>
      </c>
      <c r="T280" t="s">
        <v>5346</v>
      </c>
      <c r="U280" t="s">
        <v>5347</v>
      </c>
      <c r="V280" t="s">
        <v>5348</v>
      </c>
      <c r="W280" t="s">
        <v>5349</v>
      </c>
      <c r="X280" t="s">
        <v>5350</v>
      </c>
      <c r="Y280" t="s">
        <v>5351</v>
      </c>
      <c r="Z280" t="s">
        <v>5352</v>
      </c>
      <c r="AA280" t="s">
        <v>5353</v>
      </c>
      <c r="AB280" t="s">
        <v>5354</v>
      </c>
      <c r="AC280" t="s">
        <v>5355</v>
      </c>
      <c r="AD280" t="s">
        <v>5356</v>
      </c>
      <c r="AE280" t="s">
        <v>5357</v>
      </c>
      <c r="AF280" t="s">
        <v>74</v>
      </c>
      <c r="AG280">
        <v>74</v>
      </c>
      <c r="AH280">
        <v>64</v>
      </c>
      <c r="AI280">
        <v>66</v>
      </c>
      <c r="AJ280">
        <v>1</v>
      </c>
      <c r="AK280">
        <v>53</v>
      </c>
      <c r="AL280" t="s">
        <v>5358</v>
      </c>
      <c r="AM280" t="s">
        <v>5359</v>
      </c>
      <c r="AN280" t="s">
        <v>5360</v>
      </c>
      <c r="AO280" t="s">
        <v>5361</v>
      </c>
      <c r="AP280" t="s">
        <v>74</v>
      </c>
      <c r="AQ280" t="s">
        <v>74</v>
      </c>
      <c r="AR280" t="s">
        <v>5362</v>
      </c>
      <c r="AS280" t="s">
        <v>5363</v>
      </c>
      <c r="AT280" t="s">
        <v>74</v>
      </c>
      <c r="AU280">
        <v>2012</v>
      </c>
      <c r="AV280">
        <v>31</v>
      </c>
      <c r="AW280" t="s">
        <v>74</v>
      </c>
      <c r="AX280" t="s">
        <v>74</v>
      </c>
      <c r="AY280" t="s">
        <v>74</v>
      </c>
      <c r="AZ280" t="s">
        <v>74</v>
      </c>
      <c r="BA280" t="s">
        <v>74</v>
      </c>
      <c r="BB280" t="s">
        <v>74</v>
      </c>
      <c r="BC280" t="s">
        <v>74</v>
      </c>
      <c r="BD280">
        <v>18206</v>
      </c>
      <c r="BE280" t="s">
        <v>5364</v>
      </c>
      <c r="BF280" t="str">
        <f>HYPERLINK("http://dx.doi.org/10.3402/polar.v31i0.18206","http://dx.doi.org/10.3402/polar.v31i0.18206")</f>
        <v>http://dx.doi.org/10.3402/polar.v31i0.18206</v>
      </c>
      <c r="BG280" t="s">
        <v>74</v>
      </c>
      <c r="BH280" t="s">
        <v>74</v>
      </c>
      <c r="BI280">
        <v>18</v>
      </c>
      <c r="BJ280" t="s">
        <v>5365</v>
      </c>
      <c r="BK280" t="s">
        <v>100</v>
      </c>
      <c r="BL280" t="s">
        <v>5366</v>
      </c>
      <c r="BM280" t="s">
        <v>5367</v>
      </c>
      <c r="BN280" t="s">
        <v>74</v>
      </c>
      <c r="BO280" t="s">
        <v>623</v>
      </c>
      <c r="BP280" t="s">
        <v>74</v>
      </c>
      <c r="BQ280" t="s">
        <v>74</v>
      </c>
      <c r="BR280" t="s">
        <v>102</v>
      </c>
      <c r="BS280" t="s">
        <v>5368</v>
      </c>
      <c r="BT280" t="str">
        <f>HYPERLINK("https%3A%2F%2Fwww.webofscience.com%2Fwos%2Fwoscc%2Ffull-record%2FWOS:000305451800001","View Full Record in Web of Science")</f>
        <v>View Full Record in Web of Science</v>
      </c>
    </row>
    <row r="281" spans="1:72" x14ac:dyDescent="0.15">
      <c r="A281" t="s">
        <v>72</v>
      </c>
      <c r="B281" t="s">
        <v>5369</v>
      </c>
      <c r="C281" t="s">
        <v>74</v>
      </c>
      <c r="D281" t="s">
        <v>74</v>
      </c>
      <c r="E281" t="s">
        <v>74</v>
      </c>
      <c r="F281" t="s">
        <v>5370</v>
      </c>
      <c r="G281" t="s">
        <v>74</v>
      </c>
      <c r="H281" t="s">
        <v>74</v>
      </c>
      <c r="I281" t="s">
        <v>5371</v>
      </c>
      <c r="J281" t="s">
        <v>5345</v>
      </c>
      <c r="K281" t="s">
        <v>74</v>
      </c>
      <c r="L281" t="s">
        <v>74</v>
      </c>
      <c r="M281" t="s">
        <v>78</v>
      </c>
      <c r="N281" t="s">
        <v>79</v>
      </c>
      <c r="O281" t="s">
        <v>74</v>
      </c>
      <c r="P281" t="s">
        <v>74</v>
      </c>
      <c r="Q281" t="s">
        <v>74</v>
      </c>
      <c r="R281" t="s">
        <v>74</v>
      </c>
      <c r="S281" t="s">
        <v>74</v>
      </c>
      <c r="T281" t="s">
        <v>5372</v>
      </c>
      <c r="U281" t="s">
        <v>74</v>
      </c>
      <c r="V281" t="s">
        <v>5373</v>
      </c>
      <c r="W281" t="s">
        <v>5374</v>
      </c>
      <c r="X281" t="s">
        <v>527</v>
      </c>
      <c r="Y281" t="s">
        <v>5375</v>
      </c>
      <c r="Z281" t="s">
        <v>5376</v>
      </c>
      <c r="AA281" t="s">
        <v>74</v>
      </c>
      <c r="AB281" t="s">
        <v>5377</v>
      </c>
      <c r="AC281" t="s">
        <v>5378</v>
      </c>
      <c r="AD281" t="s">
        <v>5379</v>
      </c>
      <c r="AE281" t="s">
        <v>5380</v>
      </c>
      <c r="AF281" t="s">
        <v>74</v>
      </c>
      <c r="AG281">
        <v>20</v>
      </c>
      <c r="AH281">
        <v>37</v>
      </c>
      <c r="AI281">
        <v>42</v>
      </c>
      <c r="AJ281">
        <v>1</v>
      </c>
      <c r="AK281">
        <v>39</v>
      </c>
      <c r="AL281" t="s">
        <v>5381</v>
      </c>
      <c r="AM281" t="s">
        <v>5382</v>
      </c>
      <c r="AN281" t="s">
        <v>5383</v>
      </c>
      <c r="AO281" t="s">
        <v>5361</v>
      </c>
      <c r="AP281" t="s">
        <v>5384</v>
      </c>
      <c r="AQ281" t="s">
        <v>74</v>
      </c>
      <c r="AR281" t="s">
        <v>5362</v>
      </c>
      <c r="AS281" t="s">
        <v>5363</v>
      </c>
      <c r="AT281" t="s">
        <v>74</v>
      </c>
      <c r="AU281">
        <v>2012</v>
      </c>
      <c r="AV281">
        <v>31</v>
      </c>
      <c r="AW281" t="s">
        <v>74</v>
      </c>
      <c r="AX281" t="s">
        <v>74</v>
      </c>
      <c r="AY281" t="s">
        <v>74</v>
      </c>
      <c r="AZ281" t="s">
        <v>74</v>
      </c>
      <c r="BA281" t="s">
        <v>74</v>
      </c>
      <c r="BB281" t="s">
        <v>74</v>
      </c>
      <c r="BC281" t="s">
        <v>74</v>
      </c>
      <c r="BD281">
        <v>11075</v>
      </c>
      <c r="BE281" t="s">
        <v>5385</v>
      </c>
      <c r="BF281" t="str">
        <f>HYPERLINK("http://dx.doi.org/10.3402/polar.v31i0.11075","http://dx.doi.org/10.3402/polar.v31i0.11075")</f>
        <v>http://dx.doi.org/10.3402/polar.v31i0.11075</v>
      </c>
      <c r="BG281" t="s">
        <v>74</v>
      </c>
      <c r="BH281" t="s">
        <v>74</v>
      </c>
      <c r="BI281">
        <v>9</v>
      </c>
      <c r="BJ281" t="s">
        <v>5365</v>
      </c>
      <c r="BK281" t="s">
        <v>100</v>
      </c>
      <c r="BL281" t="s">
        <v>5366</v>
      </c>
      <c r="BM281" t="s">
        <v>5386</v>
      </c>
      <c r="BN281" t="s">
        <v>74</v>
      </c>
      <c r="BO281" t="s">
        <v>5387</v>
      </c>
      <c r="BP281" t="s">
        <v>74</v>
      </c>
      <c r="BQ281" t="s">
        <v>74</v>
      </c>
      <c r="BR281" t="s">
        <v>102</v>
      </c>
      <c r="BS281" t="s">
        <v>5388</v>
      </c>
      <c r="BT281" t="str">
        <f>HYPERLINK("https%3A%2F%2Fwww.webofscience.com%2Fwos%2Fwoscc%2Ffull-record%2FWOS:000303685500001","View Full Record in Web of Science")</f>
        <v>View Full Record in Web of Science</v>
      </c>
    </row>
    <row r="282" spans="1:72" x14ac:dyDescent="0.15">
      <c r="A282" t="s">
        <v>72</v>
      </c>
      <c r="B282" t="s">
        <v>5389</v>
      </c>
      <c r="C282" t="s">
        <v>74</v>
      </c>
      <c r="D282" t="s">
        <v>74</v>
      </c>
      <c r="E282" t="s">
        <v>74</v>
      </c>
      <c r="F282" t="s">
        <v>5390</v>
      </c>
      <c r="G282" t="s">
        <v>74</v>
      </c>
      <c r="H282" t="s">
        <v>74</v>
      </c>
      <c r="I282" t="s">
        <v>5391</v>
      </c>
      <c r="J282" t="s">
        <v>5345</v>
      </c>
      <c r="K282" t="s">
        <v>74</v>
      </c>
      <c r="L282" t="s">
        <v>74</v>
      </c>
      <c r="M282" t="s">
        <v>78</v>
      </c>
      <c r="N282" t="s">
        <v>79</v>
      </c>
      <c r="O282" t="s">
        <v>74</v>
      </c>
      <c r="P282" t="s">
        <v>74</v>
      </c>
      <c r="Q282" t="s">
        <v>74</v>
      </c>
      <c r="R282" t="s">
        <v>74</v>
      </c>
      <c r="S282" t="s">
        <v>74</v>
      </c>
      <c r="T282" t="s">
        <v>5392</v>
      </c>
      <c r="U282" t="s">
        <v>5393</v>
      </c>
      <c r="V282" t="s">
        <v>5394</v>
      </c>
      <c r="W282" t="s">
        <v>5395</v>
      </c>
      <c r="X282" t="s">
        <v>5396</v>
      </c>
      <c r="Y282" t="s">
        <v>5397</v>
      </c>
      <c r="Z282" t="s">
        <v>5398</v>
      </c>
      <c r="AA282" t="s">
        <v>5399</v>
      </c>
      <c r="AB282" t="s">
        <v>5400</v>
      </c>
      <c r="AC282" t="s">
        <v>5401</v>
      </c>
      <c r="AD282" t="s">
        <v>586</v>
      </c>
      <c r="AE282" t="s">
        <v>74</v>
      </c>
      <c r="AF282" t="s">
        <v>74</v>
      </c>
      <c r="AG282">
        <v>191</v>
      </c>
      <c r="AH282">
        <v>44</v>
      </c>
      <c r="AI282">
        <v>46</v>
      </c>
      <c r="AJ282">
        <v>1</v>
      </c>
      <c r="AK282">
        <v>65</v>
      </c>
      <c r="AL282" t="s">
        <v>5402</v>
      </c>
      <c r="AM282" t="s">
        <v>5403</v>
      </c>
      <c r="AN282" t="s">
        <v>5404</v>
      </c>
      <c r="AO282" t="s">
        <v>5361</v>
      </c>
      <c r="AP282" t="s">
        <v>5384</v>
      </c>
      <c r="AQ282" t="s">
        <v>74</v>
      </c>
      <c r="AR282" t="s">
        <v>5362</v>
      </c>
      <c r="AS282" t="s">
        <v>5363</v>
      </c>
      <c r="AT282" t="s">
        <v>74</v>
      </c>
      <c r="AU282">
        <v>2012</v>
      </c>
      <c r="AV282">
        <v>31</v>
      </c>
      <c r="AW282" t="s">
        <v>74</v>
      </c>
      <c r="AX282" t="s">
        <v>74</v>
      </c>
      <c r="AY282" t="s">
        <v>74</v>
      </c>
      <c r="AZ282" t="s">
        <v>74</v>
      </c>
      <c r="BA282" t="s">
        <v>74</v>
      </c>
      <c r="BB282" t="s">
        <v>74</v>
      </c>
      <c r="BC282" t="s">
        <v>74</v>
      </c>
      <c r="BD282">
        <v>11091</v>
      </c>
      <c r="BE282" t="s">
        <v>5405</v>
      </c>
      <c r="BF282" t="str">
        <f>HYPERLINK("http://dx.doi.org/10.3402/polar.v31i0.11091","http://dx.doi.org/10.3402/polar.v31i0.11091")</f>
        <v>http://dx.doi.org/10.3402/polar.v31i0.11091</v>
      </c>
      <c r="BG282" t="s">
        <v>74</v>
      </c>
      <c r="BH282" t="s">
        <v>74</v>
      </c>
      <c r="BI282">
        <v>23</v>
      </c>
      <c r="BJ282" t="s">
        <v>5365</v>
      </c>
      <c r="BK282" t="s">
        <v>100</v>
      </c>
      <c r="BL282" t="s">
        <v>5366</v>
      </c>
      <c r="BM282" t="s">
        <v>5406</v>
      </c>
      <c r="BN282" t="s">
        <v>74</v>
      </c>
      <c r="BO282" t="s">
        <v>5407</v>
      </c>
      <c r="BP282" t="s">
        <v>74</v>
      </c>
      <c r="BQ282" t="s">
        <v>74</v>
      </c>
      <c r="BR282" t="s">
        <v>102</v>
      </c>
      <c r="BS282" t="s">
        <v>5408</v>
      </c>
      <c r="BT282" t="str">
        <f>HYPERLINK("https%3A%2F%2Fwww.webofscience.com%2Fwos%2Fwoscc%2Ffull-record%2FWOS:000303996200001","View Full Record in Web of Science")</f>
        <v>View Full Record in Web of Science</v>
      </c>
    </row>
    <row r="283" spans="1:72" x14ac:dyDescent="0.15">
      <c r="A283" t="s">
        <v>72</v>
      </c>
      <c r="B283" t="s">
        <v>5409</v>
      </c>
      <c r="C283" t="s">
        <v>74</v>
      </c>
      <c r="D283" t="s">
        <v>74</v>
      </c>
      <c r="E283" t="s">
        <v>74</v>
      </c>
      <c r="F283" t="s">
        <v>5410</v>
      </c>
      <c r="G283" t="s">
        <v>74</v>
      </c>
      <c r="H283" t="s">
        <v>74</v>
      </c>
      <c r="I283" t="s">
        <v>5411</v>
      </c>
      <c r="J283" t="s">
        <v>5345</v>
      </c>
      <c r="K283" t="s">
        <v>74</v>
      </c>
      <c r="L283" t="s">
        <v>74</v>
      </c>
      <c r="M283" t="s">
        <v>78</v>
      </c>
      <c r="N283" t="s">
        <v>79</v>
      </c>
      <c r="O283" t="s">
        <v>74</v>
      </c>
      <c r="P283" t="s">
        <v>74</v>
      </c>
      <c r="Q283" t="s">
        <v>74</v>
      </c>
      <c r="R283" t="s">
        <v>74</v>
      </c>
      <c r="S283" t="s">
        <v>74</v>
      </c>
      <c r="T283" t="s">
        <v>5412</v>
      </c>
      <c r="U283" t="s">
        <v>74</v>
      </c>
      <c r="V283" t="s">
        <v>5413</v>
      </c>
      <c r="W283" t="s">
        <v>5414</v>
      </c>
      <c r="X283" t="s">
        <v>5415</v>
      </c>
      <c r="Y283" t="s">
        <v>5416</v>
      </c>
      <c r="Z283" t="s">
        <v>5417</v>
      </c>
      <c r="AA283" t="s">
        <v>74</v>
      </c>
      <c r="AB283" t="s">
        <v>5418</v>
      </c>
      <c r="AC283" t="s">
        <v>5419</v>
      </c>
      <c r="AD283" t="s">
        <v>5420</v>
      </c>
      <c r="AE283" t="s">
        <v>5421</v>
      </c>
      <c r="AF283" t="s">
        <v>74</v>
      </c>
      <c r="AG283">
        <v>29</v>
      </c>
      <c r="AH283">
        <v>23</v>
      </c>
      <c r="AI283">
        <v>30</v>
      </c>
      <c r="AJ283">
        <v>0</v>
      </c>
      <c r="AK283">
        <v>6</v>
      </c>
      <c r="AL283" t="s">
        <v>1150</v>
      </c>
      <c r="AM283" t="s">
        <v>1151</v>
      </c>
      <c r="AN283" t="s">
        <v>1152</v>
      </c>
      <c r="AO283" t="s">
        <v>5361</v>
      </c>
      <c r="AP283" t="s">
        <v>5384</v>
      </c>
      <c r="AQ283" t="s">
        <v>74</v>
      </c>
      <c r="AR283" t="s">
        <v>5362</v>
      </c>
      <c r="AS283" t="s">
        <v>5363</v>
      </c>
      <c r="AT283" t="s">
        <v>74</v>
      </c>
      <c r="AU283">
        <v>2012</v>
      </c>
      <c r="AV283">
        <v>31</v>
      </c>
      <c r="AW283">
        <v>1</v>
      </c>
      <c r="AX283" t="s">
        <v>74</v>
      </c>
      <c r="AY283" t="s">
        <v>74</v>
      </c>
      <c r="AZ283" t="s">
        <v>74</v>
      </c>
      <c r="BA283" t="s">
        <v>74</v>
      </c>
      <c r="BB283" t="s">
        <v>74</v>
      </c>
      <c r="BC283" t="s">
        <v>74</v>
      </c>
      <c r="BD283">
        <v>17325</v>
      </c>
      <c r="BE283" t="s">
        <v>5422</v>
      </c>
      <c r="BF283" t="str">
        <f>HYPERLINK("http://dx.doi.org/10.3402/polar.v31i0.17325","http://dx.doi.org/10.3402/polar.v31i0.17325")</f>
        <v>http://dx.doi.org/10.3402/polar.v31i0.17325</v>
      </c>
      <c r="BG283" t="s">
        <v>74</v>
      </c>
      <c r="BH283" t="s">
        <v>74</v>
      </c>
      <c r="BI283">
        <v>17</v>
      </c>
      <c r="BJ283" t="s">
        <v>5365</v>
      </c>
      <c r="BK283" t="s">
        <v>100</v>
      </c>
      <c r="BL283" t="s">
        <v>5366</v>
      </c>
      <c r="BM283" t="s">
        <v>5423</v>
      </c>
      <c r="BN283" t="s">
        <v>74</v>
      </c>
      <c r="BO283" t="s">
        <v>623</v>
      </c>
      <c r="BP283" t="s">
        <v>74</v>
      </c>
      <c r="BQ283" t="s">
        <v>74</v>
      </c>
      <c r="BR283" t="s">
        <v>102</v>
      </c>
      <c r="BS283" t="s">
        <v>5424</v>
      </c>
      <c r="BT283" t="str">
        <f>HYPERLINK("https%3A%2F%2Fwww.webofscience.com%2Fwos%2Fwoscc%2Ffull-record%2FWOS:000425500100001","View Full Record in Web of Science")</f>
        <v>View Full Record in Web of Science</v>
      </c>
    </row>
    <row r="284" spans="1:72" x14ac:dyDescent="0.15">
      <c r="A284" t="s">
        <v>72</v>
      </c>
      <c r="B284" t="s">
        <v>5425</v>
      </c>
      <c r="C284" t="s">
        <v>74</v>
      </c>
      <c r="D284" t="s">
        <v>74</v>
      </c>
      <c r="E284" t="s">
        <v>74</v>
      </c>
      <c r="F284" t="s">
        <v>5426</v>
      </c>
      <c r="G284" t="s">
        <v>74</v>
      </c>
      <c r="H284" t="s">
        <v>74</v>
      </c>
      <c r="I284" t="s">
        <v>5427</v>
      </c>
      <c r="J284" t="s">
        <v>5345</v>
      </c>
      <c r="K284" t="s">
        <v>74</v>
      </c>
      <c r="L284" t="s">
        <v>74</v>
      </c>
      <c r="M284" t="s">
        <v>78</v>
      </c>
      <c r="N284" t="s">
        <v>79</v>
      </c>
      <c r="O284" t="s">
        <v>74</v>
      </c>
      <c r="P284" t="s">
        <v>74</v>
      </c>
      <c r="Q284" t="s">
        <v>74</v>
      </c>
      <c r="R284" t="s">
        <v>74</v>
      </c>
      <c r="S284" t="s">
        <v>74</v>
      </c>
      <c r="T284" t="s">
        <v>5428</v>
      </c>
      <c r="U284" t="s">
        <v>5429</v>
      </c>
      <c r="V284" t="s">
        <v>5430</v>
      </c>
      <c r="W284" t="s">
        <v>5431</v>
      </c>
      <c r="X284" t="s">
        <v>5432</v>
      </c>
      <c r="Y284" t="s">
        <v>5433</v>
      </c>
      <c r="Z284" t="s">
        <v>5434</v>
      </c>
      <c r="AA284" t="s">
        <v>5435</v>
      </c>
      <c r="AB284" t="s">
        <v>5436</v>
      </c>
      <c r="AC284" t="s">
        <v>5437</v>
      </c>
      <c r="AD284" t="s">
        <v>5438</v>
      </c>
      <c r="AE284" t="s">
        <v>5439</v>
      </c>
      <c r="AF284" t="s">
        <v>74</v>
      </c>
      <c r="AG284">
        <v>54</v>
      </c>
      <c r="AH284">
        <v>20</v>
      </c>
      <c r="AI284">
        <v>20</v>
      </c>
      <c r="AJ284">
        <v>0</v>
      </c>
      <c r="AK284">
        <v>28</v>
      </c>
      <c r="AL284" t="s">
        <v>5402</v>
      </c>
      <c r="AM284" t="s">
        <v>5403</v>
      </c>
      <c r="AN284" t="s">
        <v>5404</v>
      </c>
      <c r="AO284" t="s">
        <v>5361</v>
      </c>
      <c r="AP284" t="s">
        <v>5384</v>
      </c>
      <c r="AQ284" t="s">
        <v>74</v>
      </c>
      <c r="AR284" t="s">
        <v>5362</v>
      </c>
      <c r="AS284" t="s">
        <v>5363</v>
      </c>
      <c r="AT284" t="s">
        <v>74</v>
      </c>
      <c r="AU284">
        <v>2012</v>
      </c>
      <c r="AV284">
        <v>31</v>
      </c>
      <c r="AW284" t="s">
        <v>74</v>
      </c>
      <c r="AX284" t="s">
        <v>74</v>
      </c>
      <c r="AY284" t="s">
        <v>74</v>
      </c>
      <c r="AZ284" t="s">
        <v>74</v>
      </c>
      <c r="BA284" t="s">
        <v>74</v>
      </c>
      <c r="BB284" t="s">
        <v>74</v>
      </c>
      <c r="BC284" t="s">
        <v>74</v>
      </c>
      <c r="BD284">
        <v>10888</v>
      </c>
      <c r="BE284" t="s">
        <v>5440</v>
      </c>
      <c r="BF284" t="str">
        <f>HYPERLINK("http://dx.doi.org/10.3402/polar.v31i0.10888","http://dx.doi.org/10.3402/polar.v31i0.10888")</f>
        <v>http://dx.doi.org/10.3402/polar.v31i0.10888</v>
      </c>
      <c r="BG284" t="s">
        <v>74</v>
      </c>
      <c r="BH284" t="s">
        <v>74</v>
      </c>
      <c r="BI284">
        <v>13</v>
      </c>
      <c r="BJ284" t="s">
        <v>5365</v>
      </c>
      <c r="BK284" t="s">
        <v>100</v>
      </c>
      <c r="BL284" t="s">
        <v>5366</v>
      </c>
      <c r="BM284" t="s">
        <v>5441</v>
      </c>
      <c r="BN284" t="s">
        <v>74</v>
      </c>
      <c r="BO284" t="s">
        <v>1988</v>
      </c>
      <c r="BP284" t="s">
        <v>74</v>
      </c>
      <c r="BQ284" t="s">
        <v>74</v>
      </c>
      <c r="BR284" t="s">
        <v>102</v>
      </c>
      <c r="BS284" t="s">
        <v>5442</v>
      </c>
      <c r="BT284" t="str">
        <f>HYPERLINK("https%3A%2F%2Fwww.webofscience.com%2Fwos%2Fwoscc%2Ffull-record%2FWOS:000312905400001","View Full Record in Web of Science")</f>
        <v>View Full Record in Web of Science</v>
      </c>
    </row>
    <row r="285" spans="1:72" x14ac:dyDescent="0.15">
      <c r="A285" t="s">
        <v>72</v>
      </c>
      <c r="B285" t="s">
        <v>5443</v>
      </c>
      <c r="C285" t="s">
        <v>74</v>
      </c>
      <c r="D285" t="s">
        <v>74</v>
      </c>
      <c r="E285" t="s">
        <v>74</v>
      </c>
      <c r="F285" t="s">
        <v>5444</v>
      </c>
      <c r="G285" t="s">
        <v>74</v>
      </c>
      <c r="H285" t="s">
        <v>74</v>
      </c>
      <c r="I285" t="s">
        <v>5445</v>
      </c>
      <c r="J285" t="s">
        <v>5345</v>
      </c>
      <c r="K285" t="s">
        <v>74</v>
      </c>
      <c r="L285" t="s">
        <v>74</v>
      </c>
      <c r="M285" t="s">
        <v>78</v>
      </c>
      <c r="N285" t="s">
        <v>79</v>
      </c>
      <c r="O285" t="s">
        <v>74</v>
      </c>
      <c r="P285" t="s">
        <v>74</v>
      </c>
      <c r="Q285" t="s">
        <v>74</v>
      </c>
      <c r="R285" t="s">
        <v>74</v>
      </c>
      <c r="S285" t="s">
        <v>74</v>
      </c>
      <c r="T285" t="s">
        <v>5446</v>
      </c>
      <c r="U285" t="s">
        <v>5447</v>
      </c>
      <c r="V285" t="s">
        <v>5448</v>
      </c>
      <c r="W285" t="s">
        <v>5449</v>
      </c>
      <c r="X285" t="s">
        <v>5450</v>
      </c>
      <c r="Y285" t="s">
        <v>5451</v>
      </c>
      <c r="Z285" t="s">
        <v>5452</v>
      </c>
      <c r="AA285" t="s">
        <v>5453</v>
      </c>
      <c r="AB285" t="s">
        <v>5454</v>
      </c>
      <c r="AC285" t="s">
        <v>5455</v>
      </c>
      <c r="AD285" t="s">
        <v>5456</v>
      </c>
      <c r="AE285" t="s">
        <v>5457</v>
      </c>
      <c r="AF285" t="s">
        <v>74</v>
      </c>
      <c r="AG285">
        <v>41</v>
      </c>
      <c r="AH285">
        <v>13</v>
      </c>
      <c r="AI285">
        <v>16</v>
      </c>
      <c r="AJ285">
        <v>0</v>
      </c>
      <c r="AK285">
        <v>25</v>
      </c>
      <c r="AL285" t="s">
        <v>5381</v>
      </c>
      <c r="AM285" t="s">
        <v>5382</v>
      </c>
      <c r="AN285" t="s">
        <v>5383</v>
      </c>
      <c r="AO285" t="s">
        <v>5361</v>
      </c>
      <c r="AP285" t="s">
        <v>5384</v>
      </c>
      <c r="AQ285" t="s">
        <v>74</v>
      </c>
      <c r="AR285" t="s">
        <v>5362</v>
      </c>
      <c r="AS285" t="s">
        <v>5363</v>
      </c>
      <c r="AT285" t="s">
        <v>74</v>
      </c>
      <c r="AU285">
        <v>2012</v>
      </c>
      <c r="AV285">
        <v>31</v>
      </c>
      <c r="AW285" t="s">
        <v>74</v>
      </c>
      <c r="AX285" t="s">
        <v>74</v>
      </c>
      <c r="AY285" t="s">
        <v>74</v>
      </c>
      <c r="AZ285" t="s">
        <v>74</v>
      </c>
      <c r="BA285" t="s">
        <v>74</v>
      </c>
      <c r="BB285" t="s">
        <v>74</v>
      </c>
      <c r="BC285" t="s">
        <v>74</v>
      </c>
      <c r="BD285">
        <v>18507</v>
      </c>
      <c r="BE285" t="s">
        <v>5458</v>
      </c>
      <c r="BF285" t="str">
        <f>HYPERLINK("http://dx.doi.org/10.3402/polar.v31i0.18507","http://dx.doi.org/10.3402/polar.v31i0.18507")</f>
        <v>http://dx.doi.org/10.3402/polar.v31i0.18507</v>
      </c>
      <c r="BG285" t="s">
        <v>74</v>
      </c>
      <c r="BH285" t="s">
        <v>74</v>
      </c>
      <c r="BI285">
        <v>11</v>
      </c>
      <c r="BJ285" t="s">
        <v>5365</v>
      </c>
      <c r="BK285" t="s">
        <v>100</v>
      </c>
      <c r="BL285" t="s">
        <v>5366</v>
      </c>
      <c r="BM285" t="s">
        <v>5459</v>
      </c>
      <c r="BN285" t="s">
        <v>74</v>
      </c>
      <c r="BO285" t="s">
        <v>1237</v>
      </c>
      <c r="BP285" t="s">
        <v>74</v>
      </c>
      <c r="BQ285" t="s">
        <v>74</v>
      </c>
      <c r="BR285" t="s">
        <v>102</v>
      </c>
      <c r="BS285" t="s">
        <v>5460</v>
      </c>
      <c r="BT285" t="str">
        <f>HYPERLINK("https%3A%2F%2Fwww.webofscience.com%2Fwos%2Fwoscc%2Ffull-record%2FWOS:000312932000001","View Full Record in Web of Science")</f>
        <v>View Full Record in Web of Science</v>
      </c>
    </row>
    <row r="286" spans="1:72" x14ac:dyDescent="0.15">
      <c r="A286" t="s">
        <v>72</v>
      </c>
      <c r="B286" t="s">
        <v>5461</v>
      </c>
      <c r="C286" t="s">
        <v>74</v>
      </c>
      <c r="D286" t="s">
        <v>74</v>
      </c>
      <c r="E286" t="s">
        <v>74</v>
      </c>
      <c r="F286" t="s">
        <v>5462</v>
      </c>
      <c r="G286" t="s">
        <v>74</v>
      </c>
      <c r="H286" t="s">
        <v>74</v>
      </c>
      <c r="I286" t="s">
        <v>5463</v>
      </c>
      <c r="J286" t="s">
        <v>5464</v>
      </c>
      <c r="K286" t="s">
        <v>74</v>
      </c>
      <c r="L286" t="s">
        <v>74</v>
      </c>
      <c r="M286" t="s">
        <v>78</v>
      </c>
      <c r="N286" t="s">
        <v>79</v>
      </c>
      <c r="O286" t="s">
        <v>74</v>
      </c>
      <c r="P286" t="s">
        <v>74</v>
      </c>
      <c r="Q286" t="s">
        <v>74</v>
      </c>
      <c r="R286" t="s">
        <v>74</v>
      </c>
      <c r="S286" t="s">
        <v>74</v>
      </c>
      <c r="T286" t="s">
        <v>5465</v>
      </c>
      <c r="U286" t="s">
        <v>5466</v>
      </c>
      <c r="V286" t="s">
        <v>5467</v>
      </c>
      <c r="W286" t="s">
        <v>5468</v>
      </c>
      <c r="X286" t="s">
        <v>5469</v>
      </c>
      <c r="Y286" t="s">
        <v>5470</v>
      </c>
      <c r="Z286" t="s">
        <v>5471</v>
      </c>
      <c r="AA286" t="s">
        <v>5472</v>
      </c>
      <c r="AB286" t="s">
        <v>5473</v>
      </c>
      <c r="AC286" t="s">
        <v>5474</v>
      </c>
      <c r="AD286" t="s">
        <v>5475</v>
      </c>
      <c r="AE286" t="s">
        <v>5476</v>
      </c>
      <c r="AF286" t="s">
        <v>74</v>
      </c>
      <c r="AG286">
        <v>24</v>
      </c>
      <c r="AH286">
        <v>7</v>
      </c>
      <c r="AI286">
        <v>9</v>
      </c>
      <c r="AJ286">
        <v>0</v>
      </c>
      <c r="AK286">
        <v>0</v>
      </c>
      <c r="AL286" t="s">
        <v>5477</v>
      </c>
      <c r="AM286" t="s">
        <v>5478</v>
      </c>
      <c r="AN286" t="s">
        <v>5479</v>
      </c>
      <c r="AO286" t="s">
        <v>5480</v>
      </c>
      <c r="AP286" t="s">
        <v>5481</v>
      </c>
      <c r="AQ286" t="s">
        <v>74</v>
      </c>
      <c r="AR286" t="s">
        <v>5482</v>
      </c>
      <c r="AS286" t="s">
        <v>5483</v>
      </c>
      <c r="AT286" t="s">
        <v>74</v>
      </c>
      <c r="AU286">
        <v>2012</v>
      </c>
      <c r="AV286">
        <v>33</v>
      </c>
      <c r="AW286">
        <v>1</v>
      </c>
      <c r="AX286" t="s">
        <v>74</v>
      </c>
      <c r="AY286" t="s">
        <v>74</v>
      </c>
      <c r="AZ286" t="s">
        <v>74</v>
      </c>
      <c r="BA286" t="s">
        <v>74</v>
      </c>
      <c r="BB286">
        <v>81</v>
      </c>
      <c r="BC286">
        <v>98</v>
      </c>
      <c r="BD286" t="s">
        <v>74</v>
      </c>
      <c r="BE286" t="s">
        <v>5484</v>
      </c>
      <c r="BF286" t="str">
        <f>HYPERLINK("http://dx.doi.org/10.2478/v10183-012-0006-3","http://dx.doi.org/10.2478/v10183-012-0006-3")</f>
        <v>http://dx.doi.org/10.2478/v10183-012-0006-3</v>
      </c>
      <c r="BG286" t="s">
        <v>74</v>
      </c>
      <c r="BH286" t="s">
        <v>74</v>
      </c>
      <c r="BI286">
        <v>18</v>
      </c>
      <c r="BJ286" t="s">
        <v>1551</v>
      </c>
      <c r="BK286" t="s">
        <v>100</v>
      </c>
      <c r="BL286" t="s">
        <v>1552</v>
      </c>
      <c r="BM286" t="s">
        <v>5485</v>
      </c>
      <c r="BN286" t="s">
        <v>74</v>
      </c>
      <c r="BO286" t="s">
        <v>1796</v>
      </c>
      <c r="BP286" t="s">
        <v>74</v>
      </c>
      <c r="BQ286" t="s">
        <v>74</v>
      </c>
      <c r="BR286" t="s">
        <v>102</v>
      </c>
      <c r="BS286" t="s">
        <v>5486</v>
      </c>
      <c r="BT286" t="str">
        <f>HYPERLINK("https%3A%2F%2Fwww.webofscience.com%2Fwos%2Fwoscc%2Ffull-record%2FWOS:000302521400006","View Full Record in Web of Science")</f>
        <v>View Full Record in Web of Science</v>
      </c>
    </row>
    <row r="287" spans="1:72" x14ac:dyDescent="0.15">
      <c r="A287" t="s">
        <v>393</v>
      </c>
      <c r="B287" t="s">
        <v>5487</v>
      </c>
      <c r="C287" t="s">
        <v>74</v>
      </c>
      <c r="D287" t="s">
        <v>74</v>
      </c>
      <c r="E287" t="s">
        <v>395</v>
      </c>
      <c r="F287" t="s">
        <v>5488</v>
      </c>
      <c r="G287" t="s">
        <v>74</v>
      </c>
      <c r="H287" t="s">
        <v>74</v>
      </c>
      <c r="I287" t="s">
        <v>5489</v>
      </c>
      <c r="J287" t="s">
        <v>5490</v>
      </c>
      <c r="K287" t="s">
        <v>5491</v>
      </c>
      <c r="L287" t="s">
        <v>74</v>
      </c>
      <c r="M287" t="s">
        <v>78</v>
      </c>
      <c r="N287" t="s">
        <v>400</v>
      </c>
      <c r="O287" t="s">
        <v>5492</v>
      </c>
      <c r="P287" t="s">
        <v>5493</v>
      </c>
      <c r="Q287" t="s">
        <v>5494</v>
      </c>
      <c r="R287" t="s">
        <v>74</v>
      </c>
      <c r="S287" t="s">
        <v>74</v>
      </c>
      <c r="T287" t="s">
        <v>5495</v>
      </c>
      <c r="U287" t="s">
        <v>74</v>
      </c>
      <c r="V287" t="s">
        <v>5496</v>
      </c>
      <c r="W287" t="s">
        <v>5497</v>
      </c>
      <c r="X287" t="s">
        <v>5498</v>
      </c>
      <c r="Y287" t="s">
        <v>5499</v>
      </c>
      <c r="Z287" t="s">
        <v>5500</v>
      </c>
      <c r="AA287" t="s">
        <v>74</v>
      </c>
      <c r="AB287" t="s">
        <v>74</v>
      </c>
      <c r="AC287" t="s">
        <v>74</v>
      </c>
      <c r="AD287" t="s">
        <v>74</v>
      </c>
      <c r="AE287" t="s">
        <v>74</v>
      </c>
      <c r="AF287" t="s">
        <v>74</v>
      </c>
      <c r="AG287">
        <v>7</v>
      </c>
      <c r="AH287">
        <v>0</v>
      </c>
      <c r="AI287">
        <v>0</v>
      </c>
      <c r="AJ287">
        <v>0</v>
      </c>
      <c r="AK287">
        <v>0</v>
      </c>
      <c r="AL287" t="s">
        <v>395</v>
      </c>
      <c r="AM287" t="s">
        <v>413</v>
      </c>
      <c r="AN287" t="s">
        <v>414</v>
      </c>
      <c r="AO287" t="s">
        <v>5501</v>
      </c>
      <c r="AP287" t="s">
        <v>74</v>
      </c>
      <c r="AQ287" t="s">
        <v>5502</v>
      </c>
      <c r="AR287" t="s">
        <v>5503</v>
      </c>
      <c r="AS287" t="s">
        <v>74</v>
      </c>
      <c r="AT287" t="s">
        <v>74</v>
      </c>
      <c r="AU287">
        <v>2012</v>
      </c>
      <c r="AV287" t="s">
        <v>74</v>
      </c>
      <c r="AW287" t="s">
        <v>74</v>
      </c>
      <c r="AX287" t="s">
        <v>74</v>
      </c>
      <c r="AY287" t="s">
        <v>74</v>
      </c>
      <c r="AZ287" t="s">
        <v>74</v>
      </c>
      <c r="BA287" t="s">
        <v>74</v>
      </c>
      <c r="BB287">
        <v>1894</v>
      </c>
      <c r="BC287">
        <v>1896</v>
      </c>
      <c r="BD287" t="s">
        <v>74</v>
      </c>
      <c r="BE287" t="s">
        <v>74</v>
      </c>
      <c r="BF287" t="s">
        <v>74</v>
      </c>
      <c r="BG287" t="s">
        <v>74</v>
      </c>
      <c r="BH287" t="s">
        <v>74</v>
      </c>
      <c r="BI287">
        <v>3</v>
      </c>
      <c r="BJ287" t="s">
        <v>5504</v>
      </c>
      <c r="BK287" t="s">
        <v>419</v>
      </c>
      <c r="BL287" t="s">
        <v>5505</v>
      </c>
      <c r="BM287" t="s">
        <v>5506</v>
      </c>
      <c r="BN287" t="s">
        <v>74</v>
      </c>
      <c r="BO287" t="s">
        <v>74</v>
      </c>
      <c r="BP287" t="s">
        <v>74</v>
      </c>
      <c r="BQ287" t="s">
        <v>74</v>
      </c>
      <c r="BR287" t="s">
        <v>102</v>
      </c>
      <c r="BS287" t="s">
        <v>5507</v>
      </c>
      <c r="BT287" t="str">
        <f>HYPERLINK("https%3A%2F%2Fwww.webofscience.com%2Fwos%2Fwoscc%2Ffull-record%2FWOS:000398865900424","View Full Record in Web of Science")</f>
        <v>View Full Record in Web of Science</v>
      </c>
    </row>
    <row r="288" spans="1:72" x14ac:dyDescent="0.15">
      <c r="A288" t="s">
        <v>393</v>
      </c>
      <c r="B288" t="s">
        <v>5508</v>
      </c>
      <c r="C288" t="s">
        <v>74</v>
      </c>
      <c r="D288" t="s">
        <v>74</v>
      </c>
      <c r="E288" t="s">
        <v>5509</v>
      </c>
      <c r="F288" t="s">
        <v>5510</v>
      </c>
      <c r="G288" t="s">
        <v>74</v>
      </c>
      <c r="H288" t="s">
        <v>74</v>
      </c>
      <c r="I288" t="s">
        <v>5511</v>
      </c>
      <c r="J288" t="s">
        <v>5512</v>
      </c>
      <c r="K288" t="s">
        <v>74</v>
      </c>
      <c r="L288" t="s">
        <v>74</v>
      </c>
      <c r="M288" t="s">
        <v>78</v>
      </c>
      <c r="N288" t="s">
        <v>400</v>
      </c>
      <c r="O288" t="s">
        <v>5513</v>
      </c>
      <c r="P288" t="s">
        <v>5514</v>
      </c>
      <c r="Q288" t="s">
        <v>5515</v>
      </c>
      <c r="R288" t="s">
        <v>74</v>
      </c>
      <c r="S288" t="s">
        <v>74</v>
      </c>
      <c r="T288" t="s">
        <v>74</v>
      </c>
      <c r="U288" t="s">
        <v>74</v>
      </c>
      <c r="V288" t="s">
        <v>5516</v>
      </c>
      <c r="W288" t="s">
        <v>5517</v>
      </c>
      <c r="X288" t="s">
        <v>5518</v>
      </c>
      <c r="Y288" t="s">
        <v>5519</v>
      </c>
      <c r="Z288" t="s">
        <v>74</v>
      </c>
      <c r="AA288" t="s">
        <v>74</v>
      </c>
      <c r="AB288" t="s">
        <v>74</v>
      </c>
      <c r="AC288" t="s">
        <v>74</v>
      </c>
      <c r="AD288" t="s">
        <v>74</v>
      </c>
      <c r="AE288" t="s">
        <v>74</v>
      </c>
      <c r="AF288" t="s">
        <v>74</v>
      </c>
      <c r="AG288">
        <v>20</v>
      </c>
      <c r="AH288">
        <v>1</v>
      </c>
      <c r="AI288">
        <v>1</v>
      </c>
      <c r="AJ288">
        <v>0</v>
      </c>
      <c r="AK288">
        <v>11</v>
      </c>
      <c r="AL288" t="s">
        <v>5520</v>
      </c>
      <c r="AM288" t="s">
        <v>413</v>
      </c>
      <c r="AN288" t="s">
        <v>5521</v>
      </c>
      <c r="AO288" t="s">
        <v>74</v>
      </c>
      <c r="AP288" t="s">
        <v>74</v>
      </c>
      <c r="AQ288" t="s">
        <v>5522</v>
      </c>
      <c r="AR288" t="s">
        <v>74</v>
      </c>
      <c r="AS288" t="s">
        <v>74</v>
      </c>
      <c r="AT288" t="s">
        <v>74</v>
      </c>
      <c r="AU288">
        <v>2012</v>
      </c>
      <c r="AV288" t="s">
        <v>74</v>
      </c>
      <c r="AW288" t="s">
        <v>74</v>
      </c>
      <c r="AX288" t="s">
        <v>74</v>
      </c>
      <c r="AY288" t="s">
        <v>74</v>
      </c>
      <c r="AZ288" t="s">
        <v>74</v>
      </c>
      <c r="BA288" t="s">
        <v>74</v>
      </c>
      <c r="BB288">
        <v>1161</v>
      </c>
      <c r="BC288">
        <v>1169</v>
      </c>
      <c r="BD288" t="s">
        <v>74</v>
      </c>
      <c r="BE288" t="s">
        <v>74</v>
      </c>
      <c r="BF288" t="s">
        <v>74</v>
      </c>
      <c r="BG288" t="s">
        <v>74</v>
      </c>
      <c r="BH288" t="s">
        <v>74</v>
      </c>
      <c r="BI288">
        <v>9</v>
      </c>
      <c r="BJ288" t="s">
        <v>5523</v>
      </c>
      <c r="BK288" t="s">
        <v>419</v>
      </c>
      <c r="BL288" t="s">
        <v>5524</v>
      </c>
      <c r="BM288" t="s">
        <v>5525</v>
      </c>
      <c r="BN288" t="s">
        <v>74</v>
      </c>
      <c r="BO288" t="s">
        <v>74</v>
      </c>
      <c r="BP288" t="s">
        <v>74</v>
      </c>
      <c r="BQ288" t="s">
        <v>74</v>
      </c>
      <c r="BR288" t="s">
        <v>102</v>
      </c>
      <c r="BS288" t="s">
        <v>5526</v>
      </c>
      <c r="BT288" t="str">
        <f>HYPERLINK("https%3A%2F%2Fwww.webofscience.com%2Fwos%2Fwoscc%2Ffull-record%2FWOS:000320625800129","View Full Record in Web of Science")</f>
        <v>View Full Record in Web of Science</v>
      </c>
    </row>
    <row r="289" spans="1:72" x14ac:dyDescent="0.15">
      <c r="A289" t="s">
        <v>72</v>
      </c>
      <c r="B289" t="s">
        <v>5527</v>
      </c>
      <c r="C289" t="s">
        <v>74</v>
      </c>
      <c r="D289" t="s">
        <v>74</v>
      </c>
      <c r="E289" t="s">
        <v>74</v>
      </c>
      <c r="F289" t="s">
        <v>5528</v>
      </c>
      <c r="G289" t="s">
        <v>74</v>
      </c>
      <c r="H289" t="s">
        <v>74</v>
      </c>
      <c r="I289" t="s">
        <v>5529</v>
      </c>
      <c r="J289" t="s">
        <v>5530</v>
      </c>
      <c r="K289" t="s">
        <v>74</v>
      </c>
      <c r="L289" t="s">
        <v>74</v>
      </c>
      <c r="M289" t="s">
        <v>78</v>
      </c>
      <c r="N289" t="s">
        <v>79</v>
      </c>
      <c r="O289" t="s">
        <v>74</v>
      </c>
      <c r="P289" t="s">
        <v>74</v>
      </c>
      <c r="Q289" t="s">
        <v>74</v>
      </c>
      <c r="R289" t="s">
        <v>74</v>
      </c>
      <c r="S289" t="s">
        <v>74</v>
      </c>
      <c r="T289" t="s">
        <v>74</v>
      </c>
      <c r="U289" t="s">
        <v>5531</v>
      </c>
      <c r="V289" t="s">
        <v>5532</v>
      </c>
      <c r="W289" t="s">
        <v>5533</v>
      </c>
      <c r="X289" t="s">
        <v>5534</v>
      </c>
      <c r="Y289" t="s">
        <v>5535</v>
      </c>
      <c r="Z289" t="s">
        <v>5536</v>
      </c>
      <c r="AA289" t="s">
        <v>5537</v>
      </c>
      <c r="AB289" t="s">
        <v>5538</v>
      </c>
      <c r="AC289" t="s">
        <v>5539</v>
      </c>
      <c r="AD289" t="s">
        <v>5540</v>
      </c>
      <c r="AE289" t="s">
        <v>5541</v>
      </c>
      <c r="AF289" t="s">
        <v>74</v>
      </c>
      <c r="AG289">
        <v>61</v>
      </c>
      <c r="AH289">
        <v>17</v>
      </c>
      <c r="AI289">
        <v>18</v>
      </c>
      <c r="AJ289">
        <v>0</v>
      </c>
      <c r="AK289">
        <v>9</v>
      </c>
      <c r="AL289" t="s">
        <v>5542</v>
      </c>
      <c r="AM289" t="s">
        <v>5543</v>
      </c>
      <c r="AN289" t="s">
        <v>5544</v>
      </c>
      <c r="AO289" t="s">
        <v>5545</v>
      </c>
      <c r="AP289" t="s">
        <v>5546</v>
      </c>
      <c r="AQ289" t="s">
        <v>74</v>
      </c>
      <c r="AR289" t="s">
        <v>5547</v>
      </c>
      <c r="AS289" t="s">
        <v>5548</v>
      </c>
      <c r="AT289" t="s">
        <v>97</v>
      </c>
      <c r="AU289">
        <v>2012</v>
      </c>
      <c r="AV289">
        <v>124</v>
      </c>
      <c r="AW289">
        <v>911</v>
      </c>
      <c r="AX289" t="s">
        <v>74</v>
      </c>
      <c r="AY289" t="s">
        <v>74</v>
      </c>
      <c r="AZ289" t="s">
        <v>74</v>
      </c>
      <c r="BA289" t="s">
        <v>74</v>
      </c>
      <c r="BB289">
        <v>74</v>
      </c>
      <c r="BC289">
        <v>83</v>
      </c>
      <c r="BD289" t="s">
        <v>74</v>
      </c>
      <c r="BE289" t="s">
        <v>5549</v>
      </c>
      <c r="BF289" t="str">
        <f>HYPERLINK("http://dx.doi.org/10.1086/664077","http://dx.doi.org/10.1086/664077")</f>
        <v>http://dx.doi.org/10.1086/664077</v>
      </c>
      <c r="BG289" t="s">
        <v>74</v>
      </c>
      <c r="BH289" t="s">
        <v>74</v>
      </c>
      <c r="BI289">
        <v>10</v>
      </c>
      <c r="BJ289" t="s">
        <v>5208</v>
      </c>
      <c r="BK289" t="s">
        <v>100</v>
      </c>
      <c r="BL289" t="s">
        <v>5208</v>
      </c>
      <c r="BM289" t="s">
        <v>5550</v>
      </c>
      <c r="BN289" t="s">
        <v>74</v>
      </c>
      <c r="BO289" t="s">
        <v>3786</v>
      </c>
      <c r="BP289" t="s">
        <v>74</v>
      </c>
      <c r="BQ289" t="s">
        <v>74</v>
      </c>
      <c r="BR289" t="s">
        <v>102</v>
      </c>
      <c r="BS289" t="s">
        <v>5551</v>
      </c>
      <c r="BT289" t="str">
        <f>HYPERLINK("https%3A%2F%2Fwww.webofscience.com%2Fwos%2Fwoscc%2Ffull-record%2FWOS:000300042600008","View Full Record in Web of Science")</f>
        <v>View Full Record in Web of Science</v>
      </c>
    </row>
    <row r="290" spans="1:72" x14ac:dyDescent="0.15">
      <c r="A290" t="s">
        <v>72</v>
      </c>
      <c r="B290" t="s">
        <v>5552</v>
      </c>
      <c r="C290" t="s">
        <v>74</v>
      </c>
      <c r="D290" t="s">
        <v>74</v>
      </c>
      <c r="E290" t="s">
        <v>74</v>
      </c>
      <c r="F290" t="s">
        <v>5553</v>
      </c>
      <c r="G290" t="s">
        <v>74</v>
      </c>
      <c r="H290" t="s">
        <v>74</v>
      </c>
      <c r="I290" t="s">
        <v>5554</v>
      </c>
      <c r="J290" t="s">
        <v>5555</v>
      </c>
      <c r="K290" t="s">
        <v>74</v>
      </c>
      <c r="L290" t="s">
        <v>74</v>
      </c>
      <c r="M290" t="s">
        <v>78</v>
      </c>
      <c r="N290" t="s">
        <v>79</v>
      </c>
      <c r="O290" t="s">
        <v>74</v>
      </c>
      <c r="P290" t="s">
        <v>74</v>
      </c>
      <c r="Q290" t="s">
        <v>74</v>
      </c>
      <c r="R290" t="s">
        <v>74</v>
      </c>
      <c r="S290" t="s">
        <v>74</v>
      </c>
      <c r="T290" t="s">
        <v>74</v>
      </c>
      <c r="U290" t="s">
        <v>5556</v>
      </c>
      <c r="V290" t="s">
        <v>5557</v>
      </c>
      <c r="W290" t="s">
        <v>5558</v>
      </c>
      <c r="X290" t="s">
        <v>5559</v>
      </c>
      <c r="Y290" t="s">
        <v>5560</v>
      </c>
      <c r="Z290" t="s">
        <v>5561</v>
      </c>
      <c r="AA290" t="s">
        <v>5562</v>
      </c>
      <c r="AB290" t="s">
        <v>5563</v>
      </c>
      <c r="AC290" t="s">
        <v>74</v>
      </c>
      <c r="AD290" t="s">
        <v>74</v>
      </c>
      <c r="AE290" t="s">
        <v>74</v>
      </c>
      <c r="AF290" t="s">
        <v>74</v>
      </c>
      <c r="AG290">
        <v>27</v>
      </c>
      <c r="AH290">
        <v>37</v>
      </c>
      <c r="AI290">
        <v>38</v>
      </c>
      <c r="AJ290">
        <v>1</v>
      </c>
      <c r="AK290">
        <v>22</v>
      </c>
      <c r="AL290" t="s">
        <v>1150</v>
      </c>
      <c r="AM290" t="s">
        <v>1151</v>
      </c>
      <c r="AN290" t="s">
        <v>5564</v>
      </c>
      <c r="AO290" t="s">
        <v>5565</v>
      </c>
      <c r="AP290" t="s">
        <v>74</v>
      </c>
      <c r="AQ290" t="s">
        <v>74</v>
      </c>
      <c r="AR290" t="s">
        <v>5566</v>
      </c>
      <c r="AS290" t="s">
        <v>5567</v>
      </c>
      <c r="AT290" t="s">
        <v>74</v>
      </c>
      <c r="AU290">
        <v>2012</v>
      </c>
      <c r="AV290">
        <v>3</v>
      </c>
      <c r="AW290">
        <v>4</v>
      </c>
      <c r="AX290" t="s">
        <v>74</v>
      </c>
      <c r="AY290" t="s">
        <v>74</v>
      </c>
      <c r="AZ290" t="s">
        <v>74</v>
      </c>
      <c r="BA290" t="s">
        <v>74</v>
      </c>
      <c r="BB290">
        <v>343</v>
      </c>
      <c r="BC290">
        <v>352</v>
      </c>
      <c r="BD290" t="s">
        <v>74</v>
      </c>
      <c r="BE290" t="s">
        <v>5568</v>
      </c>
      <c r="BF290" t="str">
        <f>HYPERLINK("http://dx.doi.org/10.1080/01431161.2011.597792","http://dx.doi.org/10.1080/01431161.2011.597792")</f>
        <v>http://dx.doi.org/10.1080/01431161.2011.597792</v>
      </c>
      <c r="BG290" t="s">
        <v>74</v>
      </c>
      <c r="BH290" t="s">
        <v>74</v>
      </c>
      <c r="BI290">
        <v>10</v>
      </c>
      <c r="BJ290" t="s">
        <v>5569</v>
      </c>
      <c r="BK290" t="s">
        <v>100</v>
      </c>
      <c r="BL290" t="s">
        <v>5569</v>
      </c>
      <c r="BM290" t="s">
        <v>5570</v>
      </c>
      <c r="BN290" t="s">
        <v>74</v>
      </c>
      <c r="BO290" t="s">
        <v>74</v>
      </c>
      <c r="BP290" t="s">
        <v>74</v>
      </c>
      <c r="BQ290" t="s">
        <v>74</v>
      </c>
      <c r="BR290" t="s">
        <v>102</v>
      </c>
      <c r="BS290" t="s">
        <v>5571</v>
      </c>
      <c r="BT290" t="str">
        <f>HYPERLINK("https%3A%2F%2Fwww.webofscience.com%2Fwos%2Fwoscc%2Ffull-record%2FWOS:000302248200008","View Full Record in Web of Science")</f>
        <v>View Full Record in Web of Science</v>
      </c>
    </row>
    <row r="291" spans="1:72" x14ac:dyDescent="0.15">
      <c r="A291" t="s">
        <v>72</v>
      </c>
      <c r="B291" t="s">
        <v>5572</v>
      </c>
      <c r="C291" t="s">
        <v>74</v>
      </c>
      <c r="D291" t="s">
        <v>74</v>
      </c>
      <c r="E291" t="s">
        <v>74</v>
      </c>
      <c r="F291" t="s">
        <v>5573</v>
      </c>
      <c r="G291" t="s">
        <v>74</v>
      </c>
      <c r="H291" t="s">
        <v>74</v>
      </c>
      <c r="I291" t="s">
        <v>5574</v>
      </c>
      <c r="J291" t="s">
        <v>5575</v>
      </c>
      <c r="K291" t="s">
        <v>74</v>
      </c>
      <c r="L291" t="s">
        <v>74</v>
      </c>
      <c r="M291" t="s">
        <v>5576</v>
      </c>
      <c r="N291" t="s">
        <v>79</v>
      </c>
      <c r="O291" t="s">
        <v>74</v>
      </c>
      <c r="P291" t="s">
        <v>74</v>
      </c>
      <c r="Q291" t="s">
        <v>74</v>
      </c>
      <c r="R291" t="s">
        <v>74</v>
      </c>
      <c r="S291" t="s">
        <v>74</v>
      </c>
      <c r="T291" t="s">
        <v>5577</v>
      </c>
      <c r="U291" t="s">
        <v>5578</v>
      </c>
      <c r="V291" t="s">
        <v>5579</v>
      </c>
      <c r="W291" t="s">
        <v>5580</v>
      </c>
      <c r="X291" t="s">
        <v>5581</v>
      </c>
      <c r="Y291" t="s">
        <v>5582</v>
      </c>
      <c r="Z291" t="s">
        <v>5583</v>
      </c>
      <c r="AA291" t="s">
        <v>5584</v>
      </c>
      <c r="AB291" t="s">
        <v>5585</v>
      </c>
      <c r="AC291" t="s">
        <v>74</v>
      </c>
      <c r="AD291" t="s">
        <v>74</v>
      </c>
      <c r="AE291" t="s">
        <v>74</v>
      </c>
      <c r="AF291" t="s">
        <v>74</v>
      </c>
      <c r="AG291">
        <v>28</v>
      </c>
      <c r="AH291">
        <v>3</v>
      </c>
      <c r="AI291">
        <v>3</v>
      </c>
      <c r="AJ291">
        <v>0</v>
      </c>
      <c r="AK291">
        <v>0</v>
      </c>
      <c r="AL291" t="s">
        <v>5586</v>
      </c>
      <c r="AM291" t="s">
        <v>5587</v>
      </c>
      <c r="AN291" t="s">
        <v>5588</v>
      </c>
      <c r="AO291" t="s">
        <v>5589</v>
      </c>
      <c r="AP291" t="s">
        <v>5590</v>
      </c>
      <c r="AQ291" t="s">
        <v>74</v>
      </c>
      <c r="AR291" t="s">
        <v>5591</v>
      </c>
      <c r="AS291" t="s">
        <v>5592</v>
      </c>
      <c r="AT291" t="s">
        <v>74</v>
      </c>
      <c r="AU291">
        <v>2012</v>
      </c>
      <c r="AV291" t="s">
        <v>74</v>
      </c>
      <c r="AW291" t="s">
        <v>74</v>
      </c>
      <c r="AX291" t="s">
        <v>74</v>
      </c>
      <c r="AY291" t="s">
        <v>74</v>
      </c>
      <c r="AZ291" t="s">
        <v>339</v>
      </c>
      <c r="BA291" t="s">
        <v>74</v>
      </c>
      <c r="BB291">
        <v>185</v>
      </c>
      <c r="BC291">
        <v>203</v>
      </c>
      <c r="BD291" t="s">
        <v>74</v>
      </c>
      <c r="BE291" t="s">
        <v>5593</v>
      </c>
      <c r="BF291" t="str">
        <f>HYPERLINK("http://dx.doi.org/10.5654/actageo2012.0002.0012","http://dx.doi.org/10.5654/actageo2012.0002.0012")</f>
        <v>http://dx.doi.org/10.5654/actageo2012.0002.0012</v>
      </c>
      <c r="BG291" t="s">
        <v>74</v>
      </c>
      <c r="BH291" t="s">
        <v>74</v>
      </c>
      <c r="BI291">
        <v>19</v>
      </c>
      <c r="BJ291" t="s">
        <v>2967</v>
      </c>
      <c r="BK291" t="s">
        <v>1158</v>
      </c>
      <c r="BL291" t="s">
        <v>2967</v>
      </c>
      <c r="BM291" t="s">
        <v>5594</v>
      </c>
      <c r="BN291" t="s">
        <v>74</v>
      </c>
      <c r="BO291" t="s">
        <v>365</v>
      </c>
      <c r="BP291" t="s">
        <v>74</v>
      </c>
      <c r="BQ291" t="s">
        <v>74</v>
      </c>
      <c r="BR291" t="s">
        <v>102</v>
      </c>
      <c r="BS291" t="s">
        <v>5595</v>
      </c>
      <c r="BT291" t="str">
        <f>HYPERLINK("https%3A%2F%2Fwww.webofscience.com%2Fwos%2Fwoscc%2Ffull-record%2FWOS:000216342100014","View Full Record in Web of Science")</f>
        <v>View Full Record in Web of Science</v>
      </c>
    </row>
    <row r="292" spans="1:72" x14ac:dyDescent="0.15">
      <c r="A292" t="s">
        <v>72</v>
      </c>
      <c r="B292" t="s">
        <v>5596</v>
      </c>
      <c r="C292" t="s">
        <v>74</v>
      </c>
      <c r="D292" t="s">
        <v>74</v>
      </c>
      <c r="E292" t="s">
        <v>74</v>
      </c>
      <c r="F292" t="s">
        <v>5597</v>
      </c>
      <c r="G292" t="s">
        <v>74</v>
      </c>
      <c r="H292" t="s">
        <v>74</v>
      </c>
      <c r="I292" t="s">
        <v>5598</v>
      </c>
      <c r="J292" t="s">
        <v>5599</v>
      </c>
      <c r="K292" t="s">
        <v>74</v>
      </c>
      <c r="L292" t="s">
        <v>74</v>
      </c>
      <c r="M292" t="s">
        <v>78</v>
      </c>
      <c r="N292" t="s">
        <v>79</v>
      </c>
      <c r="O292" t="s">
        <v>74</v>
      </c>
      <c r="P292" t="s">
        <v>74</v>
      </c>
      <c r="Q292" t="s">
        <v>74</v>
      </c>
      <c r="R292" t="s">
        <v>74</v>
      </c>
      <c r="S292" t="s">
        <v>74</v>
      </c>
      <c r="T292" t="s">
        <v>74</v>
      </c>
      <c r="U292" t="s">
        <v>74</v>
      </c>
      <c r="V292" t="s">
        <v>5600</v>
      </c>
      <c r="W292" t="s">
        <v>5601</v>
      </c>
      <c r="X292" t="s">
        <v>5602</v>
      </c>
      <c r="Y292" t="s">
        <v>5603</v>
      </c>
      <c r="Z292" t="s">
        <v>74</v>
      </c>
      <c r="AA292" t="s">
        <v>74</v>
      </c>
      <c r="AB292" t="s">
        <v>74</v>
      </c>
      <c r="AC292" t="s">
        <v>74</v>
      </c>
      <c r="AD292" t="s">
        <v>74</v>
      </c>
      <c r="AE292" t="s">
        <v>74</v>
      </c>
      <c r="AF292" t="s">
        <v>74</v>
      </c>
      <c r="AG292">
        <v>23</v>
      </c>
      <c r="AH292">
        <v>14</v>
      </c>
      <c r="AI292">
        <v>14</v>
      </c>
      <c r="AJ292">
        <v>0</v>
      </c>
      <c r="AK292">
        <v>0</v>
      </c>
      <c r="AL292" t="s">
        <v>5604</v>
      </c>
      <c r="AM292" t="s">
        <v>1151</v>
      </c>
      <c r="AN292" t="s">
        <v>5605</v>
      </c>
      <c r="AO292" t="s">
        <v>5606</v>
      </c>
      <c r="AP292" t="s">
        <v>5607</v>
      </c>
      <c r="AQ292" t="s">
        <v>74</v>
      </c>
      <c r="AR292" t="s">
        <v>5608</v>
      </c>
      <c r="AS292" t="s">
        <v>5609</v>
      </c>
      <c r="AT292" t="s">
        <v>74</v>
      </c>
      <c r="AU292">
        <v>2012</v>
      </c>
      <c r="AV292">
        <v>157</v>
      </c>
      <c r="AW292">
        <v>6</v>
      </c>
      <c r="AX292" t="s">
        <v>74</v>
      </c>
      <c r="AY292" t="s">
        <v>74</v>
      </c>
      <c r="AZ292" t="s">
        <v>74</v>
      </c>
      <c r="BA292" t="s">
        <v>74</v>
      </c>
      <c r="BB292">
        <v>18</v>
      </c>
      <c r="BC292">
        <v>25</v>
      </c>
      <c r="BD292" t="s">
        <v>74</v>
      </c>
      <c r="BE292" t="s">
        <v>5610</v>
      </c>
      <c r="BF292" t="str">
        <f>HYPERLINK("http://dx.doi.org/10.1080/03071847.2012.750882","http://dx.doi.org/10.1080/03071847.2012.750882")</f>
        <v>http://dx.doi.org/10.1080/03071847.2012.750882</v>
      </c>
      <c r="BG292" t="s">
        <v>74</v>
      </c>
      <c r="BH292" t="s">
        <v>74</v>
      </c>
      <c r="BI292">
        <v>8</v>
      </c>
      <c r="BJ292" t="s">
        <v>5611</v>
      </c>
      <c r="BK292" t="s">
        <v>1158</v>
      </c>
      <c r="BL292" t="s">
        <v>5612</v>
      </c>
      <c r="BM292" t="s">
        <v>5613</v>
      </c>
      <c r="BN292" t="s">
        <v>74</v>
      </c>
      <c r="BO292" t="s">
        <v>74</v>
      </c>
      <c r="BP292" t="s">
        <v>74</v>
      </c>
      <c r="BQ292" t="s">
        <v>74</v>
      </c>
      <c r="BR292" t="s">
        <v>102</v>
      </c>
      <c r="BS292" t="s">
        <v>5614</v>
      </c>
      <c r="BT292" t="str">
        <f>HYPERLINK("https%3A%2F%2Fwww.webofscience.com%2Fwos%2Fwoscc%2Ffull-record%2FWOS:000218303200004","View Full Record in Web of Science")</f>
        <v>View Full Record in Web of Science</v>
      </c>
    </row>
    <row r="293" spans="1:72" x14ac:dyDescent="0.15">
      <c r="A293" t="s">
        <v>393</v>
      </c>
      <c r="B293" t="s">
        <v>5615</v>
      </c>
      <c r="C293" t="s">
        <v>74</v>
      </c>
      <c r="D293" t="s">
        <v>74</v>
      </c>
      <c r="E293" t="s">
        <v>5616</v>
      </c>
      <c r="F293" t="s">
        <v>5617</v>
      </c>
      <c r="G293" t="s">
        <v>74</v>
      </c>
      <c r="H293" t="s">
        <v>74</v>
      </c>
      <c r="I293" t="s">
        <v>5618</v>
      </c>
      <c r="J293" t="s">
        <v>5619</v>
      </c>
      <c r="K293" t="s">
        <v>74</v>
      </c>
      <c r="L293" t="s">
        <v>74</v>
      </c>
      <c r="M293" t="s">
        <v>78</v>
      </c>
      <c r="N293" t="s">
        <v>400</v>
      </c>
      <c r="O293" t="s">
        <v>5620</v>
      </c>
      <c r="P293" t="s">
        <v>5621</v>
      </c>
      <c r="Q293" t="s">
        <v>5622</v>
      </c>
      <c r="R293" t="s">
        <v>74</v>
      </c>
      <c r="S293" t="s">
        <v>74</v>
      </c>
      <c r="T293" t="s">
        <v>74</v>
      </c>
      <c r="U293" t="s">
        <v>74</v>
      </c>
      <c r="V293" t="s">
        <v>74</v>
      </c>
      <c r="W293" t="s">
        <v>5623</v>
      </c>
      <c r="X293" t="s">
        <v>74</v>
      </c>
      <c r="Y293" t="s">
        <v>5624</v>
      </c>
      <c r="Z293" t="s">
        <v>74</v>
      </c>
      <c r="AA293" t="s">
        <v>74</v>
      </c>
      <c r="AB293" t="s">
        <v>74</v>
      </c>
      <c r="AC293" t="s">
        <v>74</v>
      </c>
      <c r="AD293" t="s">
        <v>74</v>
      </c>
      <c r="AE293" t="s">
        <v>74</v>
      </c>
      <c r="AF293" t="s">
        <v>74</v>
      </c>
      <c r="AG293">
        <v>0</v>
      </c>
      <c r="AH293">
        <v>0</v>
      </c>
      <c r="AI293">
        <v>0</v>
      </c>
      <c r="AJ293">
        <v>1</v>
      </c>
      <c r="AK293">
        <v>2</v>
      </c>
      <c r="AL293" t="s">
        <v>5625</v>
      </c>
      <c r="AM293" t="s">
        <v>5626</v>
      </c>
      <c r="AN293" t="s">
        <v>5627</v>
      </c>
      <c r="AO293" t="s">
        <v>74</v>
      </c>
      <c r="AP293" t="s">
        <v>74</v>
      </c>
      <c r="AQ293" t="s">
        <v>74</v>
      </c>
      <c r="AR293" t="s">
        <v>74</v>
      </c>
      <c r="AS293" t="s">
        <v>74</v>
      </c>
      <c r="AT293" t="s">
        <v>74</v>
      </c>
      <c r="AU293">
        <v>2012</v>
      </c>
      <c r="AV293" t="s">
        <v>74</v>
      </c>
      <c r="AW293" t="s">
        <v>74</v>
      </c>
      <c r="AX293" t="s">
        <v>74</v>
      </c>
      <c r="AY293" t="s">
        <v>74</v>
      </c>
      <c r="AZ293" t="s">
        <v>74</v>
      </c>
      <c r="BA293" t="s">
        <v>74</v>
      </c>
      <c r="BB293">
        <v>452</v>
      </c>
      <c r="BC293">
        <v>463</v>
      </c>
      <c r="BD293" t="s">
        <v>74</v>
      </c>
      <c r="BE293" t="s">
        <v>74</v>
      </c>
      <c r="BF293" t="s">
        <v>74</v>
      </c>
      <c r="BG293" t="s">
        <v>74</v>
      </c>
      <c r="BH293" t="s">
        <v>74</v>
      </c>
      <c r="BI293">
        <v>12</v>
      </c>
      <c r="BJ293" t="s">
        <v>5628</v>
      </c>
      <c r="BK293" t="s">
        <v>419</v>
      </c>
      <c r="BL293" t="s">
        <v>5629</v>
      </c>
      <c r="BM293" t="s">
        <v>5630</v>
      </c>
      <c r="BN293" t="s">
        <v>74</v>
      </c>
      <c r="BO293" t="s">
        <v>74</v>
      </c>
      <c r="BP293" t="s">
        <v>74</v>
      </c>
      <c r="BQ293" t="s">
        <v>74</v>
      </c>
      <c r="BR293" t="s">
        <v>102</v>
      </c>
      <c r="BS293" t="s">
        <v>5631</v>
      </c>
      <c r="BT293" t="str">
        <f>HYPERLINK("https%3A%2F%2Fwww.webofscience.com%2Fwos%2Fwoscc%2Ffull-record%2FWOS:000329390200057","View Full Record in Web of Science")</f>
        <v>View Full Record in Web of Science</v>
      </c>
    </row>
    <row r="294" spans="1:72" x14ac:dyDescent="0.15">
      <c r="A294" t="s">
        <v>72</v>
      </c>
      <c r="B294" t="s">
        <v>5632</v>
      </c>
      <c r="C294" t="s">
        <v>74</v>
      </c>
      <c r="D294" t="s">
        <v>74</v>
      </c>
      <c r="E294" t="s">
        <v>74</v>
      </c>
      <c r="F294" t="s">
        <v>5633</v>
      </c>
      <c r="G294" t="s">
        <v>74</v>
      </c>
      <c r="H294" t="s">
        <v>74</v>
      </c>
      <c r="I294" t="s">
        <v>5634</v>
      </c>
      <c r="J294" t="s">
        <v>5635</v>
      </c>
      <c r="K294" t="s">
        <v>74</v>
      </c>
      <c r="L294" t="s">
        <v>74</v>
      </c>
      <c r="M294" t="s">
        <v>4934</v>
      </c>
      <c r="N294" t="s">
        <v>79</v>
      </c>
      <c r="O294" t="s">
        <v>74</v>
      </c>
      <c r="P294" t="s">
        <v>74</v>
      </c>
      <c r="Q294" t="s">
        <v>74</v>
      </c>
      <c r="R294" t="s">
        <v>74</v>
      </c>
      <c r="S294" t="s">
        <v>74</v>
      </c>
      <c r="T294" t="s">
        <v>74</v>
      </c>
      <c r="U294" t="s">
        <v>74</v>
      </c>
      <c r="V294" t="s">
        <v>5636</v>
      </c>
      <c r="W294" t="s">
        <v>5637</v>
      </c>
      <c r="X294" t="s">
        <v>5638</v>
      </c>
      <c r="Y294" t="s">
        <v>5639</v>
      </c>
      <c r="Z294" t="s">
        <v>74</v>
      </c>
      <c r="AA294" t="s">
        <v>74</v>
      </c>
      <c r="AB294" t="s">
        <v>74</v>
      </c>
      <c r="AC294" t="s">
        <v>74</v>
      </c>
      <c r="AD294" t="s">
        <v>74</v>
      </c>
      <c r="AE294" t="s">
        <v>74</v>
      </c>
      <c r="AF294" t="s">
        <v>74</v>
      </c>
      <c r="AG294">
        <v>23</v>
      </c>
      <c r="AH294">
        <v>0</v>
      </c>
      <c r="AI294">
        <v>0</v>
      </c>
      <c r="AJ294">
        <v>0</v>
      </c>
      <c r="AK294">
        <v>0</v>
      </c>
      <c r="AL294" t="s">
        <v>5640</v>
      </c>
      <c r="AM294" t="s">
        <v>5641</v>
      </c>
      <c r="AN294" t="s">
        <v>5642</v>
      </c>
      <c r="AO294" t="s">
        <v>5643</v>
      </c>
      <c r="AP294" t="s">
        <v>5644</v>
      </c>
      <c r="AQ294" t="s">
        <v>74</v>
      </c>
      <c r="AR294" t="s">
        <v>5645</v>
      </c>
      <c r="AS294" t="s">
        <v>5646</v>
      </c>
      <c r="AT294" t="s">
        <v>74</v>
      </c>
      <c r="AU294">
        <v>2012</v>
      </c>
      <c r="AV294">
        <v>18</v>
      </c>
      <c r="AW294">
        <v>5</v>
      </c>
      <c r="AX294" t="s">
        <v>74</v>
      </c>
      <c r="AY294" t="s">
        <v>74</v>
      </c>
      <c r="AZ294" t="s">
        <v>74</v>
      </c>
      <c r="BA294" t="s">
        <v>74</v>
      </c>
      <c r="BB294">
        <v>48</v>
      </c>
      <c r="BC294">
        <v>58</v>
      </c>
      <c r="BD294" t="s">
        <v>74</v>
      </c>
      <c r="BE294" t="s">
        <v>5647</v>
      </c>
      <c r="BF294" t="str">
        <f>HYPERLINK("http://dx.doi.org/10.15407/knit2012.05.048","http://dx.doi.org/10.15407/knit2012.05.048")</f>
        <v>http://dx.doi.org/10.15407/knit2012.05.048</v>
      </c>
      <c r="BG294" t="s">
        <v>74</v>
      </c>
      <c r="BH294" t="s">
        <v>74</v>
      </c>
      <c r="BI294">
        <v>11</v>
      </c>
      <c r="BJ294" t="s">
        <v>5208</v>
      </c>
      <c r="BK294" t="s">
        <v>1158</v>
      </c>
      <c r="BL294" t="s">
        <v>5208</v>
      </c>
      <c r="BM294" t="s">
        <v>5648</v>
      </c>
      <c r="BN294" t="s">
        <v>74</v>
      </c>
      <c r="BO294" t="s">
        <v>365</v>
      </c>
      <c r="BP294" t="s">
        <v>74</v>
      </c>
      <c r="BQ294" t="s">
        <v>74</v>
      </c>
      <c r="BR294" t="s">
        <v>102</v>
      </c>
      <c r="BS294" t="s">
        <v>5649</v>
      </c>
      <c r="BT294" t="str">
        <f>HYPERLINK("https%3A%2F%2Fwww.webofscience.com%2Fwos%2Fwoscc%2Ffull-record%2FWOS:000440129000006","View Full Record in Web of Science")</f>
        <v>View Full Record in Web of Science</v>
      </c>
    </row>
    <row r="295" spans="1:72" x14ac:dyDescent="0.15">
      <c r="A295" t="s">
        <v>517</v>
      </c>
      <c r="B295" t="s">
        <v>5650</v>
      </c>
      <c r="C295" t="s">
        <v>5651</v>
      </c>
      <c r="D295" t="s">
        <v>74</v>
      </c>
      <c r="E295" t="s">
        <v>74</v>
      </c>
      <c r="F295" t="s">
        <v>5652</v>
      </c>
      <c r="G295" t="s">
        <v>5651</v>
      </c>
      <c r="H295" t="s">
        <v>74</v>
      </c>
      <c r="I295" t="s">
        <v>5653</v>
      </c>
      <c r="J295" t="s">
        <v>5654</v>
      </c>
      <c r="K295" t="s">
        <v>5655</v>
      </c>
      <c r="L295" t="s">
        <v>74</v>
      </c>
      <c r="M295" t="s">
        <v>78</v>
      </c>
      <c r="N295" t="s">
        <v>2845</v>
      </c>
      <c r="O295" t="s">
        <v>74</v>
      </c>
      <c r="P295" t="s">
        <v>74</v>
      </c>
      <c r="Q295" t="s">
        <v>74</v>
      </c>
      <c r="R295" t="s">
        <v>74</v>
      </c>
      <c r="S295" t="s">
        <v>74</v>
      </c>
      <c r="T295" t="s">
        <v>74</v>
      </c>
      <c r="U295" t="s">
        <v>74</v>
      </c>
      <c r="V295" t="s">
        <v>74</v>
      </c>
      <c r="W295" t="s">
        <v>5656</v>
      </c>
      <c r="X295" t="s">
        <v>3018</v>
      </c>
      <c r="Y295" t="s">
        <v>5657</v>
      </c>
      <c r="Z295" t="s">
        <v>74</v>
      </c>
      <c r="AA295" t="s">
        <v>74</v>
      </c>
      <c r="AB295" t="s">
        <v>74</v>
      </c>
      <c r="AC295" t="s">
        <v>74</v>
      </c>
      <c r="AD295" t="s">
        <v>74</v>
      </c>
      <c r="AE295" t="s">
        <v>74</v>
      </c>
      <c r="AF295" t="s">
        <v>74</v>
      </c>
      <c r="AG295">
        <v>1</v>
      </c>
      <c r="AH295">
        <v>0</v>
      </c>
      <c r="AI295">
        <v>0</v>
      </c>
      <c r="AJ295">
        <v>0</v>
      </c>
      <c r="AK295">
        <v>0</v>
      </c>
      <c r="AL295" t="s">
        <v>5658</v>
      </c>
      <c r="AM295" t="s">
        <v>5659</v>
      </c>
      <c r="AN295" t="s">
        <v>5660</v>
      </c>
      <c r="AO295" t="s">
        <v>74</v>
      </c>
      <c r="AP295" t="s">
        <v>74</v>
      </c>
      <c r="AQ295" t="s">
        <v>5661</v>
      </c>
      <c r="AR295" t="s">
        <v>5662</v>
      </c>
      <c r="AS295" t="s">
        <v>74</v>
      </c>
      <c r="AT295" t="s">
        <v>74</v>
      </c>
      <c r="AU295">
        <v>2012</v>
      </c>
      <c r="AV295" t="s">
        <v>74</v>
      </c>
      <c r="AW295" t="s">
        <v>74</v>
      </c>
      <c r="AX295" t="s">
        <v>74</v>
      </c>
      <c r="AY295" t="s">
        <v>74</v>
      </c>
      <c r="AZ295" t="s">
        <v>74</v>
      </c>
      <c r="BA295" t="s">
        <v>74</v>
      </c>
      <c r="BB295">
        <v>1</v>
      </c>
      <c r="BC295">
        <v>2</v>
      </c>
      <c r="BD295" t="s">
        <v>74</v>
      </c>
      <c r="BE295" t="s">
        <v>74</v>
      </c>
      <c r="BF295" t="s">
        <v>74</v>
      </c>
      <c r="BG295" t="s">
        <v>5663</v>
      </c>
      <c r="BH295" t="s">
        <v>74</v>
      </c>
      <c r="BI295">
        <v>2</v>
      </c>
      <c r="BJ295" t="s">
        <v>1474</v>
      </c>
      <c r="BK295" t="s">
        <v>534</v>
      </c>
      <c r="BL295" t="s">
        <v>1474</v>
      </c>
      <c r="BM295" t="s">
        <v>5664</v>
      </c>
      <c r="BN295" t="s">
        <v>74</v>
      </c>
      <c r="BO295" t="s">
        <v>1796</v>
      </c>
      <c r="BP295" t="s">
        <v>74</v>
      </c>
      <c r="BQ295" t="s">
        <v>74</v>
      </c>
      <c r="BR295" t="s">
        <v>102</v>
      </c>
      <c r="BS295" t="s">
        <v>5665</v>
      </c>
      <c r="BT295" t="str">
        <f>HYPERLINK("https%3A%2F%2Fwww.webofscience.com%2Fwos%2Fwoscc%2Ffull-record%2FWOS:000303215100001","View Full Record in Web of Science")</f>
        <v>View Full Record in Web of Science</v>
      </c>
    </row>
    <row r="296" spans="1:72" x14ac:dyDescent="0.15">
      <c r="A296" t="s">
        <v>517</v>
      </c>
      <c r="B296" t="s">
        <v>5650</v>
      </c>
      <c r="C296" t="s">
        <v>5651</v>
      </c>
      <c r="D296" t="s">
        <v>74</v>
      </c>
      <c r="E296" t="s">
        <v>74</v>
      </c>
      <c r="F296" t="s">
        <v>5652</v>
      </c>
      <c r="G296" t="s">
        <v>5651</v>
      </c>
      <c r="H296" t="s">
        <v>74</v>
      </c>
      <c r="I296" t="s">
        <v>5666</v>
      </c>
      <c r="J296" t="s">
        <v>5654</v>
      </c>
      <c r="K296" t="s">
        <v>5655</v>
      </c>
      <c r="L296" t="s">
        <v>74</v>
      </c>
      <c r="M296" t="s">
        <v>78</v>
      </c>
      <c r="N296" t="s">
        <v>2845</v>
      </c>
      <c r="O296" t="s">
        <v>74</v>
      </c>
      <c r="P296" t="s">
        <v>74</v>
      </c>
      <c r="Q296" t="s">
        <v>74</v>
      </c>
      <c r="R296" t="s">
        <v>74</v>
      </c>
      <c r="S296" t="s">
        <v>74</v>
      </c>
      <c r="T296" t="s">
        <v>74</v>
      </c>
      <c r="U296" t="s">
        <v>74</v>
      </c>
      <c r="V296" t="s">
        <v>74</v>
      </c>
      <c r="W296" t="s">
        <v>5656</v>
      </c>
      <c r="X296" t="s">
        <v>3018</v>
      </c>
      <c r="Y296" t="s">
        <v>5657</v>
      </c>
      <c r="Z296" t="s">
        <v>74</v>
      </c>
      <c r="AA296" t="s">
        <v>74</v>
      </c>
      <c r="AB296" t="s">
        <v>74</v>
      </c>
      <c r="AC296" t="s">
        <v>74</v>
      </c>
      <c r="AD296" t="s">
        <v>74</v>
      </c>
      <c r="AE296" t="s">
        <v>74</v>
      </c>
      <c r="AF296" t="s">
        <v>74</v>
      </c>
      <c r="AG296">
        <v>6</v>
      </c>
      <c r="AH296">
        <v>0</v>
      </c>
      <c r="AI296">
        <v>0</v>
      </c>
      <c r="AJ296">
        <v>0</v>
      </c>
      <c r="AK296">
        <v>0</v>
      </c>
      <c r="AL296" t="s">
        <v>5658</v>
      </c>
      <c r="AM296" t="s">
        <v>5659</v>
      </c>
      <c r="AN296" t="s">
        <v>5660</v>
      </c>
      <c r="AO296" t="s">
        <v>74</v>
      </c>
      <c r="AP296" t="s">
        <v>74</v>
      </c>
      <c r="AQ296" t="s">
        <v>5661</v>
      </c>
      <c r="AR296" t="s">
        <v>5662</v>
      </c>
      <c r="AS296" t="s">
        <v>74</v>
      </c>
      <c r="AT296" t="s">
        <v>74</v>
      </c>
      <c r="AU296">
        <v>2012</v>
      </c>
      <c r="AV296" t="s">
        <v>74</v>
      </c>
      <c r="AW296" t="s">
        <v>74</v>
      </c>
      <c r="AX296" t="s">
        <v>74</v>
      </c>
      <c r="AY296" t="s">
        <v>74</v>
      </c>
      <c r="AZ296" t="s">
        <v>74</v>
      </c>
      <c r="BA296" t="s">
        <v>74</v>
      </c>
      <c r="BB296">
        <v>279</v>
      </c>
      <c r="BC296">
        <v>281</v>
      </c>
      <c r="BD296" t="s">
        <v>74</v>
      </c>
      <c r="BE296" t="s">
        <v>74</v>
      </c>
      <c r="BF296" t="s">
        <v>74</v>
      </c>
      <c r="BG296" t="s">
        <v>5663</v>
      </c>
      <c r="BH296" t="s">
        <v>74</v>
      </c>
      <c r="BI296">
        <v>3</v>
      </c>
      <c r="BJ296" t="s">
        <v>1474</v>
      </c>
      <c r="BK296" t="s">
        <v>534</v>
      </c>
      <c r="BL296" t="s">
        <v>1474</v>
      </c>
      <c r="BM296" t="s">
        <v>5664</v>
      </c>
      <c r="BN296" t="s">
        <v>74</v>
      </c>
      <c r="BO296" t="s">
        <v>1796</v>
      </c>
      <c r="BP296" t="s">
        <v>74</v>
      </c>
      <c r="BQ296" t="s">
        <v>74</v>
      </c>
      <c r="BR296" t="s">
        <v>102</v>
      </c>
      <c r="BS296" t="s">
        <v>5667</v>
      </c>
      <c r="BT296" t="str">
        <f>HYPERLINK("https%3A%2F%2Fwww.webofscience.com%2Fwos%2Fwoscc%2Ffull-record%2FWOS:000303215100014","View Full Record in Web of Science")</f>
        <v>View Full Record in Web of Science</v>
      </c>
    </row>
    <row r="297" spans="1:72" x14ac:dyDescent="0.15">
      <c r="A297" t="s">
        <v>72</v>
      </c>
      <c r="B297" t="s">
        <v>5668</v>
      </c>
      <c r="C297" t="s">
        <v>74</v>
      </c>
      <c r="D297" t="s">
        <v>74</v>
      </c>
      <c r="E297" t="s">
        <v>74</v>
      </c>
      <c r="F297" t="s">
        <v>5669</v>
      </c>
      <c r="G297" t="s">
        <v>74</v>
      </c>
      <c r="H297" t="s">
        <v>74</v>
      </c>
      <c r="I297" t="s">
        <v>5670</v>
      </c>
      <c r="J297" t="s">
        <v>5671</v>
      </c>
      <c r="K297" t="s">
        <v>74</v>
      </c>
      <c r="L297" t="s">
        <v>74</v>
      </c>
      <c r="M297" t="s">
        <v>78</v>
      </c>
      <c r="N297" t="s">
        <v>79</v>
      </c>
      <c r="O297" t="s">
        <v>74</v>
      </c>
      <c r="P297" t="s">
        <v>74</v>
      </c>
      <c r="Q297" t="s">
        <v>74</v>
      </c>
      <c r="R297" t="s">
        <v>74</v>
      </c>
      <c r="S297" t="s">
        <v>74</v>
      </c>
      <c r="T297" t="s">
        <v>5672</v>
      </c>
      <c r="U297" t="s">
        <v>5673</v>
      </c>
      <c r="V297" t="s">
        <v>5674</v>
      </c>
      <c r="W297" t="s">
        <v>5675</v>
      </c>
      <c r="X297" t="s">
        <v>5676</v>
      </c>
      <c r="Y297" t="s">
        <v>5677</v>
      </c>
      <c r="Z297" t="s">
        <v>74</v>
      </c>
      <c r="AA297" t="s">
        <v>5678</v>
      </c>
      <c r="AB297" t="s">
        <v>5679</v>
      </c>
      <c r="AC297" t="s">
        <v>5680</v>
      </c>
      <c r="AD297" t="s">
        <v>5681</v>
      </c>
      <c r="AE297" t="s">
        <v>5682</v>
      </c>
      <c r="AF297" t="s">
        <v>74</v>
      </c>
      <c r="AG297">
        <v>69</v>
      </c>
      <c r="AH297">
        <v>8</v>
      </c>
      <c r="AI297">
        <v>10</v>
      </c>
      <c r="AJ297">
        <v>3</v>
      </c>
      <c r="AK297">
        <v>16</v>
      </c>
      <c r="AL297" t="s">
        <v>5683</v>
      </c>
      <c r="AM297" t="s">
        <v>221</v>
      </c>
      <c r="AN297" t="s">
        <v>5684</v>
      </c>
      <c r="AO297" t="s">
        <v>5685</v>
      </c>
      <c r="AP297" t="s">
        <v>74</v>
      </c>
      <c r="AQ297" t="s">
        <v>74</v>
      </c>
      <c r="AR297" t="s">
        <v>5686</v>
      </c>
      <c r="AS297" t="s">
        <v>5687</v>
      </c>
      <c r="AT297" t="s">
        <v>74</v>
      </c>
      <c r="AU297">
        <v>2012</v>
      </c>
      <c r="AV297">
        <v>7</v>
      </c>
      <c r="AW297">
        <v>1</v>
      </c>
      <c r="AX297" t="s">
        <v>74</v>
      </c>
      <c r="AY297" t="s">
        <v>74</v>
      </c>
      <c r="AZ297" t="s">
        <v>74</v>
      </c>
      <c r="BA297" t="s">
        <v>74</v>
      </c>
      <c r="BB297">
        <v>107</v>
      </c>
      <c r="BC297">
        <v>119</v>
      </c>
      <c r="BD297" t="s">
        <v>74</v>
      </c>
      <c r="BE297" t="s">
        <v>5688</v>
      </c>
      <c r="BF297" t="str">
        <f>HYPERLINK("http://dx.doi.org/10.4056/sigs.3216895","http://dx.doi.org/10.4056/sigs.3216895")</f>
        <v>http://dx.doi.org/10.4056/sigs.3216895</v>
      </c>
      <c r="BG297" t="s">
        <v>74</v>
      </c>
      <c r="BH297" t="s">
        <v>74</v>
      </c>
      <c r="BI297">
        <v>13</v>
      </c>
      <c r="BJ297" t="s">
        <v>5689</v>
      </c>
      <c r="BK297" t="s">
        <v>100</v>
      </c>
      <c r="BL297" t="s">
        <v>5689</v>
      </c>
      <c r="BM297" t="s">
        <v>5690</v>
      </c>
      <c r="BN297">
        <v>23450183</v>
      </c>
      <c r="BO297" t="s">
        <v>1887</v>
      </c>
      <c r="BP297" t="s">
        <v>74</v>
      </c>
      <c r="BQ297" t="s">
        <v>74</v>
      </c>
      <c r="BR297" t="s">
        <v>102</v>
      </c>
      <c r="BS297" t="s">
        <v>5691</v>
      </c>
      <c r="BT297" t="str">
        <f>HYPERLINK("https%3A%2F%2Fwww.webofscience.com%2Fwos%2Fwoscc%2Ffull-record%2FWOS:000314405900010","View Full Record in Web of Science")</f>
        <v>View Full Record in Web of Science</v>
      </c>
    </row>
    <row r="298" spans="1:72" x14ac:dyDescent="0.15">
      <c r="A298" t="s">
        <v>72</v>
      </c>
      <c r="B298" t="s">
        <v>5692</v>
      </c>
      <c r="C298" t="s">
        <v>74</v>
      </c>
      <c r="D298" t="s">
        <v>74</v>
      </c>
      <c r="E298" t="s">
        <v>74</v>
      </c>
      <c r="F298" t="s">
        <v>5693</v>
      </c>
      <c r="G298" t="s">
        <v>74</v>
      </c>
      <c r="H298" t="s">
        <v>74</v>
      </c>
      <c r="I298" t="s">
        <v>5694</v>
      </c>
      <c r="J298" t="s">
        <v>5695</v>
      </c>
      <c r="K298" t="s">
        <v>74</v>
      </c>
      <c r="L298" t="s">
        <v>74</v>
      </c>
      <c r="M298" t="s">
        <v>78</v>
      </c>
      <c r="N298" t="s">
        <v>79</v>
      </c>
      <c r="O298" t="s">
        <v>74</v>
      </c>
      <c r="P298" t="s">
        <v>74</v>
      </c>
      <c r="Q298" t="s">
        <v>74</v>
      </c>
      <c r="R298" t="s">
        <v>74</v>
      </c>
      <c r="S298" t="s">
        <v>74</v>
      </c>
      <c r="T298" t="s">
        <v>5696</v>
      </c>
      <c r="U298" t="s">
        <v>5697</v>
      </c>
      <c r="V298" t="s">
        <v>5698</v>
      </c>
      <c r="W298" t="s">
        <v>5699</v>
      </c>
      <c r="X298" t="s">
        <v>5700</v>
      </c>
      <c r="Y298" t="s">
        <v>5701</v>
      </c>
      <c r="Z298" t="s">
        <v>5702</v>
      </c>
      <c r="AA298" t="s">
        <v>5703</v>
      </c>
      <c r="AB298" t="s">
        <v>5704</v>
      </c>
      <c r="AC298" t="s">
        <v>5705</v>
      </c>
      <c r="AD298" t="s">
        <v>5705</v>
      </c>
      <c r="AE298" t="s">
        <v>5706</v>
      </c>
      <c r="AF298" t="s">
        <v>74</v>
      </c>
      <c r="AG298">
        <v>80</v>
      </c>
      <c r="AH298">
        <v>20</v>
      </c>
      <c r="AI298">
        <v>20</v>
      </c>
      <c r="AJ298">
        <v>0</v>
      </c>
      <c r="AK298">
        <v>25</v>
      </c>
      <c r="AL298" t="s">
        <v>1150</v>
      </c>
      <c r="AM298" t="s">
        <v>1151</v>
      </c>
      <c r="AN298" t="s">
        <v>1152</v>
      </c>
      <c r="AO298" t="s">
        <v>5707</v>
      </c>
      <c r="AP298" t="s">
        <v>74</v>
      </c>
      <c r="AQ298" t="s">
        <v>74</v>
      </c>
      <c r="AR298" t="s">
        <v>5708</v>
      </c>
      <c r="AS298" t="s">
        <v>5709</v>
      </c>
      <c r="AT298" t="s">
        <v>74</v>
      </c>
      <c r="AU298">
        <v>2012</v>
      </c>
      <c r="AV298">
        <v>64</v>
      </c>
      <c r="AW298" t="s">
        <v>74</v>
      </c>
      <c r="AX298" t="s">
        <v>74</v>
      </c>
      <c r="AY298" t="s">
        <v>74</v>
      </c>
      <c r="AZ298" t="s">
        <v>74</v>
      </c>
      <c r="BA298" t="s">
        <v>74</v>
      </c>
      <c r="BB298" t="s">
        <v>74</v>
      </c>
      <c r="BC298" t="s">
        <v>74</v>
      </c>
      <c r="BD298">
        <v>17331</v>
      </c>
      <c r="BE298" t="s">
        <v>5710</v>
      </c>
      <c r="BF298" t="str">
        <f>HYPERLINK("http://dx.doi.org/10.3402/tellusb.v64i0.17331","http://dx.doi.org/10.3402/tellusb.v64i0.17331")</f>
        <v>http://dx.doi.org/10.3402/tellusb.v64i0.17331</v>
      </c>
      <c r="BG298" t="s">
        <v>74</v>
      </c>
      <c r="BH298" t="s">
        <v>74</v>
      </c>
      <c r="BI298">
        <v>21</v>
      </c>
      <c r="BJ298" t="s">
        <v>463</v>
      </c>
      <c r="BK298" t="s">
        <v>100</v>
      </c>
      <c r="BL298" t="s">
        <v>463</v>
      </c>
      <c r="BM298" t="s">
        <v>5711</v>
      </c>
      <c r="BN298" t="s">
        <v>74</v>
      </c>
      <c r="BO298" t="s">
        <v>2136</v>
      </c>
      <c r="BP298" t="s">
        <v>74</v>
      </c>
      <c r="BQ298" t="s">
        <v>74</v>
      </c>
      <c r="BR298" t="s">
        <v>102</v>
      </c>
      <c r="BS298" t="s">
        <v>5712</v>
      </c>
      <c r="BT298" t="str">
        <f>HYPERLINK("https%3A%2F%2Fwww.webofscience.com%2Fwos%2Fwoscc%2Ffull-record%2FWOS:000306700800001","View Full Record in Web of Science")</f>
        <v>View Full Record in Web of Science</v>
      </c>
    </row>
    <row r="299" spans="1:72" x14ac:dyDescent="0.15">
      <c r="A299" t="s">
        <v>72</v>
      </c>
      <c r="B299" t="s">
        <v>5713</v>
      </c>
      <c r="C299" t="s">
        <v>74</v>
      </c>
      <c r="D299" t="s">
        <v>74</v>
      </c>
      <c r="E299" t="s">
        <v>74</v>
      </c>
      <c r="F299" t="s">
        <v>5714</v>
      </c>
      <c r="G299" t="s">
        <v>74</v>
      </c>
      <c r="H299" t="s">
        <v>74</v>
      </c>
      <c r="I299" t="s">
        <v>5715</v>
      </c>
      <c r="J299" t="s">
        <v>5695</v>
      </c>
      <c r="K299" t="s">
        <v>74</v>
      </c>
      <c r="L299" t="s">
        <v>74</v>
      </c>
      <c r="M299" t="s">
        <v>78</v>
      </c>
      <c r="N299" t="s">
        <v>79</v>
      </c>
      <c r="O299" t="s">
        <v>74</v>
      </c>
      <c r="P299" t="s">
        <v>74</v>
      </c>
      <c r="Q299" t="s">
        <v>74</v>
      </c>
      <c r="R299" t="s">
        <v>74</v>
      </c>
      <c r="S299" t="s">
        <v>74</v>
      </c>
      <c r="T299" t="s">
        <v>5716</v>
      </c>
      <c r="U299" t="s">
        <v>5717</v>
      </c>
      <c r="V299" t="s">
        <v>5718</v>
      </c>
      <c r="W299" t="s">
        <v>5719</v>
      </c>
      <c r="X299" t="s">
        <v>5720</v>
      </c>
      <c r="Y299" t="s">
        <v>5721</v>
      </c>
      <c r="Z299" t="s">
        <v>5722</v>
      </c>
      <c r="AA299" t="s">
        <v>74</v>
      </c>
      <c r="AB299" t="s">
        <v>5723</v>
      </c>
      <c r="AC299" t="s">
        <v>5724</v>
      </c>
      <c r="AD299" t="s">
        <v>5725</v>
      </c>
      <c r="AE299" t="s">
        <v>5726</v>
      </c>
      <c r="AF299" t="s">
        <v>74</v>
      </c>
      <c r="AG299">
        <v>27</v>
      </c>
      <c r="AH299">
        <v>5</v>
      </c>
      <c r="AI299">
        <v>7</v>
      </c>
      <c r="AJ299">
        <v>0</v>
      </c>
      <c r="AK299">
        <v>9</v>
      </c>
      <c r="AL299" t="s">
        <v>5358</v>
      </c>
      <c r="AM299" t="s">
        <v>5359</v>
      </c>
      <c r="AN299" t="s">
        <v>5360</v>
      </c>
      <c r="AO299" t="s">
        <v>5727</v>
      </c>
      <c r="AP299" t="s">
        <v>74</v>
      </c>
      <c r="AQ299" t="s">
        <v>74</v>
      </c>
      <c r="AR299" t="s">
        <v>5708</v>
      </c>
      <c r="AS299" t="s">
        <v>5709</v>
      </c>
      <c r="AT299" t="s">
        <v>74</v>
      </c>
      <c r="AU299">
        <v>2012</v>
      </c>
      <c r="AV299">
        <v>64</v>
      </c>
      <c r="AW299" t="s">
        <v>74</v>
      </c>
      <c r="AX299" t="s">
        <v>74</v>
      </c>
      <c r="AY299" t="s">
        <v>74</v>
      </c>
      <c r="AZ299" t="s">
        <v>74</v>
      </c>
      <c r="BA299" t="s">
        <v>74</v>
      </c>
      <c r="BB299" t="s">
        <v>74</v>
      </c>
      <c r="BC299" t="s">
        <v>74</v>
      </c>
      <c r="BD299">
        <v>17347</v>
      </c>
      <c r="BE299" t="s">
        <v>5728</v>
      </c>
      <c r="BF299" t="str">
        <f>HYPERLINK("http://dx.doi.org/10.3402/tellusb.v64i0.17347","http://dx.doi.org/10.3402/tellusb.v64i0.17347")</f>
        <v>http://dx.doi.org/10.3402/tellusb.v64i0.17347</v>
      </c>
      <c r="BG299" t="s">
        <v>74</v>
      </c>
      <c r="BH299" t="s">
        <v>74</v>
      </c>
      <c r="BI299">
        <v>9</v>
      </c>
      <c r="BJ299" t="s">
        <v>463</v>
      </c>
      <c r="BK299" t="s">
        <v>100</v>
      </c>
      <c r="BL299" t="s">
        <v>463</v>
      </c>
      <c r="BM299" t="s">
        <v>5729</v>
      </c>
      <c r="BN299" t="s">
        <v>74</v>
      </c>
      <c r="BO299" t="s">
        <v>623</v>
      </c>
      <c r="BP299" t="s">
        <v>74</v>
      </c>
      <c r="BQ299" t="s">
        <v>74</v>
      </c>
      <c r="BR299" t="s">
        <v>102</v>
      </c>
      <c r="BS299" t="s">
        <v>5730</v>
      </c>
      <c r="BT299" t="str">
        <f>HYPERLINK("https%3A%2F%2Fwww.webofscience.com%2Fwos%2Fwoscc%2Ffull-record%2FWOS:000303683100001","View Full Record in Web of Science")</f>
        <v>View Full Record in Web of Science</v>
      </c>
    </row>
    <row r="300" spans="1:72" x14ac:dyDescent="0.15">
      <c r="A300" t="s">
        <v>517</v>
      </c>
      <c r="B300" t="s">
        <v>5731</v>
      </c>
      <c r="C300" t="s">
        <v>74</v>
      </c>
      <c r="D300" t="s">
        <v>5732</v>
      </c>
      <c r="E300" t="s">
        <v>74</v>
      </c>
      <c r="F300" t="s">
        <v>5733</v>
      </c>
      <c r="G300" t="s">
        <v>74</v>
      </c>
      <c r="H300" t="s">
        <v>74</v>
      </c>
      <c r="I300" t="s">
        <v>5734</v>
      </c>
      <c r="J300" t="s">
        <v>5735</v>
      </c>
      <c r="K300" t="s">
        <v>74</v>
      </c>
      <c r="L300" t="s">
        <v>74</v>
      </c>
      <c r="M300" t="s">
        <v>78</v>
      </c>
      <c r="N300" t="s">
        <v>523</v>
      </c>
      <c r="O300" t="s">
        <v>74</v>
      </c>
      <c r="P300" t="s">
        <v>74</v>
      </c>
      <c r="Q300" t="s">
        <v>74</v>
      </c>
      <c r="R300" t="s">
        <v>74</v>
      </c>
      <c r="S300" t="s">
        <v>74</v>
      </c>
      <c r="T300" t="s">
        <v>74</v>
      </c>
      <c r="U300" t="s">
        <v>74</v>
      </c>
      <c r="V300" t="s">
        <v>74</v>
      </c>
      <c r="W300" t="s">
        <v>5736</v>
      </c>
      <c r="X300" t="s">
        <v>5737</v>
      </c>
      <c r="Y300" t="s">
        <v>5738</v>
      </c>
      <c r="Z300" t="s">
        <v>74</v>
      </c>
      <c r="AA300" t="s">
        <v>74</v>
      </c>
      <c r="AB300" t="s">
        <v>74</v>
      </c>
      <c r="AC300" t="s">
        <v>74</v>
      </c>
      <c r="AD300" t="s">
        <v>74</v>
      </c>
      <c r="AE300" t="s">
        <v>74</v>
      </c>
      <c r="AF300" t="s">
        <v>74</v>
      </c>
      <c r="AG300">
        <v>0</v>
      </c>
      <c r="AH300">
        <v>2</v>
      </c>
      <c r="AI300">
        <v>2</v>
      </c>
      <c r="AJ300">
        <v>0</v>
      </c>
      <c r="AK300">
        <v>2</v>
      </c>
      <c r="AL300" t="s">
        <v>5739</v>
      </c>
      <c r="AM300" t="s">
        <v>5740</v>
      </c>
      <c r="AN300" t="s">
        <v>5741</v>
      </c>
      <c r="AO300" t="s">
        <v>74</v>
      </c>
      <c r="AP300" t="s">
        <v>74</v>
      </c>
      <c r="AQ300" t="s">
        <v>5742</v>
      </c>
      <c r="AR300" t="s">
        <v>74</v>
      </c>
      <c r="AS300" t="s">
        <v>74</v>
      </c>
      <c r="AT300" t="s">
        <v>74</v>
      </c>
      <c r="AU300">
        <v>2012</v>
      </c>
      <c r="AV300" t="s">
        <v>74</v>
      </c>
      <c r="AW300" t="s">
        <v>74</v>
      </c>
      <c r="AX300" t="s">
        <v>74</v>
      </c>
      <c r="AY300" t="s">
        <v>74</v>
      </c>
      <c r="AZ300" t="s">
        <v>74</v>
      </c>
      <c r="BA300" t="s">
        <v>74</v>
      </c>
      <c r="BB300">
        <v>87</v>
      </c>
      <c r="BC300">
        <v>112</v>
      </c>
      <c r="BD300" t="s">
        <v>74</v>
      </c>
      <c r="BE300" t="s">
        <v>74</v>
      </c>
      <c r="BF300" t="s">
        <v>74</v>
      </c>
      <c r="BG300" t="s">
        <v>74</v>
      </c>
      <c r="BH300" t="s">
        <v>74</v>
      </c>
      <c r="BI300">
        <v>26</v>
      </c>
      <c r="BJ300" t="s">
        <v>5743</v>
      </c>
      <c r="BK300" t="s">
        <v>3049</v>
      </c>
      <c r="BL300" t="s">
        <v>5612</v>
      </c>
      <c r="BM300" t="s">
        <v>5744</v>
      </c>
      <c r="BN300" t="s">
        <v>74</v>
      </c>
      <c r="BO300" t="s">
        <v>74</v>
      </c>
      <c r="BP300" t="s">
        <v>74</v>
      </c>
      <c r="BQ300" t="s">
        <v>74</v>
      </c>
      <c r="BR300" t="s">
        <v>102</v>
      </c>
      <c r="BS300" t="s">
        <v>5745</v>
      </c>
      <c r="BT300" t="str">
        <f>HYPERLINK("https%3A%2F%2Fwww.webofscience.com%2Fwos%2Fwoscc%2Ffull-record%2FWOS:000343913400005","View Full Record in Web of Science")</f>
        <v>View Full Record in Web of Science</v>
      </c>
    </row>
    <row r="301" spans="1:72" x14ac:dyDescent="0.15">
      <c r="A301" t="s">
        <v>517</v>
      </c>
      <c r="B301" t="s">
        <v>5746</v>
      </c>
      <c r="C301" t="s">
        <v>74</v>
      </c>
      <c r="D301" t="s">
        <v>5732</v>
      </c>
      <c r="E301" t="s">
        <v>74</v>
      </c>
      <c r="F301" t="s">
        <v>5747</v>
      </c>
      <c r="G301" t="s">
        <v>74</v>
      </c>
      <c r="H301" t="s">
        <v>74</v>
      </c>
      <c r="I301" t="s">
        <v>5748</v>
      </c>
      <c r="J301" t="s">
        <v>5735</v>
      </c>
      <c r="K301" t="s">
        <v>74</v>
      </c>
      <c r="L301" t="s">
        <v>74</v>
      </c>
      <c r="M301" t="s">
        <v>78</v>
      </c>
      <c r="N301" t="s">
        <v>523</v>
      </c>
      <c r="O301" t="s">
        <v>74</v>
      </c>
      <c r="P301" t="s">
        <v>74</v>
      </c>
      <c r="Q301" t="s">
        <v>74</v>
      </c>
      <c r="R301" t="s">
        <v>74</v>
      </c>
      <c r="S301" t="s">
        <v>74</v>
      </c>
      <c r="T301" t="s">
        <v>74</v>
      </c>
      <c r="U301" t="s">
        <v>74</v>
      </c>
      <c r="V301" t="s">
        <v>74</v>
      </c>
      <c r="W301" t="s">
        <v>5749</v>
      </c>
      <c r="X301" t="s">
        <v>5750</v>
      </c>
      <c r="Y301" t="s">
        <v>5751</v>
      </c>
      <c r="Z301" t="s">
        <v>74</v>
      </c>
      <c r="AA301" t="s">
        <v>5752</v>
      </c>
      <c r="AB301" t="s">
        <v>74</v>
      </c>
      <c r="AC301" t="s">
        <v>74</v>
      </c>
      <c r="AD301" t="s">
        <v>74</v>
      </c>
      <c r="AE301" t="s">
        <v>74</v>
      </c>
      <c r="AF301" t="s">
        <v>74</v>
      </c>
      <c r="AG301">
        <v>0</v>
      </c>
      <c r="AH301">
        <v>2</v>
      </c>
      <c r="AI301">
        <v>3</v>
      </c>
      <c r="AJ301">
        <v>0</v>
      </c>
      <c r="AK301">
        <v>2</v>
      </c>
      <c r="AL301" t="s">
        <v>5739</v>
      </c>
      <c r="AM301" t="s">
        <v>5740</v>
      </c>
      <c r="AN301" t="s">
        <v>5741</v>
      </c>
      <c r="AO301" t="s">
        <v>74</v>
      </c>
      <c r="AP301" t="s">
        <v>74</v>
      </c>
      <c r="AQ301" t="s">
        <v>5742</v>
      </c>
      <c r="AR301" t="s">
        <v>74</v>
      </c>
      <c r="AS301" t="s">
        <v>74</v>
      </c>
      <c r="AT301" t="s">
        <v>74</v>
      </c>
      <c r="AU301">
        <v>2012</v>
      </c>
      <c r="AV301" t="s">
        <v>74</v>
      </c>
      <c r="AW301" t="s">
        <v>74</v>
      </c>
      <c r="AX301" t="s">
        <v>74</v>
      </c>
      <c r="AY301" t="s">
        <v>74</v>
      </c>
      <c r="AZ301" t="s">
        <v>74</v>
      </c>
      <c r="BA301" t="s">
        <v>74</v>
      </c>
      <c r="BB301">
        <v>203</v>
      </c>
      <c r="BC301">
        <v>221</v>
      </c>
      <c r="BD301" t="s">
        <v>74</v>
      </c>
      <c r="BE301" t="s">
        <v>74</v>
      </c>
      <c r="BF301" t="s">
        <v>74</v>
      </c>
      <c r="BG301" t="s">
        <v>74</v>
      </c>
      <c r="BH301" t="s">
        <v>74</v>
      </c>
      <c r="BI301">
        <v>19</v>
      </c>
      <c r="BJ301" t="s">
        <v>5743</v>
      </c>
      <c r="BK301" t="s">
        <v>3049</v>
      </c>
      <c r="BL301" t="s">
        <v>5612</v>
      </c>
      <c r="BM301" t="s">
        <v>5744</v>
      </c>
      <c r="BN301" t="s">
        <v>74</v>
      </c>
      <c r="BO301" t="s">
        <v>74</v>
      </c>
      <c r="BP301" t="s">
        <v>74</v>
      </c>
      <c r="BQ301" t="s">
        <v>74</v>
      </c>
      <c r="BR301" t="s">
        <v>102</v>
      </c>
      <c r="BS301" t="s">
        <v>5753</v>
      </c>
      <c r="BT301" t="str">
        <f>HYPERLINK("https%3A%2F%2Fwww.webofscience.com%2Fwos%2Fwoscc%2Ffull-record%2FWOS:000343913400009","View Full Record in Web of Science")</f>
        <v>View Full Record in Web of Science</v>
      </c>
    </row>
    <row r="302" spans="1:72" x14ac:dyDescent="0.15">
      <c r="A302" t="s">
        <v>72</v>
      </c>
      <c r="B302" t="s">
        <v>5754</v>
      </c>
      <c r="C302" t="s">
        <v>74</v>
      </c>
      <c r="D302" t="s">
        <v>74</v>
      </c>
      <c r="E302" t="s">
        <v>74</v>
      </c>
      <c r="F302" t="s">
        <v>5755</v>
      </c>
      <c r="G302" t="s">
        <v>74</v>
      </c>
      <c r="H302" t="s">
        <v>74</v>
      </c>
      <c r="I302" t="s">
        <v>5756</v>
      </c>
      <c r="J302" t="s">
        <v>5757</v>
      </c>
      <c r="K302" t="s">
        <v>74</v>
      </c>
      <c r="L302" t="s">
        <v>74</v>
      </c>
      <c r="M302" t="s">
        <v>78</v>
      </c>
      <c r="N302" t="s">
        <v>79</v>
      </c>
      <c r="O302" t="s">
        <v>74</v>
      </c>
      <c r="P302" t="s">
        <v>74</v>
      </c>
      <c r="Q302" t="s">
        <v>74</v>
      </c>
      <c r="R302" t="s">
        <v>74</v>
      </c>
      <c r="S302" t="s">
        <v>74</v>
      </c>
      <c r="T302" t="s">
        <v>74</v>
      </c>
      <c r="U302" t="s">
        <v>5758</v>
      </c>
      <c r="V302" t="s">
        <v>5759</v>
      </c>
      <c r="W302" t="s">
        <v>5760</v>
      </c>
      <c r="X302" t="s">
        <v>5761</v>
      </c>
      <c r="Y302" t="s">
        <v>5762</v>
      </c>
      <c r="Z302" t="s">
        <v>5763</v>
      </c>
      <c r="AA302" t="s">
        <v>5764</v>
      </c>
      <c r="AB302" t="s">
        <v>5765</v>
      </c>
      <c r="AC302" t="s">
        <v>5766</v>
      </c>
      <c r="AD302" t="s">
        <v>5767</v>
      </c>
      <c r="AE302" t="s">
        <v>5768</v>
      </c>
      <c r="AF302" t="s">
        <v>74</v>
      </c>
      <c r="AG302">
        <v>72</v>
      </c>
      <c r="AH302">
        <v>57</v>
      </c>
      <c r="AI302">
        <v>63</v>
      </c>
      <c r="AJ302">
        <v>0</v>
      </c>
      <c r="AK302">
        <v>106</v>
      </c>
      <c r="AL302" t="s">
        <v>5769</v>
      </c>
      <c r="AM302" t="s">
        <v>221</v>
      </c>
      <c r="AN302" t="s">
        <v>5770</v>
      </c>
      <c r="AO302" t="s">
        <v>5771</v>
      </c>
      <c r="AP302" t="s">
        <v>5772</v>
      </c>
      <c r="AQ302" t="s">
        <v>74</v>
      </c>
      <c r="AR302" t="s">
        <v>5773</v>
      </c>
      <c r="AS302" t="s">
        <v>5774</v>
      </c>
      <c r="AT302" t="s">
        <v>97</v>
      </c>
      <c r="AU302">
        <v>2012</v>
      </c>
      <c r="AV302">
        <v>27</v>
      </c>
      <c r="AW302">
        <v>1</v>
      </c>
      <c r="AX302" t="s">
        <v>74</v>
      </c>
      <c r="AY302" t="s">
        <v>74</v>
      </c>
      <c r="AZ302" t="s">
        <v>74</v>
      </c>
      <c r="BA302" t="s">
        <v>74</v>
      </c>
      <c r="BB302">
        <v>12</v>
      </c>
      <c r="BC302">
        <v>18</v>
      </c>
      <c r="BD302" t="s">
        <v>74</v>
      </c>
      <c r="BE302" t="s">
        <v>5775</v>
      </c>
      <c r="BF302" t="str">
        <f>HYPERLINK("http://dx.doi.org/10.1016/j.tree.2011.10.011","http://dx.doi.org/10.1016/j.tree.2011.10.011")</f>
        <v>http://dx.doi.org/10.1016/j.tree.2011.10.011</v>
      </c>
      <c r="BG302" t="s">
        <v>74</v>
      </c>
      <c r="BH302" t="s">
        <v>74</v>
      </c>
      <c r="BI302">
        <v>7</v>
      </c>
      <c r="BJ302" t="s">
        <v>5776</v>
      </c>
      <c r="BK302" t="s">
        <v>100</v>
      </c>
      <c r="BL302" t="s">
        <v>5777</v>
      </c>
      <c r="BM302" t="s">
        <v>5778</v>
      </c>
      <c r="BN302">
        <v>22133790</v>
      </c>
      <c r="BO302" t="s">
        <v>5779</v>
      </c>
      <c r="BP302" t="s">
        <v>74</v>
      </c>
      <c r="BQ302" t="s">
        <v>74</v>
      </c>
      <c r="BR302" t="s">
        <v>102</v>
      </c>
      <c r="BS302" t="s">
        <v>5780</v>
      </c>
      <c r="BT302" t="str">
        <f>HYPERLINK("https%3A%2F%2Fwww.webofscience.com%2Fwos%2Fwoscc%2Ffull-record%2FWOS:000299712900007","View Full Record in Web of Science")</f>
        <v>View Full Record in Web of Science</v>
      </c>
    </row>
    <row r="303" spans="1:72" x14ac:dyDescent="0.15">
      <c r="A303" t="s">
        <v>517</v>
      </c>
      <c r="B303" t="s">
        <v>5781</v>
      </c>
      <c r="C303" t="s">
        <v>74</v>
      </c>
      <c r="D303" t="s">
        <v>5782</v>
      </c>
      <c r="E303" t="s">
        <v>74</v>
      </c>
      <c r="F303" t="s">
        <v>5783</v>
      </c>
      <c r="G303" t="s">
        <v>74</v>
      </c>
      <c r="H303" t="s">
        <v>74</v>
      </c>
      <c r="I303" t="s">
        <v>5784</v>
      </c>
      <c r="J303" t="s">
        <v>5785</v>
      </c>
      <c r="K303" t="s">
        <v>74</v>
      </c>
      <c r="L303" t="s">
        <v>74</v>
      </c>
      <c r="M303" t="s">
        <v>78</v>
      </c>
      <c r="N303" t="s">
        <v>2845</v>
      </c>
      <c r="O303" t="s">
        <v>74</v>
      </c>
      <c r="P303" t="s">
        <v>74</v>
      </c>
      <c r="Q303" t="s">
        <v>74</v>
      </c>
      <c r="R303" t="s">
        <v>74</v>
      </c>
      <c r="S303" t="s">
        <v>74</v>
      </c>
      <c r="T303" t="s">
        <v>74</v>
      </c>
      <c r="U303" t="s">
        <v>74</v>
      </c>
      <c r="V303" t="s">
        <v>74</v>
      </c>
      <c r="W303" t="s">
        <v>5786</v>
      </c>
      <c r="X303" t="s">
        <v>5787</v>
      </c>
      <c r="Y303" t="s">
        <v>5788</v>
      </c>
      <c r="Z303" t="s">
        <v>74</v>
      </c>
      <c r="AA303" t="s">
        <v>74</v>
      </c>
      <c r="AB303" t="s">
        <v>74</v>
      </c>
      <c r="AC303" t="s">
        <v>74</v>
      </c>
      <c r="AD303" t="s">
        <v>74</v>
      </c>
      <c r="AE303" t="s">
        <v>74</v>
      </c>
      <c r="AF303" t="s">
        <v>74</v>
      </c>
      <c r="AG303">
        <v>0</v>
      </c>
      <c r="AH303">
        <v>2</v>
      </c>
      <c r="AI303">
        <v>2</v>
      </c>
      <c r="AJ303">
        <v>0</v>
      </c>
      <c r="AK303">
        <v>0</v>
      </c>
      <c r="AL303" t="s">
        <v>3727</v>
      </c>
      <c r="AM303" t="s">
        <v>5789</v>
      </c>
      <c r="AN303" t="s">
        <v>5790</v>
      </c>
      <c r="AO303" t="s">
        <v>74</v>
      </c>
      <c r="AP303" t="s">
        <v>74</v>
      </c>
      <c r="AQ303" t="s">
        <v>5791</v>
      </c>
      <c r="AR303" t="s">
        <v>74</v>
      </c>
      <c r="AS303" t="s">
        <v>74</v>
      </c>
      <c r="AT303" t="s">
        <v>74</v>
      </c>
      <c r="AU303">
        <v>2012</v>
      </c>
      <c r="AV303" t="s">
        <v>74</v>
      </c>
      <c r="AW303" t="s">
        <v>74</v>
      </c>
      <c r="AX303" t="s">
        <v>74</v>
      </c>
      <c r="AY303" t="s">
        <v>74</v>
      </c>
      <c r="AZ303" t="s">
        <v>74</v>
      </c>
      <c r="BA303" t="s">
        <v>74</v>
      </c>
      <c r="BB303">
        <v>223</v>
      </c>
      <c r="BC303">
        <v>226</v>
      </c>
      <c r="BD303" t="s">
        <v>74</v>
      </c>
      <c r="BE303" t="s">
        <v>74</v>
      </c>
      <c r="BF303" t="s">
        <v>74</v>
      </c>
      <c r="BG303" t="s">
        <v>74</v>
      </c>
      <c r="BH303" t="s">
        <v>74</v>
      </c>
      <c r="BI303">
        <v>4</v>
      </c>
      <c r="BJ303" t="s">
        <v>5792</v>
      </c>
      <c r="BK303" t="s">
        <v>5793</v>
      </c>
      <c r="BL303" t="s">
        <v>5794</v>
      </c>
      <c r="BM303" t="s">
        <v>5795</v>
      </c>
      <c r="BN303" t="s">
        <v>74</v>
      </c>
      <c r="BO303" t="s">
        <v>74</v>
      </c>
      <c r="BP303" t="s">
        <v>74</v>
      </c>
      <c r="BQ303" t="s">
        <v>74</v>
      </c>
      <c r="BR303" t="s">
        <v>102</v>
      </c>
      <c r="BS303" t="s">
        <v>5796</v>
      </c>
      <c r="BT303" t="str">
        <f>HYPERLINK("https%3A%2F%2Fwww.webofscience.com%2Fwos%2Fwoscc%2Ffull-record%2FWOS:000321009300019","View Full Record in Web of Science")</f>
        <v>View Full Record in Web of Science</v>
      </c>
    </row>
    <row r="304" spans="1:72" x14ac:dyDescent="0.15">
      <c r="A304" t="s">
        <v>570</v>
      </c>
      <c r="B304" t="s">
        <v>5797</v>
      </c>
      <c r="C304" t="s">
        <v>74</v>
      </c>
      <c r="D304" t="s">
        <v>5798</v>
      </c>
      <c r="E304" t="s">
        <v>74</v>
      </c>
      <c r="F304" t="s">
        <v>5799</v>
      </c>
      <c r="G304" t="s">
        <v>74</v>
      </c>
      <c r="H304" t="s">
        <v>74</v>
      </c>
      <c r="I304" t="s">
        <v>5800</v>
      </c>
      <c r="J304" t="s">
        <v>5801</v>
      </c>
      <c r="K304" t="s">
        <v>5802</v>
      </c>
      <c r="L304" t="s">
        <v>74</v>
      </c>
      <c r="M304" t="s">
        <v>78</v>
      </c>
      <c r="N304" t="s">
        <v>523</v>
      </c>
      <c r="O304" t="s">
        <v>74</v>
      </c>
      <c r="P304" t="s">
        <v>74</v>
      </c>
      <c r="Q304" t="s">
        <v>74</v>
      </c>
      <c r="R304" t="s">
        <v>74</v>
      </c>
      <c r="S304" t="s">
        <v>74</v>
      </c>
      <c r="T304" t="s">
        <v>5803</v>
      </c>
      <c r="U304" t="s">
        <v>74</v>
      </c>
      <c r="V304" t="s">
        <v>74</v>
      </c>
      <c r="W304" t="s">
        <v>5804</v>
      </c>
      <c r="X304" t="s">
        <v>5805</v>
      </c>
      <c r="Y304" t="s">
        <v>5806</v>
      </c>
      <c r="Z304" t="s">
        <v>74</v>
      </c>
      <c r="AA304" t="s">
        <v>5807</v>
      </c>
      <c r="AB304" t="s">
        <v>5808</v>
      </c>
      <c r="AC304" t="s">
        <v>74</v>
      </c>
      <c r="AD304" t="s">
        <v>74</v>
      </c>
      <c r="AE304" t="s">
        <v>74</v>
      </c>
      <c r="AF304" t="s">
        <v>74</v>
      </c>
      <c r="AG304">
        <v>0</v>
      </c>
      <c r="AH304">
        <v>4</v>
      </c>
      <c r="AI304">
        <v>4</v>
      </c>
      <c r="AJ304">
        <v>0</v>
      </c>
      <c r="AK304">
        <v>2</v>
      </c>
      <c r="AL304" t="s">
        <v>5809</v>
      </c>
      <c r="AM304" t="s">
        <v>5810</v>
      </c>
      <c r="AN304" t="s">
        <v>5811</v>
      </c>
      <c r="AO304" t="s">
        <v>5812</v>
      </c>
      <c r="AP304" t="s">
        <v>74</v>
      </c>
      <c r="AQ304" t="s">
        <v>5813</v>
      </c>
      <c r="AR304" t="s">
        <v>5814</v>
      </c>
      <c r="AS304" t="s">
        <v>74</v>
      </c>
      <c r="AT304" t="s">
        <v>74</v>
      </c>
      <c r="AU304">
        <v>2012</v>
      </c>
      <c r="AV304" t="s">
        <v>74</v>
      </c>
      <c r="AW304" t="s">
        <v>74</v>
      </c>
      <c r="AX304" t="s">
        <v>74</v>
      </c>
      <c r="AY304" t="s">
        <v>74</v>
      </c>
      <c r="AZ304" t="s">
        <v>74</v>
      </c>
      <c r="BA304" t="s">
        <v>74</v>
      </c>
      <c r="BB304">
        <v>1</v>
      </c>
      <c r="BC304">
        <v>4</v>
      </c>
      <c r="BD304" t="s">
        <v>74</v>
      </c>
      <c r="BE304" t="s">
        <v>74</v>
      </c>
      <c r="BF304" t="s">
        <v>74</v>
      </c>
      <c r="BG304" t="s">
        <v>74</v>
      </c>
      <c r="BH304" t="s">
        <v>74</v>
      </c>
      <c r="BI304">
        <v>4</v>
      </c>
      <c r="BJ304" t="s">
        <v>5815</v>
      </c>
      <c r="BK304" t="s">
        <v>534</v>
      </c>
      <c r="BL304" t="s">
        <v>5815</v>
      </c>
      <c r="BM304" t="s">
        <v>5816</v>
      </c>
      <c r="BN304" t="s">
        <v>74</v>
      </c>
      <c r="BO304" t="s">
        <v>74</v>
      </c>
      <c r="BP304" t="s">
        <v>74</v>
      </c>
      <c r="BQ304" t="s">
        <v>74</v>
      </c>
      <c r="BR304" t="s">
        <v>102</v>
      </c>
      <c r="BS304" t="s">
        <v>5817</v>
      </c>
      <c r="BT304" t="str">
        <f>HYPERLINK("https%3A%2F%2Fwww.webofscience.com%2Fwos%2Fwoscc%2Ffull-record%2FWOS:000386047800002","View Full Record in Web of Science")</f>
        <v>View Full Record in Web of Science</v>
      </c>
    </row>
    <row r="305" spans="1:72" x14ac:dyDescent="0.15">
      <c r="A305" t="s">
        <v>72</v>
      </c>
      <c r="B305" t="s">
        <v>5818</v>
      </c>
      <c r="C305" t="s">
        <v>74</v>
      </c>
      <c r="D305" t="s">
        <v>74</v>
      </c>
      <c r="E305" t="s">
        <v>74</v>
      </c>
      <c r="F305" t="s">
        <v>5819</v>
      </c>
      <c r="G305" t="s">
        <v>74</v>
      </c>
      <c r="H305" t="s">
        <v>74</v>
      </c>
      <c r="I305" t="s">
        <v>5820</v>
      </c>
      <c r="J305" t="s">
        <v>5821</v>
      </c>
      <c r="K305" t="s">
        <v>74</v>
      </c>
      <c r="L305" t="s">
        <v>74</v>
      </c>
      <c r="M305" t="s">
        <v>78</v>
      </c>
      <c r="N305" t="s">
        <v>79</v>
      </c>
      <c r="O305" t="s">
        <v>74</v>
      </c>
      <c r="P305" t="s">
        <v>74</v>
      </c>
      <c r="Q305" t="s">
        <v>74</v>
      </c>
      <c r="R305" t="s">
        <v>74</v>
      </c>
      <c r="S305" t="s">
        <v>74</v>
      </c>
      <c r="T305" t="s">
        <v>5822</v>
      </c>
      <c r="U305" t="s">
        <v>5823</v>
      </c>
      <c r="V305" t="s">
        <v>5824</v>
      </c>
      <c r="W305" t="s">
        <v>5825</v>
      </c>
      <c r="X305" t="s">
        <v>5826</v>
      </c>
      <c r="Y305" t="s">
        <v>5827</v>
      </c>
      <c r="Z305" t="s">
        <v>74</v>
      </c>
      <c r="AA305" t="s">
        <v>5828</v>
      </c>
      <c r="AB305" t="s">
        <v>5829</v>
      </c>
      <c r="AC305" t="s">
        <v>5830</v>
      </c>
      <c r="AD305" t="s">
        <v>5831</v>
      </c>
      <c r="AE305" t="s">
        <v>5832</v>
      </c>
      <c r="AF305" t="s">
        <v>74</v>
      </c>
      <c r="AG305">
        <v>23</v>
      </c>
      <c r="AH305">
        <v>1</v>
      </c>
      <c r="AI305">
        <v>1</v>
      </c>
      <c r="AJ305">
        <v>1</v>
      </c>
      <c r="AK305">
        <v>7</v>
      </c>
      <c r="AL305" t="s">
        <v>5833</v>
      </c>
      <c r="AM305" t="s">
        <v>5834</v>
      </c>
      <c r="AN305" t="s">
        <v>5835</v>
      </c>
      <c r="AO305" t="s">
        <v>5836</v>
      </c>
      <c r="AP305" t="s">
        <v>74</v>
      </c>
      <c r="AQ305" t="s">
        <v>74</v>
      </c>
      <c r="AR305" t="s">
        <v>5837</v>
      </c>
      <c r="AS305" t="s">
        <v>5838</v>
      </c>
      <c r="AT305" t="s">
        <v>97</v>
      </c>
      <c r="AU305">
        <v>2012</v>
      </c>
      <c r="AV305">
        <v>39</v>
      </c>
      <c r="AW305">
        <v>1</v>
      </c>
      <c r="AX305" t="s">
        <v>74</v>
      </c>
      <c r="AY305" t="s">
        <v>74</v>
      </c>
      <c r="AZ305" t="s">
        <v>74</v>
      </c>
      <c r="BA305" t="s">
        <v>74</v>
      </c>
      <c r="BB305">
        <v>56</v>
      </c>
      <c r="BC305">
        <v>68</v>
      </c>
      <c r="BD305" t="s">
        <v>74</v>
      </c>
      <c r="BE305" t="s">
        <v>5839</v>
      </c>
      <c r="BF305" t="str">
        <f>HYPERLINK("http://dx.doi.org/10.1134/S0097807812010101","http://dx.doi.org/10.1134/S0097807812010101")</f>
        <v>http://dx.doi.org/10.1134/S0097807812010101</v>
      </c>
      <c r="BG305" t="s">
        <v>74</v>
      </c>
      <c r="BH305" t="s">
        <v>74</v>
      </c>
      <c r="BI305">
        <v>13</v>
      </c>
      <c r="BJ305" t="s">
        <v>5840</v>
      </c>
      <c r="BK305" t="s">
        <v>100</v>
      </c>
      <c r="BL305" t="s">
        <v>5840</v>
      </c>
      <c r="BM305" t="s">
        <v>5841</v>
      </c>
      <c r="BN305" t="s">
        <v>74</v>
      </c>
      <c r="BO305" t="s">
        <v>74</v>
      </c>
      <c r="BP305" t="s">
        <v>74</v>
      </c>
      <c r="BQ305" t="s">
        <v>74</v>
      </c>
      <c r="BR305" t="s">
        <v>102</v>
      </c>
      <c r="BS305" t="s">
        <v>5842</v>
      </c>
      <c r="BT305" t="str">
        <f>HYPERLINK("https%3A%2F%2Fwww.webofscience.com%2Fwos%2Fwoscc%2Ffull-record%2FWOS:000301657500004","View Full Record in Web of Science")</f>
        <v>View Full Record in Web of Science</v>
      </c>
    </row>
    <row r="306" spans="1:72" x14ac:dyDescent="0.15">
      <c r="A306" t="s">
        <v>393</v>
      </c>
      <c r="B306" t="s">
        <v>5843</v>
      </c>
      <c r="C306" t="s">
        <v>74</v>
      </c>
      <c r="D306" t="s">
        <v>5844</v>
      </c>
      <c r="E306" t="s">
        <v>74</v>
      </c>
      <c r="F306" t="s">
        <v>5845</v>
      </c>
      <c r="G306" t="s">
        <v>74</v>
      </c>
      <c r="H306" t="s">
        <v>74</v>
      </c>
      <c r="I306" t="s">
        <v>5846</v>
      </c>
      <c r="J306" t="s">
        <v>5847</v>
      </c>
      <c r="K306" t="s">
        <v>5848</v>
      </c>
      <c r="L306" t="s">
        <v>74</v>
      </c>
      <c r="M306" t="s">
        <v>78</v>
      </c>
      <c r="N306" t="s">
        <v>400</v>
      </c>
      <c r="O306" t="s">
        <v>5849</v>
      </c>
      <c r="P306" t="s">
        <v>5850</v>
      </c>
      <c r="Q306" t="s">
        <v>5494</v>
      </c>
      <c r="R306" t="s">
        <v>74</v>
      </c>
      <c r="S306" t="s">
        <v>74</v>
      </c>
      <c r="T306" t="s">
        <v>5851</v>
      </c>
      <c r="U306" t="s">
        <v>5852</v>
      </c>
      <c r="V306" t="s">
        <v>5853</v>
      </c>
      <c r="W306" t="s">
        <v>5854</v>
      </c>
      <c r="X306" t="s">
        <v>787</v>
      </c>
      <c r="Y306" t="s">
        <v>5855</v>
      </c>
      <c r="Z306" t="s">
        <v>5856</v>
      </c>
      <c r="AA306" t="s">
        <v>5857</v>
      </c>
      <c r="AB306" t="s">
        <v>5858</v>
      </c>
      <c r="AC306" t="s">
        <v>74</v>
      </c>
      <c r="AD306" t="s">
        <v>74</v>
      </c>
      <c r="AE306" t="s">
        <v>74</v>
      </c>
      <c r="AF306" t="s">
        <v>74</v>
      </c>
      <c r="AG306">
        <v>21</v>
      </c>
      <c r="AH306">
        <v>34</v>
      </c>
      <c r="AI306">
        <v>35</v>
      </c>
      <c r="AJ306">
        <v>0</v>
      </c>
      <c r="AK306">
        <v>10</v>
      </c>
      <c r="AL306" t="s">
        <v>766</v>
      </c>
      <c r="AM306" t="s">
        <v>767</v>
      </c>
      <c r="AN306" t="s">
        <v>5859</v>
      </c>
      <c r="AO306" t="s">
        <v>5860</v>
      </c>
      <c r="AP306" t="s">
        <v>5861</v>
      </c>
      <c r="AQ306" t="s">
        <v>74</v>
      </c>
      <c r="AR306" t="s">
        <v>5862</v>
      </c>
      <c r="AS306" t="s">
        <v>74</v>
      </c>
      <c r="AT306" t="s">
        <v>74</v>
      </c>
      <c r="AU306">
        <v>2012</v>
      </c>
      <c r="AV306" t="s">
        <v>5863</v>
      </c>
      <c r="AW306" t="s">
        <v>74</v>
      </c>
      <c r="AX306" t="s">
        <v>74</v>
      </c>
      <c r="AY306" t="s">
        <v>74</v>
      </c>
      <c r="AZ306" t="s">
        <v>74</v>
      </c>
      <c r="BA306" t="s">
        <v>74</v>
      </c>
      <c r="BB306">
        <v>429</v>
      </c>
      <c r="BC306">
        <v>433</v>
      </c>
      <c r="BD306" t="s">
        <v>74</v>
      </c>
      <c r="BE306" t="s">
        <v>74</v>
      </c>
      <c r="BF306" t="s">
        <v>74</v>
      </c>
      <c r="BG306" t="s">
        <v>74</v>
      </c>
      <c r="BH306" t="s">
        <v>74</v>
      </c>
      <c r="BI306">
        <v>5</v>
      </c>
      <c r="BJ306" t="s">
        <v>5864</v>
      </c>
      <c r="BK306" t="s">
        <v>419</v>
      </c>
      <c r="BL306" t="s">
        <v>5865</v>
      </c>
      <c r="BM306" t="s">
        <v>5866</v>
      </c>
      <c r="BN306" t="s">
        <v>74</v>
      </c>
      <c r="BO306" t="s">
        <v>74</v>
      </c>
      <c r="BP306" t="s">
        <v>74</v>
      </c>
      <c r="BQ306" t="s">
        <v>74</v>
      </c>
      <c r="BR306" t="s">
        <v>102</v>
      </c>
      <c r="BS306" t="s">
        <v>5867</v>
      </c>
      <c r="BT306" t="str">
        <f>HYPERLINK("https%3A%2F%2Fwww.webofscience.com%2Fwos%2Fwoscc%2Ffull-record%2FWOS:000358208700076","View Full Record in Web of Science")</f>
        <v>View Full Record in Web of Science</v>
      </c>
    </row>
    <row r="307" spans="1:72" x14ac:dyDescent="0.15">
      <c r="A307" t="s">
        <v>393</v>
      </c>
      <c r="B307" t="s">
        <v>5868</v>
      </c>
      <c r="C307" t="s">
        <v>74</v>
      </c>
      <c r="D307" t="s">
        <v>5844</v>
      </c>
      <c r="E307" t="s">
        <v>74</v>
      </c>
      <c r="F307" t="s">
        <v>5869</v>
      </c>
      <c r="G307" t="s">
        <v>74</v>
      </c>
      <c r="H307" t="s">
        <v>74</v>
      </c>
      <c r="I307" t="s">
        <v>5870</v>
      </c>
      <c r="J307" t="s">
        <v>5847</v>
      </c>
      <c r="K307" t="s">
        <v>5871</v>
      </c>
      <c r="L307" t="s">
        <v>74</v>
      </c>
      <c r="M307" t="s">
        <v>78</v>
      </c>
      <c r="N307" t="s">
        <v>400</v>
      </c>
      <c r="O307" t="s">
        <v>5849</v>
      </c>
      <c r="P307" t="s">
        <v>5850</v>
      </c>
      <c r="Q307" t="s">
        <v>5494</v>
      </c>
      <c r="R307" t="s">
        <v>74</v>
      </c>
      <c r="S307" t="s">
        <v>74</v>
      </c>
      <c r="T307" t="s">
        <v>5872</v>
      </c>
      <c r="U307" t="s">
        <v>74</v>
      </c>
      <c r="V307" t="s">
        <v>5873</v>
      </c>
      <c r="W307" t="s">
        <v>5874</v>
      </c>
      <c r="X307" t="s">
        <v>74</v>
      </c>
      <c r="Y307" t="s">
        <v>5875</v>
      </c>
      <c r="Z307" t="s">
        <v>5876</v>
      </c>
      <c r="AA307" t="s">
        <v>74</v>
      </c>
      <c r="AB307" t="s">
        <v>74</v>
      </c>
      <c r="AC307" t="s">
        <v>74</v>
      </c>
      <c r="AD307" t="s">
        <v>74</v>
      </c>
      <c r="AE307" t="s">
        <v>74</v>
      </c>
      <c r="AF307" t="s">
        <v>74</v>
      </c>
      <c r="AG307">
        <v>9</v>
      </c>
      <c r="AH307">
        <v>7</v>
      </c>
      <c r="AI307">
        <v>7</v>
      </c>
      <c r="AJ307">
        <v>0</v>
      </c>
      <c r="AK307">
        <v>0</v>
      </c>
      <c r="AL307" t="s">
        <v>766</v>
      </c>
      <c r="AM307" t="s">
        <v>767</v>
      </c>
      <c r="AN307" t="s">
        <v>5859</v>
      </c>
      <c r="AO307" t="s">
        <v>5861</v>
      </c>
      <c r="AP307" t="s">
        <v>74</v>
      </c>
      <c r="AQ307" t="s">
        <v>74</v>
      </c>
      <c r="AR307" t="s">
        <v>5862</v>
      </c>
      <c r="AS307" t="s">
        <v>74</v>
      </c>
      <c r="AT307" t="s">
        <v>74</v>
      </c>
      <c r="AU307">
        <v>2012</v>
      </c>
      <c r="AV307" t="s">
        <v>5863</v>
      </c>
      <c r="AW307" t="s">
        <v>74</v>
      </c>
      <c r="AX307" t="s">
        <v>74</v>
      </c>
      <c r="AY307" t="s">
        <v>74</v>
      </c>
      <c r="AZ307" t="s">
        <v>74</v>
      </c>
      <c r="BA307" t="s">
        <v>74</v>
      </c>
      <c r="BB307">
        <v>549</v>
      </c>
      <c r="BC307">
        <v>554</v>
      </c>
      <c r="BD307" t="s">
        <v>74</v>
      </c>
      <c r="BE307" t="s">
        <v>74</v>
      </c>
      <c r="BF307" t="s">
        <v>74</v>
      </c>
      <c r="BG307" t="s">
        <v>74</v>
      </c>
      <c r="BH307" t="s">
        <v>74</v>
      </c>
      <c r="BI307">
        <v>6</v>
      </c>
      <c r="BJ307" t="s">
        <v>5864</v>
      </c>
      <c r="BK307" t="s">
        <v>419</v>
      </c>
      <c r="BL307" t="s">
        <v>5865</v>
      </c>
      <c r="BM307" t="s">
        <v>5866</v>
      </c>
      <c r="BN307" t="s">
        <v>74</v>
      </c>
      <c r="BO307" t="s">
        <v>74</v>
      </c>
      <c r="BP307" t="s">
        <v>74</v>
      </c>
      <c r="BQ307" t="s">
        <v>74</v>
      </c>
      <c r="BR307" t="s">
        <v>102</v>
      </c>
      <c r="BS307" t="s">
        <v>5877</v>
      </c>
      <c r="BT307" t="str">
        <f>HYPERLINK("https%3A%2F%2Fwww.webofscience.com%2Fwos%2Fwoscc%2Ffull-record%2FWOS:000358208700097","View Full Record in Web of Science")</f>
        <v>View Full Record in Web of Science</v>
      </c>
    </row>
    <row r="308" spans="1:72" x14ac:dyDescent="0.15">
      <c r="A308" t="s">
        <v>393</v>
      </c>
      <c r="B308" t="s">
        <v>5878</v>
      </c>
      <c r="C308" t="s">
        <v>5879</v>
      </c>
      <c r="D308" t="s">
        <v>74</v>
      </c>
      <c r="E308" t="s">
        <v>74</v>
      </c>
      <c r="F308" t="s">
        <v>5880</v>
      </c>
      <c r="G308" t="s">
        <v>5879</v>
      </c>
      <c r="H308" t="s">
        <v>74</v>
      </c>
      <c r="I308" t="s">
        <v>5881</v>
      </c>
      <c r="J308" t="s">
        <v>5882</v>
      </c>
      <c r="K308" t="s">
        <v>5871</v>
      </c>
      <c r="L308" t="s">
        <v>74</v>
      </c>
      <c r="M308" t="s">
        <v>78</v>
      </c>
      <c r="N308" t="s">
        <v>400</v>
      </c>
      <c r="O308" t="s">
        <v>5849</v>
      </c>
      <c r="P308" t="s">
        <v>5850</v>
      </c>
      <c r="Q308" t="s">
        <v>5494</v>
      </c>
      <c r="R308" t="s">
        <v>74</v>
      </c>
      <c r="S308" t="s">
        <v>74</v>
      </c>
      <c r="T308" t="s">
        <v>5883</v>
      </c>
      <c r="U308" t="s">
        <v>5884</v>
      </c>
      <c r="V308" t="s">
        <v>5885</v>
      </c>
      <c r="W308" t="s">
        <v>5886</v>
      </c>
      <c r="X308" t="s">
        <v>74</v>
      </c>
      <c r="Y308" t="s">
        <v>5887</v>
      </c>
      <c r="Z308" t="s">
        <v>5888</v>
      </c>
      <c r="AA308" t="s">
        <v>5889</v>
      </c>
      <c r="AB308" t="s">
        <v>5890</v>
      </c>
      <c r="AC308" t="s">
        <v>74</v>
      </c>
      <c r="AD308" t="s">
        <v>74</v>
      </c>
      <c r="AE308" t="s">
        <v>74</v>
      </c>
      <c r="AF308" t="s">
        <v>74</v>
      </c>
      <c r="AG308">
        <v>20</v>
      </c>
      <c r="AH308">
        <v>2</v>
      </c>
      <c r="AI308">
        <v>2</v>
      </c>
      <c r="AJ308">
        <v>0</v>
      </c>
      <c r="AK308">
        <v>1</v>
      </c>
      <c r="AL308" t="s">
        <v>766</v>
      </c>
      <c r="AM308" t="s">
        <v>767</v>
      </c>
      <c r="AN308" t="s">
        <v>5859</v>
      </c>
      <c r="AO308" t="s">
        <v>5861</v>
      </c>
      <c r="AP308" t="s">
        <v>74</v>
      </c>
      <c r="AQ308" t="s">
        <v>74</v>
      </c>
      <c r="AR308" t="s">
        <v>5862</v>
      </c>
      <c r="AS308" t="s">
        <v>74</v>
      </c>
      <c r="AT308" t="s">
        <v>74</v>
      </c>
      <c r="AU308">
        <v>2012</v>
      </c>
      <c r="AV308">
        <v>39</v>
      </c>
      <c r="AW308" t="s">
        <v>5891</v>
      </c>
      <c r="AX308" t="s">
        <v>74</v>
      </c>
      <c r="AY308" t="s">
        <v>74</v>
      </c>
      <c r="AZ308" t="s">
        <v>74</v>
      </c>
      <c r="BA308" t="s">
        <v>74</v>
      </c>
      <c r="BB308">
        <v>17</v>
      </c>
      <c r="BC308">
        <v>21</v>
      </c>
      <c r="BD308" t="s">
        <v>74</v>
      </c>
      <c r="BE308" t="s">
        <v>74</v>
      </c>
      <c r="BF308" t="s">
        <v>74</v>
      </c>
      <c r="BG308" t="s">
        <v>74</v>
      </c>
      <c r="BH308" t="s">
        <v>74</v>
      </c>
      <c r="BI308">
        <v>5</v>
      </c>
      <c r="BJ308" t="s">
        <v>5864</v>
      </c>
      <c r="BK308" t="s">
        <v>419</v>
      </c>
      <c r="BL308" t="s">
        <v>5865</v>
      </c>
      <c r="BM308" t="s">
        <v>5892</v>
      </c>
      <c r="BN308" t="s">
        <v>74</v>
      </c>
      <c r="BO308" t="s">
        <v>74</v>
      </c>
      <c r="BP308" t="s">
        <v>74</v>
      </c>
      <c r="BQ308" t="s">
        <v>74</v>
      </c>
      <c r="BR308" t="s">
        <v>102</v>
      </c>
      <c r="BS308" t="s">
        <v>5893</v>
      </c>
      <c r="BT308" t="str">
        <f>HYPERLINK("https%3A%2F%2Fwww.webofscience.com%2Fwos%2Fwoscc%2Ffull-record%2FWOS:000368523100004","View Full Record in Web of Science")</f>
        <v>View Full Record in Web of Science</v>
      </c>
    </row>
    <row r="309" spans="1:72" x14ac:dyDescent="0.15">
      <c r="A309" t="s">
        <v>393</v>
      </c>
      <c r="B309" t="s">
        <v>5894</v>
      </c>
      <c r="C309" t="s">
        <v>74</v>
      </c>
      <c r="D309" t="s">
        <v>5895</v>
      </c>
      <c r="E309" t="s">
        <v>74</v>
      </c>
      <c r="F309" t="s">
        <v>5896</v>
      </c>
      <c r="G309" t="s">
        <v>74</v>
      </c>
      <c r="H309" t="s">
        <v>74</v>
      </c>
      <c r="I309" t="s">
        <v>5897</v>
      </c>
      <c r="J309" t="s">
        <v>5898</v>
      </c>
      <c r="K309" t="s">
        <v>5871</v>
      </c>
      <c r="L309" t="s">
        <v>74</v>
      </c>
      <c r="M309" t="s">
        <v>78</v>
      </c>
      <c r="N309" t="s">
        <v>400</v>
      </c>
      <c r="O309" t="s">
        <v>5849</v>
      </c>
      <c r="P309" t="s">
        <v>5850</v>
      </c>
      <c r="Q309" t="s">
        <v>5494</v>
      </c>
      <c r="R309" t="s">
        <v>74</v>
      </c>
      <c r="S309" t="s">
        <v>74</v>
      </c>
      <c r="T309" t="s">
        <v>5899</v>
      </c>
      <c r="U309" t="s">
        <v>5900</v>
      </c>
      <c r="V309" t="s">
        <v>5901</v>
      </c>
      <c r="W309" t="s">
        <v>5902</v>
      </c>
      <c r="X309" t="s">
        <v>5903</v>
      </c>
      <c r="Y309" t="s">
        <v>5904</v>
      </c>
      <c r="Z309" t="s">
        <v>5905</v>
      </c>
      <c r="AA309" t="s">
        <v>5906</v>
      </c>
      <c r="AB309" t="s">
        <v>5907</v>
      </c>
      <c r="AC309" t="s">
        <v>74</v>
      </c>
      <c r="AD309" t="s">
        <v>74</v>
      </c>
      <c r="AE309" t="s">
        <v>74</v>
      </c>
      <c r="AF309" t="s">
        <v>74</v>
      </c>
      <c r="AG309">
        <v>29</v>
      </c>
      <c r="AH309">
        <v>0</v>
      </c>
      <c r="AI309">
        <v>0</v>
      </c>
      <c r="AJ309">
        <v>0</v>
      </c>
      <c r="AK309">
        <v>1</v>
      </c>
      <c r="AL309" t="s">
        <v>766</v>
      </c>
      <c r="AM309" t="s">
        <v>767</v>
      </c>
      <c r="AN309" t="s">
        <v>5859</v>
      </c>
      <c r="AO309" t="s">
        <v>5861</v>
      </c>
      <c r="AP309" t="s">
        <v>74</v>
      </c>
      <c r="AQ309" t="s">
        <v>74</v>
      </c>
      <c r="AR309" t="s">
        <v>5862</v>
      </c>
      <c r="AS309" t="s">
        <v>74</v>
      </c>
      <c r="AT309" t="s">
        <v>74</v>
      </c>
      <c r="AU309">
        <v>2012</v>
      </c>
      <c r="AV309" t="s">
        <v>5908</v>
      </c>
      <c r="AW309" t="s">
        <v>74</v>
      </c>
      <c r="AX309" t="s">
        <v>74</v>
      </c>
      <c r="AY309" t="s">
        <v>74</v>
      </c>
      <c r="AZ309" t="s">
        <v>74</v>
      </c>
      <c r="BA309" t="s">
        <v>74</v>
      </c>
      <c r="BB309">
        <v>573</v>
      </c>
      <c r="BC309">
        <v>577</v>
      </c>
      <c r="BD309" t="s">
        <v>74</v>
      </c>
      <c r="BE309" t="s">
        <v>74</v>
      </c>
      <c r="BF309" t="s">
        <v>74</v>
      </c>
      <c r="BG309" t="s">
        <v>74</v>
      </c>
      <c r="BH309" t="s">
        <v>74</v>
      </c>
      <c r="BI309">
        <v>5</v>
      </c>
      <c r="BJ309" t="s">
        <v>5864</v>
      </c>
      <c r="BK309" t="s">
        <v>419</v>
      </c>
      <c r="BL309" t="s">
        <v>5865</v>
      </c>
      <c r="BM309" t="s">
        <v>5909</v>
      </c>
      <c r="BN309" t="s">
        <v>74</v>
      </c>
      <c r="BO309" t="s">
        <v>74</v>
      </c>
      <c r="BP309" t="s">
        <v>74</v>
      </c>
      <c r="BQ309" t="s">
        <v>74</v>
      </c>
      <c r="BR309" t="s">
        <v>102</v>
      </c>
      <c r="BS309" t="s">
        <v>5910</v>
      </c>
      <c r="BT309" t="str">
        <f>HYPERLINK("https%3A%2F%2Fwww.webofscience.com%2Fwos%2Fwoscc%2Ffull-record%2FWOS:000358207600105","View Full Record in Web of Science")</f>
        <v>View Full Record in Web of Science</v>
      </c>
    </row>
    <row r="310" spans="1:72" x14ac:dyDescent="0.15">
      <c r="A310" t="s">
        <v>393</v>
      </c>
      <c r="B310" t="s">
        <v>5911</v>
      </c>
      <c r="C310" t="s">
        <v>74</v>
      </c>
      <c r="D310" t="s">
        <v>5895</v>
      </c>
      <c r="E310" t="s">
        <v>74</v>
      </c>
      <c r="F310" t="s">
        <v>5912</v>
      </c>
      <c r="G310" t="s">
        <v>74</v>
      </c>
      <c r="H310" t="s">
        <v>74</v>
      </c>
      <c r="I310" t="s">
        <v>5913</v>
      </c>
      <c r="J310" t="s">
        <v>5898</v>
      </c>
      <c r="K310" t="s">
        <v>5848</v>
      </c>
      <c r="L310" t="s">
        <v>74</v>
      </c>
      <c r="M310" t="s">
        <v>78</v>
      </c>
      <c r="N310" t="s">
        <v>400</v>
      </c>
      <c r="O310" t="s">
        <v>5849</v>
      </c>
      <c r="P310" t="s">
        <v>5850</v>
      </c>
      <c r="Q310" t="s">
        <v>5494</v>
      </c>
      <c r="R310" t="s">
        <v>74</v>
      </c>
      <c r="S310" t="s">
        <v>74</v>
      </c>
      <c r="T310" t="s">
        <v>5914</v>
      </c>
      <c r="U310" t="s">
        <v>74</v>
      </c>
      <c r="V310" t="s">
        <v>5915</v>
      </c>
      <c r="W310" t="s">
        <v>5916</v>
      </c>
      <c r="X310" t="s">
        <v>5917</v>
      </c>
      <c r="Y310" t="s">
        <v>5918</v>
      </c>
      <c r="Z310" t="s">
        <v>5919</v>
      </c>
      <c r="AA310" t="s">
        <v>5920</v>
      </c>
      <c r="AB310" t="s">
        <v>5921</v>
      </c>
      <c r="AC310" t="s">
        <v>74</v>
      </c>
      <c r="AD310" t="s">
        <v>74</v>
      </c>
      <c r="AE310" t="s">
        <v>74</v>
      </c>
      <c r="AF310" t="s">
        <v>74</v>
      </c>
      <c r="AG310">
        <v>16</v>
      </c>
      <c r="AH310">
        <v>10</v>
      </c>
      <c r="AI310">
        <v>10</v>
      </c>
      <c r="AJ310">
        <v>0</v>
      </c>
      <c r="AK310">
        <v>5</v>
      </c>
      <c r="AL310" t="s">
        <v>766</v>
      </c>
      <c r="AM310" t="s">
        <v>767</v>
      </c>
      <c r="AN310" t="s">
        <v>5859</v>
      </c>
      <c r="AO310" t="s">
        <v>5860</v>
      </c>
      <c r="AP310" t="s">
        <v>5861</v>
      </c>
      <c r="AQ310" t="s">
        <v>74</v>
      </c>
      <c r="AR310" t="s">
        <v>5862</v>
      </c>
      <c r="AS310" t="s">
        <v>74</v>
      </c>
      <c r="AT310" t="s">
        <v>74</v>
      </c>
      <c r="AU310">
        <v>2012</v>
      </c>
      <c r="AV310" t="s">
        <v>5908</v>
      </c>
      <c r="AW310" t="s">
        <v>74</v>
      </c>
      <c r="AX310" t="s">
        <v>74</v>
      </c>
      <c r="AY310" t="s">
        <v>74</v>
      </c>
      <c r="AZ310" t="s">
        <v>74</v>
      </c>
      <c r="BA310" t="s">
        <v>74</v>
      </c>
      <c r="BB310">
        <v>579</v>
      </c>
      <c r="BC310">
        <v>584</v>
      </c>
      <c r="BD310" t="s">
        <v>74</v>
      </c>
      <c r="BE310" t="s">
        <v>74</v>
      </c>
      <c r="BF310" t="s">
        <v>74</v>
      </c>
      <c r="BG310" t="s">
        <v>74</v>
      </c>
      <c r="BH310" t="s">
        <v>74</v>
      </c>
      <c r="BI310">
        <v>6</v>
      </c>
      <c r="BJ310" t="s">
        <v>5864</v>
      </c>
      <c r="BK310" t="s">
        <v>419</v>
      </c>
      <c r="BL310" t="s">
        <v>5865</v>
      </c>
      <c r="BM310" t="s">
        <v>5909</v>
      </c>
      <c r="BN310" t="s">
        <v>74</v>
      </c>
      <c r="BO310" t="s">
        <v>1237</v>
      </c>
      <c r="BP310" t="s">
        <v>74</v>
      </c>
      <c r="BQ310" t="s">
        <v>74</v>
      </c>
      <c r="BR310" t="s">
        <v>102</v>
      </c>
      <c r="BS310" t="s">
        <v>5922</v>
      </c>
      <c r="BT310" t="str">
        <f>HYPERLINK("https%3A%2F%2Fwww.webofscience.com%2Fwos%2Fwoscc%2Ffull-record%2FWOS:000358207600106","View Full Record in Web of Science")</f>
        <v>View Full Record in Web of Science</v>
      </c>
    </row>
    <row r="311" spans="1:72" x14ac:dyDescent="0.15">
      <c r="A311" t="s">
        <v>72</v>
      </c>
      <c r="B311" t="s">
        <v>5923</v>
      </c>
      <c r="C311" t="s">
        <v>74</v>
      </c>
      <c r="D311" t="s">
        <v>74</v>
      </c>
      <c r="E311" t="s">
        <v>74</v>
      </c>
      <c r="F311" t="s">
        <v>5924</v>
      </c>
      <c r="G311" t="s">
        <v>74</v>
      </c>
      <c r="H311" t="s">
        <v>74</v>
      </c>
      <c r="I311" t="s">
        <v>5925</v>
      </c>
      <c r="J311" t="s">
        <v>2904</v>
      </c>
      <c r="K311" t="s">
        <v>74</v>
      </c>
      <c r="L311" t="s">
        <v>74</v>
      </c>
      <c r="M311" t="s">
        <v>78</v>
      </c>
      <c r="N311" t="s">
        <v>79</v>
      </c>
      <c r="O311" t="s">
        <v>74</v>
      </c>
      <c r="P311" t="s">
        <v>74</v>
      </c>
      <c r="Q311" t="s">
        <v>74</v>
      </c>
      <c r="R311" t="s">
        <v>74</v>
      </c>
      <c r="S311" t="s">
        <v>74</v>
      </c>
      <c r="T311" t="s">
        <v>5926</v>
      </c>
      <c r="U311" t="s">
        <v>5927</v>
      </c>
      <c r="V311" t="s">
        <v>5928</v>
      </c>
      <c r="W311" t="s">
        <v>5929</v>
      </c>
      <c r="X311" t="s">
        <v>5930</v>
      </c>
      <c r="Y311" t="s">
        <v>5931</v>
      </c>
      <c r="Z311" t="s">
        <v>5932</v>
      </c>
      <c r="AA311" t="s">
        <v>5933</v>
      </c>
      <c r="AB311" t="s">
        <v>5934</v>
      </c>
      <c r="AC311" t="s">
        <v>5935</v>
      </c>
      <c r="AD311" t="s">
        <v>5936</v>
      </c>
      <c r="AE311" t="s">
        <v>5937</v>
      </c>
      <c r="AF311" t="s">
        <v>74</v>
      </c>
      <c r="AG311">
        <v>42</v>
      </c>
      <c r="AH311">
        <v>12</v>
      </c>
      <c r="AI311">
        <v>15</v>
      </c>
      <c r="AJ311">
        <v>0</v>
      </c>
      <c r="AK311">
        <v>19</v>
      </c>
      <c r="AL311" t="s">
        <v>2917</v>
      </c>
      <c r="AM311" t="s">
        <v>156</v>
      </c>
      <c r="AN311" t="s">
        <v>2918</v>
      </c>
      <c r="AO311" t="s">
        <v>2919</v>
      </c>
      <c r="AP311" t="s">
        <v>2920</v>
      </c>
      <c r="AQ311" t="s">
        <v>74</v>
      </c>
      <c r="AR311" t="s">
        <v>2921</v>
      </c>
      <c r="AS311" t="s">
        <v>2922</v>
      </c>
      <c r="AT311" t="s">
        <v>97</v>
      </c>
      <c r="AU311">
        <v>2012</v>
      </c>
      <c r="AV311">
        <v>160</v>
      </c>
      <c r="AW311" t="s">
        <v>74</v>
      </c>
      <c r="AX311" t="s">
        <v>74</v>
      </c>
      <c r="AY311" t="s">
        <v>74</v>
      </c>
      <c r="AZ311" t="s">
        <v>74</v>
      </c>
      <c r="BA311" t="s">
        <v>74</v>
      </c>
      <c r="BB311">
        <v>185</v>
      </c>
      <c r="BC311">
        <v>191</v>
      </c>
      <c r="BD311" t="s">
        <v>74</v>
      </c>
      <c r="BE311" t="s">
        <v>5938</v>
      </c>
      <c r="BF311" t="str">
        <f>HYPERLINK("http://dx.doi.org/10.1016/j.envpol.2011.09.022","http://dx.doi.org/10.1016/j.envpol.2011.09.022")</f>
        <v>http://dx.doi.org/10.1016/j.envpol.2011.09.022</v>
      </c>
      <c r="BG311" t="s">
        <v>74</v>
      </c>
      <c r="BH311" t="s">
        <v>74</v>
      </c>
      <c r="BI311">
        <v>7</v>
      </c>
      <c r="BJ311" t="s">
        <v>2924</v>
      </c>
      <c r="BK311" t="s">
        <v>100</v>
      </c>
      <c r="BL311" t="s">
        <v>2837</v>
      </c>
      <c r="BM311" t="s">
        <v>2925</v>
      </c>
      <c r="BN311">
        <v>22035943</v>
      </c>
      <c r="BO311" t="s">
        <v>74</v>
      </c>
      <c r="BP311" t="s">
        <v>74</v>
      </c>
      <c r="BQ311" t="s">
        <v>74</v>
      </c>
      <c r="BR311" t="s">
        <v>102</v>
      </c>
      <c r="BS311" t="s">
        <v>5939</v>
      </c>
      <c r="BT311" t="str">
        <f>HYPERLINK("https%3A%2F%2Fwww.webofscience.com%2Fwos%2Fwoscc%2Ffull-record%2FWOS:000297898000026","View Full Record in Web of Science")</f>
        <v>View Full Record in Web of Science</v>
      </c>
    </row>
    <row r="312" spans="1:72" x14ac:dyDescent="0.15">
      <c r="A312" t="s">
        <v>72</v>
      </c>
      <c r="B312" t="s">
        <v>1018</v>
      </c>
      <c r="C312" t="s">
        <v>74</v>
      </c>
      <c r="D312" t="s">
        <v>74</v>
      </c>
      <c r="E312" t="s">
        <v>74</v>
      </c>
      <c r="F312" t="s">
        <v>1019</v>
      </c>
      <c r="G312" t="s">
        <v>74</v>
      </c>
      <c r="H312" t="s">
        <v>74</v>
      </c>
      <c r="I312" t="s">
        <v>5940</v>
      </c>
      <c r="J312" t="s">
        <v>5283</v>
      </c>
      <c r="K312" t="s">
        <v>74</v>
      </c>
      <c r="L312" t="s">
        <v>74</v>
      </c>
      <c r="M312" t="s">
        <v>78</v>
      </c>
      <c r="N312" t="s">
        <v>1513</v>
      </c>
      <c r="O312" t="s">
        <v>74</v>
      </c>
      <c r="P312" t="s">
        <v>74</v>
      </c>
      <c r="Q312" t="s">
        <v>74</v>
      </c>
      <c r="R312" t="s">
        <v>74</v>
      </c>
      <c r="S312" t="s">
        <v>74</v>
      </c>
      <c r="T312" t="s">
        <v>5941</v>
      </c>
      <c r="U312" t="s">
        <v>5942</v>
      </c>
      <c r="V312" t="s">
        <v>5943</v>
      </c>
      <c r="W312" t="s">
        <v>1025</v>
      </c>
      <c r="X312" t="s">
        <v>74</v>
      </c>
      <c r="Y312" t="s">
        <v>5944</v>
      </c>
      <c r="Z312" t="s">
        <v>1027</v>
      </c>
      <c r="AA312" t="s">
        <v>74</v>
      </c>
      <c r="AB312" t="s">
        <v>74</v>
      </c>
      <c r="AC312" t="s">
        <v>5945</v>
      </c>
      <c r="AD312" t="s">
        <v>5946</v>
      </c>
      <c r="AE312" t="s">
        <v>5947</v>
      </c>
      <c r="AF312" t="s">
        <v>74</v>
      </c>
      <c r="AG312">
        <v>118</v>
      </c>
      <c r="AH312">
        <v>22</v>
      </c>
      <c r="AI312">
        <v>25</v>
      </c>
      <c r="AJ312">
        <v>2</v>
      </c>
      <c r="AK312">
        <v>99</v>
      </c>
      <c r="AL312" t="s">
        <v>250</v>
      </c>
      <c r="AM312" t="s">
        <v>413</v>
      </c>
      <c r="AN312" t="s">
        <v>514</v>
      </c>
      <c r="AO312" t="s">
        <v>5295</v>
      </c>
      <c r="AP312" t="s">
        <v>5296</v>
      </c>
      <c r="AQ312" t="s">
        <v>74</v>
      </c>
      <c r="AR312" t="s">
        <v>5297</v>
      </c>
      <c r="AS312" t="s">
        <v>5298</v>
      </c>
      <c r="AT312" t="s">
        <v>97</v>
      </c>
      <c r="AU312">
        <v>2012</v>
      </c>
      <c r="AV312">
        <v>35</v>
      </c>
      <c r="AW312">
        <v>1</v>
      </c>
      <c r="AX312" t="s">
        <v>74</v>
      </c>
      <c r="AY312" t="s">
        <v>74</v>
      </c>
      <c r="AZ312" t="s">
        <v>74</v>
      </c>
      <c r="BA312" t="s">
        <v>74</v>
      </c>
      <c r="BB312">
        <v>1</v>
      </c>
      <c r="BC312">
        <v>13</v>
      </c>
      <c r="BD312" t="s">
        <v>74</v>
      </c>
      <c r="BE312" t="s">
        <v>5948</v>
      </c>
      <c r="BF312" t="str">
        <f>HYPERLINK("http://dx.doi.org/10.1007/s00300-011-1042-x","http://dx.doi.org/10.1007/s00300-011-1042-x")</f>
        <v>http://dx.doi.org/10.1007/s00300-011-1042-x</v>
      </c>
      <c r="BG312" t="s">
        <v>74</v>
      </c>
      <c r="BH312" t="s">
        <v>74</v>
      </c>
      <c r="BI312">
        <v>13</v>
      </c>
      <c r="BJ312" t="s">
        <v>5300</v>
      </c>
      <c r="BK312" t="s">
        <v>100</v>
      </c>
      <c r="BL312" t="s">
        <v>3505</v>
      </c>
      <c r="BM312" t="s">
        <v>5301</v>
      </c>
      <c r="BN312" t="s">
        <v>74</v>
      </c>
      <c r="BO312" t="s">
        <v>74</v>
      </c>
      <c r="BP312" t="s">
        <v>74</v>
      </c>
      <c r="BQ312" t="s">
        <v>74</v>
      </c>
      <c r="BR312" t="s">
        <v>102</v>
      </c>
      <c r="BS312" t="s">
        <v>5949</v>
      </c>
      <c r="BT312" t="str">
        <f>HYPERLINK("https%3A%2F%2Fwww.webofscience.com%2Fwos%2Fwoscc%2Ffull-record%2FWOS:000297596700001","View Full Record in Web of Science")</f>
        <v>View Full Record in Web of Science</v>
      </c>
    </row>
    <row r="313" spans="1:72" x14ac:dyDescent="0.15">
      <c r="A313" t="s">
        <v>72</v>
      </c>
      <c r="B313" t="s">
        <v>5950</v>
      </c>
      <c r="C313" t="s">
        <v>74</v>
      </c>
      <c r="D313" t="s">
        <v>74</v>
      </c>
      <c r="E313" t="s">
        <v>74</v>
      </c>
      <c r="F313" t="s">
        <v>5951</v>
      </c>
      <c r="G313" t="s">
        <v>74</v>
      </c>
      <c r="H313" t="s">
        <v>74</v>
      </c>
      <c r="I313" t="s">
        <v>5952</v>
      </c>
      <c r="J313" t="s">
        <v>5283</v>
      </c>
      <c r="K313" t="s">
        <v>74</v>
      </c>
      <c r="L313" t="s">
        <v>74</v>
      </c>
      <c r="M313" t="s">
        <v>78</v>
      </c>
      <c r="N313" t="s">
        <v>79</v>
      </c>
      <c r="O313" t="s">
        <v>74</v>
      </c>
      <c r="P313" t="s">
        <v>74</v>
      </c>
      <c r="Q313" t="s">
        <v>74</v>
      </c>
      <c r="R313" t="s">
        <v>74</v>
      </c>
      <c r="S313" t="s">
        <v>74</v>
      </c>
      <c r="T313" t="s">
        <v>5953</v>
      </c>
      <c r="U313" t="s">
        <v>5954</v>
      </c>
      <c r="V313" t="s">
        <v>5955</v>
      </c>
      <c r="W313" t="s">
        <v>5956</v>
      </c>
      <c r="X313" t="s">
        <v>5957</v>
      </c>
      <c r="Y313" t="s">
        <v>5958</v>
      </c>
      <c r="Z313" t="s">
        <v>5959</v>
      </c>
      <c r="AA313" t="s">
        <v>74</v>
      </c>
      <c r="AB313" t="s">
        <v>5960</v>
      </c>
      <c r="AC313" t="s">
        <v>5961</v>
      </c>
      <c r="AD313" t="s">
        <v>5962</v>
      </c>
      <c r="AE313" t="s">
        <v>5963</v>
      </c>
      <c r="AF313" t="s">
        <v>74</v>
      </c>
      <c r="AG313">
        <v>35</v>
      </c>
      <c r="AH313">
        <v>16</v>
      </c>
      <c r="AI313">
        <v>18</v>
      </c>
      <c r="AJ313">
        <v>0</v>
      </c>
      <c r="AK313">
        <v>8</v>
      </c>
      <c r="AL313" t="s">
        <v>250</v>
      </c>
      <c r="AM313" t="s">
        <v>413</v>
      </c>
      <c r="AN313" t="s">
        <v>514</v>
      </c>
      <c r="AO313" t="s">
        <v>5295</v>
      </c>
      <c r="AP313" t="s">
        <v>74</v>
      </c>
      <c r="AQ313" t="s">
        <v>74</v>
      </c>
      <c r="AR313" t="s">
        <v>5297</v>
      </c>
      <c r="AS313" t="s">
        <v>5298</v>
      </c>
      <c r="AT313" t="s">
        <v>97</v>
      </c>
      <c r="AU313">
        <v>2012</v>
      </c>
      <c r="AV313">
        <v>35</v>
      </c>
      <c r="AW313">
        <v>1</v>
      </c>
      <c r="AX313" t="s">
        <v>74</v>
      </c>
      <c r="AY313" t="s">
        <v>74</v>
      </c>
      <c r="AZ313" t="s">
        <v>74</v>
      </c>
      <c r="BA313" t="s">
        <v>74</v>
      </c>
      <c r="BB313">
        <v>99</v>
      </c>
      <c r="BC313">
        <v>106</v>
      </c>
      <c r="BD313" t="s">
        <v>74</v>
      </c>
      <c r="BE313" t="s">
        <v>5964</v>
      </c>
      <c r="BF313" t="str">
        <f>HYPERLINK("http://dx.doi.org/10.1007/s00300-011-1037-7","http://dx.doi.org/10.1007/s00300-011-1037-7")</f>
        <v>http://dx.doi.org/10.1007/s00300-011-1037-7</v>
      </c>
      <c r="BG313" t="s">
        <v>74</v>
      </c>
      <c r="BH313" t="s">
        <v>74</v>
      </c>
      <c r="BI313">
        <v>8</v>
      </c>
      <c r="BJ313" t="s">
        <v>5300</v>
      </c>
      <c r="BK313" t="s">
        <v>100</v>
      </c>
      <c r="BL313" t="s">
        <v>3505</v>
      </c>
      <c r="BM313" t="s">
        <v>5301</v>
      </c>
      <c r="BN313" t="s">
        <v>74</v>
      </c>
      <c r="BO313" t="s">
        <v>74</v>
      </c>
      <c r="BP313" t="s">
        <v>74</v>
      </c>
      <c r="BQ313" t="s">
        <v>74</v>
      </c>
      <c r="BR313" t="s">
        <v>102</v>
      </c>
      <c r="BS313" t="s">
        <v>5965</v>
      </c>
      <c r="BT313" t="str">
        <f>HYPERLINK("https%3A%2F%2Fwww.webofscience.com%2Fwos%2Fwoscc%2Ffull-record%2FWOS:000297596700008","View Full Record in Web of Science")</f>
        <v>View Full Record in Web of Science</v>
      </c>
    </row>
    <row r="314" spans="1:72" x14ac:dyDescent="0.15">
      <c r="A314" t="s">
        <v>72</v>
      </c>
      <c r="B314" t="s">
        <v>5966</v>
      </c>
      <c r="C314" t="s">
        <v>74</v>
      </c>
      <c r="D314" t="s">
        <v>74</v>
      </c>
      <c r="E314" t="s">
        <v>74</v>
      </c>
      <c r="F314" t="s">
        <v>5967</v>
      </c>
      <c r="G314" t="s">
        <v>74</v>
      </c>
      <c r="H314" t="s">
        <v>74</v>
      </c>
      <c r="I314" t="s">
        <v>5968</v>
      </c>
      <c r="J314" t="s">
        <v>5283</v>
      </c>
      <c r="K314" t="s">
        <v>74</v>
      </c>
      <c r="L314" t="s">
        <v>74</v>
      </c>
      <c r="M314" t="s">
        <v>78</v>
      </c>
      <c r="N314" t="s">
        <v>79</v>
      </c>
      <c r="O314" t="s">
        <v>74</v>
      </c>
      <c r="P314" t="s">
        <v>74</v>
      </c>
      <c r="Q314" t="s">
        <v>74</v>
      </c>
      <c r="R314" t="s">
        <v>74</v>
      </c>
      <c r="S314" t="s">
        <v>74</v>
      </c>
      <c r="T314" t="s">
        <v>5969</v>
      </c>
      <c r="U314" t="s">
        <v>5970</v>
      </c>
      <c r="V314" t="s">
        <v>5971</v>
      </c>
      <c r="W314" t="s">
        <v>5972</v>
      </c>
      <c r="X314" t="s">
        <v>5973</v>
      </c>
      <c r="Y314" t="s">
        <v>5974</v>
      </c>
      <c r="Z314" t="s">
        <v>5975</v>
      </c>
      <c r="AA314" t="s">
        <v>5976</v>
      </c>
      <c r="AB314" t="s">
        <v>5977</v>
      </c>
      <c r="AC314" t="s">
        <v>5978</v>
      </c>
      <c r="AD314" t="s">
        <v>5979</v>
      </c>
      <c r="AE314" t="s">
        <v>5980</v>
      </c>
      <c r="AF314" t="s">
        <v>74</v>
      </c>
      <c r="AG314">
        <v>41</v>
      </c>
      <c r="AH314">
        <v>10</v>
      </c>
      <c r="AI314">
        <v>11</v>
      </c>
      <c r="AJ314">
        <v>0</v>
      </c>
      <c r="AK314">
        <v>26</v>
      </c>
      <c r="AL314" t="s">
        <v>250</v>
      </c>
      <c r="AM314" t="s">
        <v>413</v>
      </c>
      <c r="AN314" t="s">
        <v>490</v>
      </c>
      <c r="AO314" t="s">
        <v>5295</v>
      </c>
      <c r="AP314" t="s">
        <v>5296</v>
      </c>
      <c r="AQ314" t="s">
        <v>74</v>
      </c>
      <c r="AR314" t="s">
        <v>5297</v>
      </c>
      <c r="AS314" t="s">
        <v>5298</v>
      </c>
      <c r="AT314" t="s">
        <v>97</v>
      </c>
      <c r="AU314">
        <v>2012</v>
      </c>
      <c r="AV314">
        <v>35</v>
      </c>
      <c r="AW314">
        <v>1</v>
      </c>
      <c r="AX314" t="s">
        <v>74</v>
      </c>
      <c r="AY314" t="s">
        <v>74</v>
      </c>
      <c r="AZ314" t="s">
        <v>74</v>
      </c>
      <c r="BA314" t="s">
        <v>74</v>
      </c>
      <c r="BB314">
        <v>107</v>
      </c>
      <c r="BC314">
        <v>116</v>
      </c>
      <c r="BD314" t="s">
        <v>74</v>
      </c>
      <c r="BE314" t="s">
        <v>5981</v>
      </c>
      <c r="BF314" t="str">
        <f>HYPERLINK("http://dx.doi.org/10.1007/s00300-011-1043-9","http://dx.doi.org/10.1007/s00300-011-1043-9")</f>
        <v>http://dx.doi.org/10.1007/s00300-011-1043-9</v>
      </c>
      <c r="BG314" t="s">
        <v>74</v>
      </c>
      <c r="BH314" t="s">
        <v>74</v>
      </c>
      <c r="BI314">
        <v>10</v>
      </c>
      <c r="BJ314" t="s">
        <v>5300</v>
      </c>
      <c r="BK314" t="s">
        <v>100</v>
      </c>
      <c r="BL314" t="s">
        <v>3505</v>
      </c>
      <c r="BM314" t="s">
        <v>5301</v>
      </c>
      <c r="BN314" t="s">
        <v>74</v>
      </c>
      <c r="BO314" t="s">
        <v>74</v>
      </c>
      <c r="BP314" t="s">
        <v>74</v>
      </c>
      <c r="BQ314" t="s">
        <v>74</v>
      </c>
      <c r="BR314" t="s">
        <v>102</v>
      </c>
      <c r="BS314" t="s">
        <v>5982</v>
      </c>
      <c r="BT314" t="str">
        <f>HYPERLINK("https%3A%2F%2Fwww.webofscience.com%2Fwos%2Fwoscc%2Ffull-record%2FWOS:000297596700009","View Full Record in Web of Science")</f>
        <v>View Full Record in Web of Science</v>
      </c>
    </row>
    <row r="315" spans="1:72" x14ac:dyDescent="0.15">
      <c r="A315" t="s">
        <v>72</v>
      </c>
      <c r="B315" t="s">
        <v>5983</v>
      </c>
      <c r="C315" t="s">
        <v>74</v>
      </c>
      <c r="D315" t="s">
        <v>74</v>
      </c>
      <c r="E315" t="s">
        <v>74</v>
      </c>
      <c r="F315" t="s">
        <v>5984</v>
      </c>
      <c r="G315" t="s">
        <v>74</v>
      </c>
      <c r="H315" t="s">
        <v>74</v>
      </c>
      <c r="I315" t="s">
        <v>5985</v>
      </c>
      <c r="J315" t="s">
        <v>5986</v>
      </c>
      <c r="K315" t="s">
        <v>74</v>
      </c>
      <c r="L315" t="s">
        <v>74</v>
      </c>
      <c r="M315" t="s">
        <v>78</v>
      </c>
      <c r="N315" t="s">
        <v>79</v>
      </c>
      <c r="O315" t="s">
        <v>74</v>
      </c>
      <c r="P315" t="s">
        <v>74</v>
      </c>
      <c r="Q315" t="s">
        <v>74</v>
      </c>
      <c r="R315" t="s">
        <v>74</v>
      </c>
      <c r="S315" t="s">
        <v>74</v>
      </c>
      <c r="T315" t="s">
        <v>5987</v>
      </c>
      <c r="U315" t="s">
        <v>5988</v>
      </c>
      <c r="V315" t="s">
        <v>5989</v>
      </c>
      <c r="W315" t="s">
        <v>5990</v>
      </c>
      <c r="X315" t="s">
        <v>5991</v>
      </c>
      <c r="Y315" t="s">
        <v>5931</v>
      </c>
      <c r="Z315" t="s">
        <v>5992</v>
      </c>
      <c r="AA315" t="s">
        <v>5993</v>
      </c>
      <c r="AB315" t="s">
        <v>5994</v>
      </c>
      <c r="AC315" t="s">
        <v>5995</v>
      </c>
      <c r="AD315" t="s">
        <v>5996</v>
      </c>
      <c r="AE315" t="s">
        <v>5997</v>
      </c>
      <c r="AF315" t="s">
        <v>74</v>
      </c>
      <c r="AG315">
        <v>44</v>
      </c>
      <c r="AH315">
        <v>12</v>
      </c>
      <c r="AI315">
        <v>15</v>
      </c>
      <c r="AJ315">
        <v>0</v>
      </c>
      <c r="AK315">
        <v>22</v>
      </c>
      <c r="AL315" t="s">
        <v>3235</v>
      </c>
      <c r="AM315" t="s">
        <v>588</v>
      </c>
      <c r="AN315" t="s">
        <v>3236</v>
      </c>
      <c r="AO315" t="s">
        <v>5998</v>
      </c>
      <c r="AP315" t="s">
        <v>5999</v>
      </c>
      <c r="AQ315" t="s">
        <v>74</v>
      </c>
      <c r="AR315" t="s">
        <v>6000</v>
      </c>
      <c r="AS315" t="s">
        <v>6001</v>
      </c>
      <c r="AT315" t="s">
        <v>162</v>
      </c>
      <c r="AU315">
        <v>2012</v>
      </c>
      <c r="AV315">
        <v>75</v>
      </c>
      <c r="AW315" t="s">
        <v>74</v>
      </c>
      <c r="AX315" t="s">
        <v>74</v>
      </c>
      <c r="AY315" t="s">
        <v>74</v>
      </c>
      <c r="AZ315" t="s">
        <v>74</v>
      </c>
      <c r="BA315" t="s">
        <v>74</v>
      </c>
      <c r="BB315">
        <v>163</v>
      </c>
      <c r="BC315">
        <v>170</v>
      </c>
      <c r="BD315" t="s">
        <v>74</v>
      </c>
      <c r="BE315" t="s">
        <v>6002</v>
      </c>
      <c r="BF315" t="str">
        <f>HYPERLINK("http://dx.doi.org/10.1016/j.ecoenv.2011.09.005","http://dx.doi.org/10.1016/j.ecoenv.2011.09.005")</f>
        <v>http://dx.doi.org/10.1016/j.ecoenv.2011.09.005</v>
      </c>
      <c r="BG315" t="s">
        <v>74</v>
      </c>
      <c r="BH315" t="s">
        <v>74</v>
      </c>
      <c r="BI315">
        <v>8</v>
      </c>
      <c r="BJ315" t="s">
        <v>6003</v>
      </c>
      <c r="BK315" t="s">
        <v>100</v>
      </c>
      <c r="BL315" t="s">
        <v>6004</v>
      </c>
      <c r="BM315" t="s">
        <v>6005</v>
      </c>
      <c r="BN315">
        <v>21959188</v>
      </c>
      <c r="BO315" t="s">
        <v>74</v>
      </c>
      <c r="BP315" t="s">
        <v>74</v>
      </c>
      <c r="BQ315" t="s">
        <v>74</v>
      </c>
      <c r="BR315" t="s">
        <v>102</v>
      </c>
      <c r="BS315" t="s">
        <v>6006</v>
      </c>
      <c r="BT315" t="str">
        <f>HYPERLINK("https%3A%2F%2Fwww.webofscience.com%2Fwos%2Fwoscc%2Ffull-record%2FWOS:000297088500021","View Full Record in Web of Science")</f>
        <v>View Full Record in Web of Science</v>
      </c>
    </row>
    <row r="316" spans="1:72" x14ac:dyDescent="0.15">
      <c r="A316" t="s">
        <v>72</v>
      </c>
      <c r="B316" t="s">
        <v>6007</v>
      </c>
      <c r="C316" t="s">
        <v>74</v>
      </c>
      <c r="D316" t="s">
        <v>74</v>
      </c>
      <c r="E316" t="s">
        <v>74</v>
      </c>
      <c r="F316" t="s">
        <v>6008</v>
      </c>
      <c r="G316" t="s">
        <v>74</v>
      </c>
      <c r="H316" t="s">
        <v>74</v>
      </c>
      <c r="I316" t="s">
        <v>6009</v>
      </c>
      <c r="J316" t="s">
        <v>6010</v>
      </c>
      <c r="K316" t="s">
        <v>74</v>
      </c>
      <c r="L316" t="s">
        <v>74</v>
      </c>
      <c r="M316" t="s">
        <v>78</v>
      </c>
      <c r="N316" t="s">
        <v>79</v>
      </c>
      <c r="O316" t="s">
        <v>74</v>
      </c>
      <c r="P316" t="s">
        <v>74</v>
      </c>
      <c r="Q316" t="s">
        <v>74</v>
      </c>
      <c r="R316" t="s">
        <v>74</v>
      </c>
      <c r="S316" t="s">
        <v>74</v>
      </c>
      <c r="T316" t="s">
        <v>6011</v>
      </c>
      <c r="U316" t="s">
        <v>6012</v>
      </c>
      <c r="V316" t="s">
        <v>6013</v>
      </c>
      <c r="W316" t="s">
        <v>6014</v>
      </c>
      <c r="X316" t="s">
        <v>4323</v>
      </c>
      <c r="Y316" t="s">
        <v>6015</v>
      </c>
      <c r="Z316" t="s">
        <v>6016</v>
      </c>
      <c r="AA316" t="s">
        <v>6017</v>
      </c>
      <c r="AB316" t="s">
        <v>6018</v>
      </c>
      <c r="AC316" t="s">
        <v>74</v>
      </c>
      <c r="AD316" t="s">
        <v>74</v>
      </c>
      <c r="AE316" t="s">
        <v>74</v>
      </c>
      <c r="AF316" t="s">
        <v>74</v>
      </c>
      <c r="AG316">
        <v>106</v>
      </c>
      <c r="AH316">
        <v>32</v>
      </c>
      <c r="AI316">
        <v>34</v>
      </c>
      <c r="AJ316">
        <v>0</v>
      </c>
      <c r="AK316">
        <v>44</v>
      </c>
      <c r="AL316" t="s">
        <v>2917</v>
      </c>
      <c r="AM316" t="s">
        <v>156</v>
      </c>
      <c r="AN316" t="s">
        <v>2918</v>
      </c>
      <c r="AO316" t="s">
        <v>6019</v>
      </c>
      <c r="AP316" t="s">
        <v>6020</v>
      </c>
      <c r="AQ316" t="s">
        <v>74</v>
      </c>
      <c r="AR316" t="s">
        <v>6021</v>
      </c>
      <c r="AS316" t="s">
        <v>6022</v>
      </c>
      <c r="AT316" t="s">
        <v>97</v>
      </c>
      <c r="AU316">
        <v>2012</v>
      </c>
      <c r="AV316">
        <v>36</v>
      </c>
      <c r="AW316">
        <v>1</v>
      </c>
      <c r="AX316" t="s">
        <v>74</v>
      </c>
      <c r="AY316" t="s">
        <v>74</v>
      </c>
      <c r="AZ316" t="s">
        <v>74</v>
      </c>
      <c r="BA316" t="s">
        <v>74</v>
      </c>
      <c r="BB316">
        <v>122</v>
      </c>
      <c r="BC316">
        <v>131</v>
      </c>
      <c r="BD316" t="s">
        <v>74</v>
      </c>
      <c r="BE316" t="s">
        <v>6023</v>
      </c>
      <c r="BF316" t="str">
        <f>HYPERLINK("http://dx.doi.org/10.1016/j.marpol.2011.04.005","http://dx.doi.org/10.1016/j.marpol.2011.04.005")</f>
        <v>http://dx.doi.org/10.1016/j.marpol.2011.04.005</v>
      </c>
      <c r="BG316" t="s">
        <v>74</v>
      </c>
      <c r="BH316" t="s">
        <v>74</v>
      </c>
      <c r="BI316">
        <v>10</v>
      </c>
      <c r="BJ316" t="s">
        <v>6024</v>
      </c>
      <c r="BK316" t="s">
        <v>6025</v>
      </c>
      <c r="BL316" t="s">
        <v>6026</v>
      </c>
      <c r="BM316" t="s">
        <v>6027</v>
      </c>
      <c r="BN316" t="s">
        <v>74</v>
      </c>
      <c r="BO316" t="s">
        <v>74</v>
      </c>
      <c r="BP316" t="s">
        <v>74</v>
      </c>
      <c r="BQ316" t="s">
        <v>74</v>
      </c>
      <c r="BR316" t="s">
        <v>102</v>
      </c>
      <c r="BS316" t="s">
        <v>6028</v>
      </c>
      <c r="BT316" t="str">
        <f>HYPERLINK("https%3A%2F%2Fwww.webofscience.com%2Fwos%2Fwoscc%2Ffull-record%2FWOS:000296003300015","View Full Record in Web of Science")</f>
        <v>View Full Record in Web of Science</v>
      </c>
    </row>
    <row r="317" spans="1:72" x14ac:dyDescent="0.15">
      <c r="A317" t="s">
        <v>72</v>
      </c>
      <c r="B317" t="s">
        <v>6029</v>
      </c>
      <c r="C317" t="s">
        <v>74</v>
      </c>
      <c r="D317" t="s">
        <v>74</v>
      </c>
      <c r="E317" t="s">
        <v>74</v>
      </c>
      <c r="F317" t="s">
        <v>6030</v>
      </c>
      <c r="G317" t="s">
        <v>74</v>
      </c>
      <c r="H317" t="s">
        <v>74</v>
      </c>
      <c r="I317" t="s">
        <v>6031</v>
      </c>
      <c r="J317" t="s">
        <v>6032</v>
      </c>
      <c r="K317" t="s">
        <v>74</v>
      </c>
      <c r="L317" t="s">
        <v>74</v>
      </c>
      <c r="M317" t="s">
        <v>78</v>
      </c>
      <c r="N317" t="s">
        <v>79</v>
      </c>
      <c r="O317" t="s">
        <v>74</v>
      </c>
      <c r="P317" t="s">
        <v>74</v>
      </c>
      <c r="Q317" t="s">
        <v>74</v>
      </c>
      <c r="R317" t="s">
        <v>74</v>
      </c>
      <c r="S317" t="s">
        <v>74</v>
      </c>
      <c r="T317" t="s">
        <v>74</v>
      </c>
      <c r="U317" t="s">
        <v>6033</v>
      </c>
      <c r="V317" t="s">
        <v>6034</v>
      </c>
      <c r="W317" t="s">
        <v>6035</v>
      </c>
      <c r="X317" t="s">
        <v>6036</v>
      </c>
      <c r="Y317" t="s">
        <v>6037</v>
      </c>
      <c r="Z317" t="s">
        <v>6038</v>
      </c>
      <c r="AA317" t="s">
        <v>74</v>
      </c>
      <c r="AB317" t="s">
        <v>6039</v>
      </c>
      <c r="AC317" t="s">
        <v>6040</v>
      </c>
      <c r="AD317" t="s">
        <v>6041</v>
      </c>
      <c r="AE317" t="s">
        <v>6042</v>
      </c>
      <c r="AF317" t="s">
        <v>74</v>
      </c>
      <c r="AG317">
        <v>60</v>
      </c>
      <c r="AH317">
        <v>27</v>
      </c>
      <c r="AI317">
        <v>30</v>
      </c>
      <c r="AJ317">
        <v>2</v>
      </c>
      <c r="AK317">
        <v>16</v>
      </c>
      <c r="AL317" t="s">
        <v>1498</v>
      </c>
      <c r="AM317" t="s">
        <v>985</v>
      </c>
      <c r="AN317" t="s">
        <v>1499</v>
      </c>
      <c r="AO317" t="s">
        <v>6043</v>
      </c>
      <c r="AP317" t="s">
        <v>6044</v>
      </c>
      <c r="AQ317" t="s">
        <v>74</v>
      </c>
      <c r="AR317" t="s">
        <v>6045</v>
      </c>
      <c r="AS317" t="s">
        <v>6046</v>
      </c>
      <c r="AT317" t="s">
        <v>6047</v>
      </c>
      <c r="AU317">
        <v>2011</v>
      </c>
      <c r="AV317">
        <v>116</v>
      </c>
      <c r="AW317" t="s">
        <v>74</v>
      </c>
      <c r="AX317" t="s">
        <v>74</v>
      </c>
      <c r="AY317" t="s">
        <v>74</v>
      </c>
      <c r="AZ317" t="s">
        <v>74</v>
      </c>
      <c r="BA317" t="s">
        <v>74</v>
      </c>
      <c r="BB317" t="s">
        <v>74</v>
      </c>
      <c r="BC317" t="s">
        <v>74</v>
      </c>
      <c r="BD317" t="s">
        <v>6048</v>
      </c>
      <c r="BE317" t="s">
        <v>6049</v>
      </c>
      <c r="BF317" t="str">
        <f>HYPERLINK("http://dx.doi.org/10.1029/2011JE003802","http://dx.doi.org/10.1029/2011JE003802")</f>
        <v>http://dx.doi.org/10.1029/2011JE003802</v>
      </c>
      <c r="BG317" t="s">
        <v>74</v>
      </c>
      <c r="BH317" t="s">
        <v>74</v>
      </c>
      <c r="BI317">
        <v>12</v>
      </c>
      <c r="BJ317" t="s">
        <v>164</v>
      </c>
      <c r="BK317" t="s">
        <v>100</v>
      </c>
      <c r="BL317" t="s">
        <v>164</v>
      </c>
      <c r="BM317" t="s">
        <v>6050</v>
      </c>
      <c r="BN317" t="s">
        <v>74</v>
      </c>
      <c r="BO317" t="s">
        <v>365</v>
      </c>
      <c r="BP317" t="s">
        <v>74</v>
      </c>
      <c r="BQ317" t="s">
        <v>74</v>
      </c>
      <c r="BR317" t="s">
        <v>102</v>
      </c>
      <c r="BS317" t="s">
        <v>6051</v>
      </c>
      <c r="BT317" t="str">
        <f>HYPERLINK("https%3A%2F%2Fwww.webofscience.com%2Fwos%2Fwoscc%2Ffull-record%2FWOS:000298757500001","View Full Record in Web of Science")</f>
        <v>View Full Record in Web of Science</v>
      </c>
    </row>
    <row r="318" spans="1:72" x14ac:dyDescent="0.15">
      <c r="A318" t="s">
        <v>72</v>
      </c>
      <c r="B318" t="s">
        <v>6052</v>
      </c>
      <c r="C318" t="s">
        <v>74</v>
      </c>
      <c r="D318" t="s">
        <v>74</v>
      </c>
      <c r="E318" t="s">
        <v>74</v>
      </c>
      <c r="F318" t="s">
        <v>6053</v>
      </c>
      <c r="G318" t="s">
        <v>74</v>
      </c>
      <c r="H318" t="s">
        <v>74</v>
      </c>
      <c r="I318" t="s">
        <v>6054</v>
      </c>
      <c r="J318" t="s">
        <v>6055</v>
      </c>
      <c r="K318" t="s">
        <v>74</v>
      </c>
      <c r="L318" t="s">
        <v>74</v>
      </c>
      <c r="M318" t="s">
        <v>78</v>
      </c>
      <c r="N318" t="s">
        <v>79</v>
      </c>
      <c r="O318" t="s">
        <v>74</v>
      </c>
      <c r="P318" t="s">
        <v>74</v>
      </c>
      <c r="Q318" t="s">
        <v>74</v>
      </c>
      <c r="R318" t="s">
        <v>74</v>
      </c>
      <c r="S318" t="s">
        <v>74</v>
      </c>
      <c r="T318" t="s">
        <v>74</v>
      </c>
      <c r="U318" t="s">
        <v>6056</v>
      </c>
      <c r="V318" t="s">
        <v>6057</v>
      </c>
      <c r="W318" t="s">
        <v>6058</v>
      </c>
      <c r="X318" t="s">
        <v>6059</v>
      </c>
      <c r="Y318" t="s">
        <v>6060</v>
      </c>
      <c r="Z318" t="s">
        <v>6061</v>
      </c>
      <c r="AA318" t="s">
        <v>6062</v>
      </c>
      <c r="AB318" t="s">
        <v>6063</v>
      </c>
      <c r="AC318" t="s">
        <v>6064</v>
      </c>
      <c r="AD318" t="s">
        <v>2291</v>
      </c>
      <c r="AE318" t="s">
        <v>6065</v>
      </c>
      <c r="AF318" t="s">
        <v>74</v>
      </c>
      <c r="AG318">
        <v>29</v>
      </c>
      <c r="AH318">
        <v>44</v>
      </c>
      <c r="AI318">
        <v>46</v>
      </c>
      <c r="AJ318">
        <v>0</v>
      </c>
      <c r="AK318">
        <v>14</v>
      </c>
      <c r="AL318" t="s">
        <v>1498</v>
      </c>
      <c r="AM318" t="s">
        <v>985</v>
      </c>
      <c r="AN318" t="s">
        <v>1499</v>
      </c>
      <c r="AO318" t="s">
        <v>6066</v>
      </c>
      <c r="AP318" t="s">
        <v>6067</v>
      </c>
      <c r="AQ318" t="s">
        <v>74</v>
      </c>
      <c r="AR318" t="s">
        <v>6068</v>
      </c>
      <c r="AS318" t="s">
        <v>6069</v>
      </c>
      <c r="AT318" t="s">
        <v>6047</v>
      </c>
      <c r="AU318">
        <v>2011</v>
      </c>
      <c r="AV318">
        <v>38</v>
      </c>
      <c r="AW318" t="s">
        <v>74</v>
      </c>
      <c r="AX318" t="s">
        <v>74</v>
      </c>
      <c r="AY318" t="s">
        <v>74</v>
      </c>
      <c r="AZ318" t="s">
        <v>74</v>
      </c>
      <c r="BA318" t="s">
        <v>74</v>
      </c>
      <c r="BB318" t="s">
        <v>74</v>
      </c>
      <c r="BC318" t="s">
        <v>74</v>
      </c>
      <c r="BD318" t="s">
        <v>6070</v>
      </c>
      <c r="BE318" t="s">
        <v>6071</v>
      </c>
      <c r="BF318" t="str">
        <f>HYPERLINK("http://dx.doi.org/10.1029/2011GL049843","http://dx.doi.org/10.1029/2011GL049843")</f>
        <v>http://dx.doi.org/10.1029/2011GL049843</v>
      </c>
      <c r="BG318" t="s">
        <v>74</v>
      </c>
      <c r="BH318" t="s">
        <v>74</v>
      </c>
      <c r="BI318">
        <v>6</v>
      </c>
      <c r="BJ318" t="s">
        <v>287</v>
      </c>
      <c r="BK318" t="s">
        <v>100</v>
      </c>
      <c r="BL318" t="s">
        <v>288</v>
      </c>
      <c r="BM318" t="s">
        <v>6072</v>
      </c>
      <c r="BN318" t="s">
        <v>74</v>
      </c>
      <c r="BO318" t="s">
        <v>4515</v>
      </c>
      <c r="BP318" t="s">
        <v>74</v>
      </c>
      <c r="BQ318" t="s">
        <v>74</v>
      </c>
      <c r="BR318" t="s">
        <v>102</v>
      </c>
      <c r="BS318" t="s">
        <v>6073</v>
      </c>
      <c r="BT318" t="str">
        <f>HYPERLINK("https%3A%2F%2Fwww.webofscience.com%2Fwos%2Fwoscc%2Ffull-record%2FWOS:000298760900004","View Full Record in Web of Science")</f>
        <v>View Full Record in Web of Science</v>
      </c>
    </row>
    <row r="319" spans="1:72" x14ac:dyDescent="0.15">
      <c r="A319" t="s">
        <v>72</v>
      </c>
      <c r="B319" t="s">
        <v>6074</v>
      </c>
      <c r="C319" t="s">
        <v>74</v>
      </c>
      <c r="D319" t="s">
        <v>74</v>
      </c>
      <c r="E319" t="s">
        <v>74</v>
      </c>
      <c r="F319" t="s">
        <v>6075</v>
      </c>
      <c r="G319" t="s">
        <v>74</v>
      </c>
      <c r="H319" t="s">
        <v>74</v>
      </c>
      <c r="I319" t="s">
        <v>6076</v>
      </c>
      <c r="J319" t="s">
        <v>6077</v>
      </c>
      <c r="K319" t="s">
        <v>74</v>
      </c>
      <c r="L319" t="s">
        <v>74</v>
      </c>
      <c r="M319" t="s">
        <v>78</v>
      </c>
      <c r="N319" t="s">
        <v>79</v>
      </c>
      <c r="O319" t="s">
        <v>74</v>
      </c>
      <c r="P319" t="s">
        <v>74</v>
      </c>
      <c r="Q319" t="s">
        <v>74</v>
      </c>
      <c r="R319" t="s">
        <v>74</v>
      </c>
      <c r="S319" t="s">
        <v>74</v>
      </c>
      <c r="T319" t="s">
        <v>74</v>
      </c>
      <c r="U319" t="s">
        <v>6078</v>
      </c>
      <c r="V319" t="s">
        <v>6079</v>
      </c>
      <c r="W319" t="s">
        <v>6080</v>
      </c>
      <c r="X319" t="s">
        <v>6081</v>
      </c>
      <c r="Y319" t="s">
        <v>6082</v>
      </c>
      <c r="Z319" t="s">
        <v>6083</v>
      </c>
      <c r="AA319" t="s">
        <v>6084</v>
      </c>
      <c r="AB319" t="s">
        <v>6085</v>
      </c>
      <c r="AC319" t="s">
        <v>6086</v>
      </c>
      <c r="AD319" t="s">
        <v>6087</v>
      </c>
      <c r="AE319" t="s">
        <v>6088</v>
      </c>
      <c r="AF319" t="s">
        <v>74</v>
      </c>
      <c r="AG319">
        <v>54</v>
      </c>
      <c r="AH319">
        <v>18</v>
      </c>
      <c r="AI319">
        <v>19</v>
      </c>
      <c r="AJ319">
        <v>0</v>
      </c>
      <c r="AK319">
        <v>7</v>
      </c>
      <c r="AL319" t="s">
        <v>1498</v>
      </c>
      <c r="AM319" t="s">
        <v>985</v>
      </c>
      <c r="AN319" t="s">
        <v>1499</v>
      </c>
      <c r="AO319" t="s">
        <v>6089</v>
      </c>
      <c r="AP319" t="s">
        <v>6090</v>
      </c>
      <c r="AQ319" t="s">
        <v>74</v>
      </c>
      <c r="AR319" t="s">
        <v>6091</v>
      </c>
      <c r="AS319" t="s">
        <v>6092</v>
      </c>
      <c r="AT319" t="s">
        <v>6047</v>
      </c>
      <c r="AU319">
        <v>2011</v>
      </c>
      <c r="AV319">
        <v>116</v>
      </c>
      <c r="AW319" t="s">
        <v>74</v>
      </c>
      <c r="AX319" t="s">
        <v>74</v>
      </c>
      <c r="AY319" t="s">
        <v>74</v>
      </c>
      <c r="AZ319" t="s">
        <v>74</v>
      </c>
      <c r="BA319" t="s">
        <v>74</v>
      </c>
      <c r="BB319" t="s">
        <v>74</v>
      </c>
      <c r="BC319" t="s">
        <v>74</v>
      </c>
      <c r="BD319" t="s">
        <v>6093</v>
      </c>
      <c r="BE319" t="s">
        <v>6094</v>
      </c>
      <c r="BF319" t="str">
        <f>HYPERLINK("http://dx.doi.org/10.1029/2011JA017043","http://dx.doi.org/10.1029/2011JA017043")</f>
        <v>http://dx.doi.org/10.1029/2011JA017043</v>
      </c>
      <c r="BG319" t="s">
        <v>74</v>
      </c>
      <c r="BH319" t="s">
        <v>74</v>
      </c>
      <c r="BI319">
        <v>18</v>
      </c>
      <c r="BJ319" t="s">
        <v>5208</v>
      </c>
      <c r="BK319" t="s">
        <v>100</v>
      </c>
      <c r="BL319" t="s">
        <v>5208</v>
      </c>
      <c r="BM319" t="s">
        <v>6095</v>
      </c>
      <c r="BN319" t="s">
        <v>74</v>
      </c>
      <c r="BO319" t="s">
        <v>74</v>
      </c>
      <c r="BP319" t="s">
        <v>74</v>
      </c>
      <c r="BQ319" t="s">
        <v>74</v>
      </c>
      <c r="BR319" t="s">
        <v>102</v>
      </c>
      <c r="BS319" t="s">
        <v>6096</v>
      </c>
      <c r="BT319" t="str">
        <f>HYPERLINK("https%3A%2F%2Fwww.webofscience.com%2Fwos%2Fwoscc%2Ffull-record%2FWOS:000298762200005","View Full Record in Web of Science")</f>
        <v>View Full Record in Web of Science</v>
      </c>
    </row>
    <row r="320" spans="1:72" x14ac:dyDescent="0.15">
      <c r="A320" t="s">
        <v>72</v>
      </c>
      <c r="B320" t="s">
        <v>6097</v>
      </c>
      <c r="C320" t="s">
        <v>74</v>
      </c>
      <c r="D320" t="s">
        <v>74</v>
      </c>
      <c r="E320" t="s">
        <v>74</v>
      </c>
      <c r="F320" t="s">
        <v>6098</v>
      </c>
      <c r="G320" t="s">
        <v>74</v>
      </c>
      <c r="H320" t="s">
        <v>74</v>
      </c>
      <c r="I320" t="s">
        <v>6099</v>
      </c>
      <c r="J320" t="s">
        <v>6100</v>
      </c>
      <c r="K320" t="s">
        <v>74</v>
      </c>
      <c r="L320" t="s">
        <v>74</v>
      </c>
      <c r="M320" t="s">
        <v>78</v>
      </c>
      <c r="N320" t="s">
        <v>79</v>
      </c>
      <c r="O320" t="s">
        <v>74</v>
      </c>
      <c r="P320" t="s">
        <v>74</v>
      </c>
      <c r="Q320" t="s">
        <v>74</v>
      </c>
      <c r="R320" t="s">
        <v>74</v>
      </c>
      <c r="S320" t="s">
        <v>74</v>
      </c>
      <c r="T320" t="s">
        <v>74</v>
      </c>
      <c r="U320" t="s">
        <v>6101</v>
      </c>
      <c r="V320" t="s">
        <v>6102</v>
      </c>
      <c r="W320" t="s">
        <v>6103</v>
      </c>
      <c r="X320" t="s">
        <v>6104</v>
      </c>
      <c r="Y320" t="s">
        <v>6105</v>
      </c>
      <c r="Z320" t="s">
        <v>74</v>
      </c>
      <c r="AA320" t="s">
        <v>74</v>
      </c>
      <c r="AB320" t="s">
        <v>74</v>
      </c>
      <c r="AC320" t="s">
        <v>6106</v>
      </c>
      <c r="AD320" t="s">
        <v>6107</v>
      </c>
      <c r="AE320" t="s">
        <v>6108</v>
      </c>
      <c r="AF320" t="s">
        <v>74</v>
      </c>
      <c r="AG320">
        <v>35</v>
      </c>
      <c r="AH320">
        <v>82</v>
      </c>
      <c r="AI320">
        <v>88</v>
      </c>
      <c r="AJ320">
        <v>0</v>
      </c>
      <c r="AK320">
        <v>3</v>
      </c>
      <c r="AL320" t="s">
        <v>6109</v>
      </c>
      <c r="AM320" t="s">
        <v>6110</v>
      </c>
      <c r="AN320" t="s">
        <v>6111</v>
      </c>
      <c r="AO320" t="s">
        <v>6112</v>
      </c>
      <c r="AP320" t="s">
        <v>6113</v>
      </c>
      <c r="AQ320" t="s">
        <v>74</v>
      </c>
      <c r="AR320" t="s">
        <v>6114</v>
      </c>
      <c r="AS320" t="s">
        <v>6115</v>
      </c>
      <c r="AT320" t="s">
        <v>6116</v>
      </c>
      <c r="AU320">
        <v>2011</v>
      </c>
      <c r="AV320">
        <v>84</v>
      </c>
      <c r="AW320">
        <v>12</v>
      </c>
      <c r="AX320" t="s">
        <v>74</v>
      </c>
      <c r="AY320" t="s">
        <v>74</v>
      </c>
      <c r="AZ320" t="s">
        <v>74</v>
      </c>
      <c r="BA320" t="s">
        <v>74</v>
      </c>
      <c r="BB320" t="s">
        <v>74</v>
      </c>
      <c r="BC320" t="s">
        <v>74</v>
      </c>
      <c r="BD320">
        <v>123529</v>
      </c>
      <c r="BE320" t="s">
        <v>6117</v>
      </c>
      <c r="BF320" t="str">
        <f>HYPERLINK("http://dx.doi.org/10.1103/PhysRevD.84.123529","http://dx.doi.org/10.1103/PhysRevD.84.123529")</f>
        <v>http://dx.doi.org/10.1103/PhysRevD.84.123529</v>
      </c>
      <c r="BG320" t="s">
        <v>74</v>
      </c>
      <c r="BH320" t="s">
        <v>74</v>
      </c>
      <c r="BI320">
        <v>6</v>
      </c>
      <c r="BJ320" t="s">
        <v>1130</v>
      </c>
      <c r="BK320" t="s">
        <v>100</v>
      </c>
      <c r="BL320" t="s">
        <v>1131</v>
      </c>
      <c r="BM320" t="s">
        <v>6118</v>
      </c>
      <c r="BN320" t="s">
        <v>74</v>
      </c>
      <c r="BO320" t="s">
        <v>6119</v>
      </c>
      <c r="BP320" t="s">
        <v>74</v>
      </c>
      <c r="BQ320" t="s">
        <v>74</v>
      </c>
      <c r="BR320" t="s">
        <v>102</v>
      </c>
      <c r="BS320" t="s">
        <v>6120</v>
      </c>
      <c r="BT320" t="str">
        <f>HYPERLINK("https%3A%2F%2Fwww.webofscience.com%2Fwos%2Fwoscc%2Ffull-record%2FWOS:000298667100004","View Full Record in Web of Science")</f>
        <v>View Full Record in Web of Science</v>
      </c>
    </row>
    <row r="321" spans="1:72" x14ac:dyDescent="0.15">
      <c r="A321" t="s">
        <v>72</v>
      </c>
      <c r="B321" t="s">
        <v>6121</v>
      </c>
      <c r="C321" t="s">
        <v>74</v>
      </c>
      <c r="D321" t="s">
        <v>74</v>
      </c>
      <c r="E321" t="s">
        <v>74</v>
      </c>
      <c r="F321" t="s">
        <v>6122</v>
      </c>
      <c r="G321" t="s">
        <v>74</v>
      </c>
      <c r="H321" t="s">
        <v>74</v>
      </c>
      <c r="I321" t="s">
        <v>6123</v>
      </c>
      <c r="J321" t="s">
        <v>6124</v>
      </c>
      <c r="K321" t="s">
        <v>74</v>
      </c>
      <c r="L321" t="s">
        <v>74</v>
      </c>
      <c r="M321" t="s">
        <v>78</v>
      </c>
      <c r="N321" t="s">
        <v>79</v>
      </c>
      <c r="O321" t="s">
        <v>74</v>
      </c>
      <c r="P321" t="s">
        <v>74</v>
      </c>
      <c r="Q321" t="s">
        <v>74</v>
      </c>
      <c r="R321" t="s">
        <v>74</v>
      </c>
      <c r="S321" t="s">
        <v>74</v>
      </c>
      <c r="T321" t="s">
        <v>74</v>
      </c>
      <c r="U321" t="s">
        <v>6125</v>
      </c>
      <c r="V321" t="s">
        <v>6126</v>
      </c>
      <c r="W321" t="s">
        <v>6127</v>
      </c>
      <c r="X321" t="s">
        <v>6128</v>
      </c>
      <c r="Y321" t="s">
        <v>6129</v>
      </c>
      <c r="Z321" t="s">
        <v>6130</v>
      </c>
      <c r="AA321" t="s">
        <v>6131</v>
      </c>
      <c r="AB321" t="s">
        <v>6132</v>
      </c>
      <c r="AC321" t="s">
        <v>6133</v>
      </c>
      <c r="AD321" t="s">
        <v>6134</v>
      </c>
      <c r="AE321" t="s">
        <v>6135</v>
      </c>
      <c r="AF321" t="s">
        <v>74</v>
      </c>
      <c r="AG321">
        <v>39</v>
      </c>
      <c r="AH321">
        <v>45</v>
      </c>
      <c r="AI321">
        <v>46</v>
      </c>
      <c r="AJ321">
        <v>0</v>
      </c>
      <c r="AK321">
        <v>31</v>
      </c>
      <c r="AL321" t="s">
        <v>1498</v>
      </c>
      <c r="AM321" t="s">
        <v>985</v>
      </c>
      <c r="AN321" t="s">
        <v>1499</v>
      </c>
      <c r="AO321" t="s">
        <v>6136</v>
      </c>
      <c r="AP321" t="s">
        <v>6137</v>
      </c>
      <c r="AQ321" t="s">
        <v>74</v>
      </c>
      <c r="AR321" t="s">
        <v>6138</v>
      </c>
      <c r="AS321" t="s">
        <v>6139</v>
      </c>
      <c r="AT321" t="s">
        <v>6116</v>
      </c>
      <c r="AU321">
        <v>2011</v>
      </c>
      <c r="AV321">
        <v>116</v>
      </c>
      <c r="AW321" t="s">
        <v>74</v>
      </c>
      <c r="AX321" t="s">
        <v>74</v>
      </c>
      <c r="AY321" t="s">
        <v>74</v>
      </c>
      <c r="AZ321" t="s">
        <v>74</v>
      </c>
      <c r="BA321" t="s">
        <v>74</v>
      </c>
      <c r="BB321" t="s">
        <v>74</v>
      </c>
      <c r="BC321" t="s">
        <v>74</v>
      </c>
      <c r="BD321" t="s">
        <v>6140</v>
      </c>
      <c r="BE321" t="s">
        <v>6141</v>
      </c>
      <c r="BF321" t="str">
        <f>HYPERLINK("http://dx.doi.org/10.1029/2011JC007184","http://dx.doi.org/10.1029/2011JC007184")</f>
        <v>http://dx.doi.org/10.1029/2011JC007184</v>
      </c>
      <c r="BG321" t="s">
        <v>74</v>
      </c>
      <c r="BH321" t="s">
        <v>74</v>
      </c>
      <c r="BI321">
        <v>12</v>
      </c>
      <c r="BJ321" t="s">
        <v>496</v>
      </c>
      <c r="BK321" t="s">
        <v>100</v>
      </c>
      <c r="BL321" t="s">
        <v>496</v>
      </c>
      <c r="BM321" t="s">
        <v>6142</v>
      </c>
      <c r="BN321" t="s">
        <v>74</v>
      </c>
      <c r="BO321" t="s">
        <v>342</v>
      </c>
      <c r="BP321" t="s">
        <v>74</v>
      </c>
      <c r="BQ321" t="s">
        <v>74</v>
      </c>
      <c r="BR321" t="s">
        <v>102</v>
      </c>
      <c r="BS321" t="s">
        <v>6143</v>
      </c>
      <c r="BT321" t="str">
        <f>HYPERLINK("https%3A%2F%2Fwww.webofscience.com%2Fwos%2Fwoscc%2Ffull-record%2FWOS:000298758500001","View Full Record in Web of Science")</f>
        <v>View Full Record in Web of Science</v>
      </c>
    </row>
    <row r="322" spans="1:72" x14ac:dyDescent="0.15">
      <c r="A322" t="s">
        <v>72</v>
      </c>
      <c r="B322" t="s">
        <v>6144</v>
      </c>
      <c r="C322" t="s">
        <v>74</v>
      </c>
      <c r="D322" t="s">
        <v>74</v>
      </c>
      <c r="E322" t="s">
        <v>74</v>
      </c>
      <c r="F322" t="s">
        <v>6145</v>
      </c>
      <c r="G322" t="s">
        <v>74</v>
      </c>
      <c r="H322" t="s">
        <v>74</v>
      </c>
      <c r="I322" t="s">
        <v>6146</v>
      </c>
      <c r="J322" t="s">
        <v>6124</v>
      </c>
      <c r="K322" t="s">
        <v>74</v>
      </c>
      <c r="L322" t="s">
        <v>74</v>
      </c>
      <c r="M322" t="s">
        <v>78</v>
      </c>
      <c r="N322" t="s">
        <v>79</v>
      </c>
      <c r="O322" t="s">
        <v>74</v>
      </c>
      <c r="P322" t="s">
        <v>74</v>
      </c>
      <c r="Q322" t="s">
        <v>74</v>
      </c>
      <c r="R322" t="s">
        <v>74</v>
      </c>
      <c r="S322" t="s">
        <v>74</v>
      </c>
      <c r="T322" t="s">
        <v>74</v>
      </c>
      <c r="U322" t="s">
        <v>6147</v>
      </c>
      <c r="V322" t="s">
        <v>6148</v>
      </c>
      <c r="W322" t="s">
        <v>6149</v>
      </c>
      <c r="X322" t="s">
        <v>6150</v>
      </c>
      <c r="Y322" t="s">
        <v>6151</v>
      </c>
      <c r="Z322" t="s">
        <v>6152</v>
      </c>
      <c r="AA322" t="s">
        <v>6153</v>
      </c>
      <c r="AB322" t="s">
        <v>6154</v>
      </c>
      <c r="AC322" t="s">
        <v>6155</v>
      </c>
      <c r="AD322" t="s">
        <v>6156</v>
      </c>
      <c r="AE322" t="s">
        <v>6157</v>
      </c>
      <c r="AF322" t="s">
        <v>74</v>
      </c>
      <c r="AG322">
        <v>58</v>
      </c>
      <c r="AH322">
        <v>67</v>
      </c>
      <c r="AI322">
        <v>74</v>
      </c>
      <c r="AJ322">
        <v>0</v>
      </c>
      <c r="AK322">
        <v>62</v>
      </c>
      <c r="AL322" t="s">
        <v>1498</v>
      </c>
      <c r="AM322" t="s">
        <v>985</v>
      </c>
      <c r="AN322" t="s">
        <v>1499</v>
      </c>
      <c r="AO322" t="s">
        <v>6136</v>
      </c>
      <c r="AP322" t="s">
        <v>6137</v>
      </c>
      <c r="AQ322" t="s">
        <v>74</v>
      </c>
      <c r="AR322" t="s">
        <v>6138</v>
      </c>
      <c r="AS322" t="s">
        <v>6139</v>
      </c>
      <c r="AT322" t="s">
        <v>6116</v>
      </c>
      <c r="AU322">
        <v>2011</v>
      </c>
      <c r="AV322">
        <v>116</v>
      </c>
      <c r="AW322" t="s">
        <v>74</v>
      </c>
      <c r="AX322" t="s">
        <v>74</v>
      </c>
      <c r="AY322" t="s">
        <v>74</v>
      </c>
      <c r="AZ322" t="s">
        <v>74</v>
      </c>
      <c r="BA322" t="s">
        <v>74</v>
      </c>
      <c r="BB322" t="s">
        <v>74</v>
      </c>
      <c r="BC322" t="s">
        <v>74</v>
      </c>
      <c r="BD322" t="s">
        <v>6158</v>
      </c>
      <c r="BE322" t="s">
        <v>6159</v>
      </c>
      <c r="BF322" t="str">
        <f>HYPERLINK("http://dx.doi.org/10.1029/2011JC007477","http://dx.doi.org/10.1029/2011JC007477")</f>
        <v>http://dx.doi.org/10.1029/2011JC007477</v>
      </c>
      <c r="BG322" t="s">
        <v>74</v>
      </c>
      <c r="BH322" t="s">
        <v>74</v>
      </c>
      <c r="BI322">
        <v>16</v>
      </c>
      <c r="BJ322" t="s">
        <v>496</v>
      </c>
      <c r="BK322" t="s">
        <v>100</v>
      </c>
      <c r="BL322" t="s">
        <v>496</v>
      </c>
      <c r="BM322" t="s">
        <v>6142</v>
      </c>
      <c r="BN322" t="s">
        <v>74</v>
      </c>
      <c r="BO322" t="s">
        <v>6160</v>
      </c>
      <c r="BP322" t="s">
        <v>74</v>
      </c>
      <c r="BQ322" t="s">
        <v>74</v>
      </c>
      <c r="BR322" t="s">
        <v>102</v>
      </c>
      <c r="BS322" t="s">
        <v>6161</v>
      </c>
      <c r="BT322" t="str">
        <f>HYPERLINK("https%3A%2F%2Fwww.webofscience.com%2Fwos%2Fwoscc%2Ffull-record%2FWOS:000298758500003","View Full Record in Web of Science")</f>
        <v>View Full Record in Web of Science</v>
      </c>
    </row>
    <row r="323" spans="1:72" x14ac:dyDescent="0.15">
      <c r="A323" t="s">
        <v>72</v>
      </c>
      <c r="B323" t="s">
        <v>6162</v>
      </c>
      <c r="C323" t="s">
        <v>74</v>
      </c>
      <c r="D323" t="s">
        <v>74</v>
      </c>
      <c r="E323" t="s">
        <v>74</v>
      </c>
      <c r="F323" t="s">
        <v>6163</v>
      </c>
      <c r="G323" t="s">
        <v>74</v>
      </c>
      <c r="H323" t="s">
        <v>74</v>
      </c>
      <c r="I323" t="s">
        <v>6164</v>
      </c>
      <c r="J323" t="s">
        <v>6165</v>
      </c>
      <c r="K323" t="s">
        <v>74</v>
      </c>
      <c r="L323" t="s">
        <v>74</v>
      </c>
      <c r="M323" t="s">
        <v>78</v>
      </c>
      <c r="N323" t="s">
        <v>79</v>
      </c>
      <c r="O323" t="s">
        <v>74</v>
      </c>
      <c r="P323" t="s">
        <v>74</v>
      </c>
      <c r="Q323" t="s">
        <v>74</v>
      </c>
      <c r="R323" t="s">
        <v>74</v>
      </c>
      <c r="S323" t="s">
        <v>74</v>
      </c>
      <c r="T323" t="s">
        <v>74</v>
      </c>
      <c r="U323" t="s">
        <v>6166</v>
      </c>
      <c r="V323" t="s">
        <v>6167</v>
      </c>
      <c r="W323" t="s">
        <v>6168</v>
      </c>
      <c r="X323" t="s">
        <v>6169</v>
      </c>
      <c r="Y323" t="s">
        <v>6170</v>
      </c>
      <c r="Z323" t="s">
        <v>6171</v>
      </c>
      <c r="AA323" t="s">
        <v>6172</v>
      </c>
      <c r="AB323" t="s">
        <v>6173</v>
      </c>
      <c r="AC323" t="s">
        <v>6174</v>
      </c>
      <c r="AD323" t="s">
        <v>6175</v>
      </c>
      <c r="AE323" t="s">
        <v>6176</v>
      </c>
      <c r="AF323" t="s">
        <v>74</v>
      </c>
      <c r="AG323">
        <v>56</v>
      </c>
      <c r="AH323">
        <v>163</v>
      </c>
      <c r="AI323">
        <v>185</v>
      </c>
      <c r="AJ323">
        <v>5</v>
      </c>
      <c r="AK323">
        <v>110</v>
      </c>
      <c r="AL323" t="s">
        <v>5249</v>
      </c>
      <c r="AM323" t="s">
        <v>5250</v>
      </c>
      <c r="AN323" t="s">
        <v>5251</v>
      </c>
      <c r="AO323" t="s">
        <v>6177</v>
      </c>
      <c r="AP323" t="s">
        <v>74</v>
      </c>
      <c r="AQ323" t="s">
        <v>74</v>
      </c>
      <c r="AR323" t="s">
        <v>6165</v>
      </c>
      <c r="AS323" t="s">
        <v>6178</v>
      </c>
      <c r="AT323" t="s">
        <v>6179</v>
      </c>
      <c r="AU323">
        <v>2011</v>
      </c>
      <c r="AV323">
        <v>6</v>
      </c>
      <c r="AW323">
        <v>12</v>
      </c>
      <c r="AX323" t="s">
        <v>74</v>
      </c>
      <c r="AY323" t="s">
        <v>74</v>
      </c>
      <c r="AZ323" t="s">
        <v>74</v>
      </c>
      <c r="BA323" t="s">
        <v>74</v>
      </c>
      <c r="BB323" t="s">
        <v>74</v>
      </c>
      <c r="BC323" t="s">
        <v>74</v>
      </c>
      <c r="BD323" t="s">
        <v>6180</v>
      </c>
      <c r="BE323" t="s">
        <v>6181</v>
      </c>
      <c r="BF323" t="str">
        <f>HYPERLINK("http://dx.doi.org/10.1371/journal.pone.0029340","http://dx.doi.org/10.1371/journal.pone.0029340")</f>
        <v>http://dx.doi.org/10.1371/journal.pone.0029340</v>
      </c>
      <c r="BG323" t="s">
        <v>74</v>
      </c>
      <c r="BH323" t="s">
        <v>74</v>
      </c>
      <c r="BI323">
        <v>8</v>
      </c>
      <c r="BJ323" t="s">
        <v>6182</v>
      </c>
      <c r="BK323" t="s">
        <v>100</v>
      </c>
      <c r="BL323" t="s">
        <v>6183</v>
      </c>
      <c r="BM323" t="s">
        <v>6184</v>
      </c>
      <c r="BN323">
        <v>22242115</v>
      </c>
      <c r="BO323" t="s">
        <v>3108</v>
      </c>
      <c r="BP323" t="s">
        <v>74</v>
      </c>
      <c r="BQ323" t="s">
        <v>74</v>
      </c>
      <c r="BR323" t="s">
        <v>102</v>
      </c>
      <c r="BS323" t="s">
        <v>6185</v>
      </c>
      <c r="BT323" t="str">
        <f>HYPERLINK("https%3A%2F%2Fwww.webofscience.com%2Fwos%2Fwoscc%2Ffull-record%2FWOS:000300677000026","View Full Record in Web of Science")</f>
        <v>View Full Record in Web of Science</v>
      </c>
    </row>
    <row r="324" spans="1:72" x14ac:dyDescent="0.15">
      <c r="A324" t="s">
        <v>72</v>
      </c>
      <c r="B324" t="s">
        <v>6186</v>
      </c>
      <c r="C324" t="s">
        <v>74</v>
      </c>
      <c r="D324" t="s">
        <v>74</v>
      </c>
      <c r="E324" t="s">
        <v>74</v>
      </c>
      <c r="F324" t="s">
        <v>6187</v>
      </c>
      <c r="G324" t="s">
        <v>74</v>
      </c>
      <c r="H324" t="s">
        <v>74</v>
      </c>
      <c r="I324" t="s">
        <v>6188</v>
      </c>
      <c r="J324" t="s">
        <v>6055</v>
      </c>
      <c r="K324" t="s">
        <v>74</v>
      </c>
      <c r="L324" t="s">
        <v>74</v>
      </c>
      <c r="M324" t="s">
        <v>78</v>
      </c>
      <c r="N324" t="s">
        <v>79</v>
      </c>
      <c r="O324" t="s">
        <v>74</v>
      </c>
      <c r="P324" t="s">
        <v>74</v>
      </c>
      <c r="Q324" t="s">
        <v>74</v>
      </c>
      <c r="R324" t="s">
        <v>74</v>
      </c>
      <c r="S324" t="s">
        <v>74</v>
      </c>
      <c r="T324" t="s">
        <v>74</v>
      </c>
      <c r="U324" t="s">
        <v>6189</v>
      </c>
      <c r="V324" t="s">
        <v>6190</v>
      </c>
      <c r="W324" t="s">
        <v>6191</v>
      </c>
      <c r="X324" t="s">
        <v>6192</v>
      </c>
      <c r="Y324" t="s">
        <v>6193</v>
      </c>
      <c r="Z324" t="s">
        <v>6194</v>
      </c>
      <c r="AA324" t="s">
        <v>74</v>
      </c>
      <c r="AB324" t="s">
        <v>6195</v>
      </c>
      <c r="AC324" t="s">
        <v>6196</v>
      </c>
      <c r="AD324" t="s">
        <v>6197</v>
      </c>
      <c r="AE324" t="s">
        <v>6198</v>
      </c>
      <c r="AF324" t="s">
        <v>74</v>
      </c>
      <c r="AG324">
        <v>18</v>
      </c>
      <c r="AH324">
        <v>16</v>
      </c>
      <c r="AI324">
        <v>20</v>
      </c>
      <c r="AJ324">
        <v>0</v>
      </c>
      <c r="AK324">
        <v>10</v>
      </c>
      <c r="AL324" t="s">
        <v>1498</v>
      </c>
      <c r="AM324" t="s">
        <v>985</v>
      </c>
      <c r="AN324" t="s">
        <v>1499</v>
      </c>
      <c r="AO324" t="s">
        <v>6066</v>
      </c>
      <c r="AP324" t="s">
        <v>74</v>
      </c>
      <c r="AQ324" t="s">
        <v>74</v>
      </c>
      <c r="AR324" t="s">
        <v>6068</v>
      </c>
      <c r="AS324" t="s">
        <v>6069</v>
      </c>
      <c r="AT324" t="s">
        <v>6199</v>
      </c>
      <c r="AU324">
        <v>2011</v>
      </c>
      <c r="AV324">
        <v>38</v>
      </c>
      <c r="AW324" t="s">
        <v>74</v>
      </c>
      <c r="AX324" t="s">
        <v>74</v>
      </c>
      <c r="AY324" t="s">
        <v>74</v>
      </c>
      <c r="AZ324" t="s">
        <v>74</v>
      </c>
      <c r="BA324" t="s">
        <v>74</v>
      </c>
      <c r="BB324" t="s">
        <v>74</v>
      </c>
      <c r="BC324" t="s">
        <v>74</v>
      </c>
      <c r="BD324" t="s">
        <v>6200</v>
      </c>
      <c r="BE324" t="s">
        <v>6201</v>
      </c>
      <c r="BF324" t="str">
        <f>HYPERLINK("http://dx.doi.org/10.1029/2011GL049970","http://dx.doi.org/10.1029/2011GL049970")</f>
        <v>http://dx.doi.org/10.1029/2011GL049970</v>
      </c>
      <c r="BG324" t="s">
        <v>74</v>
      </c>
      <c r="BH324" t="s">
        <v>74</v>
      </c>
      <c r="BI324">
        <v>5</v>
      </c>
      <c r="BJ324" t="s">
        <v>287</v>
      </c>
      <c r="BK324" t="s">
        <v>100</v>
      </c>
      <c r="BL324" t="s">
        <v>288</v>
      </c>
      <c r="BM324" t="s">
        <v>6202</v>
      </c>
      <c r="BN324" t="s">
        <v>74</v>
      </c>
      <c r="BO324" t="s">
        <v>365</v>
      </c>
      <c r="BP324" t="s">
        <v>74</v>
      </c>
      <c r="BQ324" t="s">
        <v>74</v>
      </c>
      <c r="BR324" t="s">
        <v>102</v>
      </c>
      <c r="BS324" t="s">
        <v>6203</v>
      </c>
      <c r="BT324" t="str">
        <f>HYPERLINK("https%3A%2F%2Fwww.webofscience.com%2Fwos%2Fwoscc%2Ffull-record%2FWOS:000298759400004","View Full Record in Web of Science")</f>
        <v>View Full Record in Web of Science</v>
      </c>
    </row>
    <row r="325" spans="1:72" x14ac:dyDescent="0.15">
      <c r="A325" t="s">
        <v>72</v>
      </c>
      <c r="B325" t="s">
        <v>6204</v>
      </c>
      <c r="C325" t="s">
        <v>74</v>
      </c>
      <c r="D325" t="s">
        <v>74</v>
      </c>
      <c r="E325" t="s">
        <v>74</v>
      </c>
      <c r="F325" t="s">
        <v>6205</v>
      </c>
      <c r="G325" t="s">
        <v>74</v>
      </c>
      <c r="H325" t="s">
        <v>74</v>
      </c>
      <c r="I325" t="s">
        <v>6206</v>
      </c>
      <c r="J325" t="s">
        <v>6055</v>
      </c>
      <c r="K325" t="s">
        <v>74</v>
      </c>
      <c r="L325" t="s">
        <v>74</v>
      </c>
      <c r="M325" t="s">
        <v>78</v>
      </c>
      <c r="N325" t="s">
        <v>79</v>
      </c>
      <c r="O325" t="s">
        <v>74</v>
      </c>
      <c r="P325" t="s">
        <v>74</v>
      </c>
      <c r="Q325" t="s">
        <v>74</v>
      </c>
      <c r="R325" t="s">
        <v>74</v>
      </c>
      <c r="S325" t="s">
        <v>74</v>
      </c>
      <c r="T325" t="s">
        <v>74</v>
      </c>
      <c r="U325" t="s">
        <v>6207</v>
      </c>
      <c r="V325" t="s">
        <v>6208</v>
      </c>
      <c r="W325" t="s">
        <v>6209</v>
      </c>
      <c r="X325" t="s">
        <v>6210</v>
      </c>
      <c r="Y325" t="s">
        <v>6211</v>
      </c>
      <c r="Z325" t="s">
        <v>6212</v>
      </c>
      <c r="AA325" t="s">
        <v>6213</v>
      </c>
      <c r="AB325" t="s">
        <v>6214</v>
      </c>
      <c r="AC325" t="s">
        <v>6215</v>
      </c>
      <c r="AD325" t="s">
        <v>6216</v>
      </c>
      <c r="AE325" t="s">
        <v>6217</v>
      </c>
      <c r="AF325" t="s">
        <v>74</v>
      </c>
      <c r="AG325">
        <v>16</v>
      </c>
      <c r="AH325">
        <v>47</v>
      </c>
      <c r="AI325">
        <v>51</v>
      </c>
      <c r="AJ325">
        <v>0</v>
      </c>
      <c r="AK325">
        <v>6</v>
      </c>
      <c r="AL325" t="s">
        <v>1498</v>
      </c>
      <c r="AM325" t="s">
        <v>985</v>
      </c>
      <c r="AN325" t="s">
        <v>1499</v>
      </c>
      <c r="AO325" t="s">
        <v>6066</v>
      </c>
      <c r="AP325" t="s">
        <v>6067</v>
      </c>
      <c r="AQ325" t="s">
        <v>74</v>
      </c>
      <c r="AR325" t="s">
        <v>6068</v>
      </c>
      <c r="AS325" t="s">
        <v>6069</v>
      </c>
      <c r="AT325" t="s">
        <v>6199</v>
      </c>
      <c r="AU325">
        <v>2011</v>
      </c>
      <c r="AV325">
        <v>38</v>
      </c>
      <c r="AW325" t="s">
        <v>74</v>
      </c>
      <c r="AX325" t="s">
        <v>74</v>
      </c>
      <c r="AY325" t="s">
        <v>74</v>
      </c>
      <c r="AZ325" t="s">
        <v>74</v>
      </c>
      <c r="BA325" t="s">
        <v>74</v>
      </c>
      <c r="BB325" t="s">
        <v>74</v>
      </c>
      <c r="BC325" t="s">
        <v>74</v>
      </c>
      <c r="BD325" t="s">
        <v>6218</v>
      </c>
      <c r="BE325" t="s">
        <v>6219</v>
      </c>
      <c r="BF325" t="str">
        <f>HYPERLINK("http://dx.doi.org/10.1029/2011GL050045","http://dx.doi.org/10.1029/2011GL050045")</f>
        <v>http://dx.doi.org/10.1029/2011GL050045</v>
      </c>
      <c r="BG325" t="s">
        <v>74</v>
      </c>
      <c r="BH325" t="s">
        <v>74</v>
      </c>
      <c r="BI325">
        <v>4</v>
      </c>
      <c r="BJ325" t="s">
        <v>287</v>
      </c>
      <c r="BK325" t="s">
        <v>100</v>
      </c>
      <c r="BL325" t="s">
        <v>288</v>
      </c>
      <c r="BM325" t="s">
        <v>6202</v>
      </c>
      <c r="BN325" t="s">
        <v>74</v>
      </c>
      <c r="BO325" t="s">
        <v>365</v>
      </c>
      <c r="BP325" t="s">
        <v>74</v>
      </c>
      <c r="BQ325" t="s">
        <v>74</v>
      </c>
      <c r="BR325" t="s">
        <v>102</v>
      </c>
      <c r="BS325" t="s">
        <v>6220</v>
      </c>
      <c r="BT325" t="str">
        <f>HYPERLINK("https%3A%2F%2Fwww.webofscience.com%2Fwos%2Fwoscc%2Ffull-record%2FWOS:000298759400005","View Full Record in Web of Science")</f>
        <v>View Full Record in Web of Science</v>
      </c>
    </row>
    <row r="326" spans="1:72" x14ac:dyDescent="0.15">
      <c r="A326" t="s">
        <v>72</v>
      </c>
      <c r="B326" t="s">
        <v>6221</v>
      </c>
      <c r="C326" t="s">
        <v>74</v>
      </c>
      <c r="D326" t="s">
        <v>74</v>
      </c>
      <c r="E326" t="s">
        <v>74</v>
      </c>
      <c r="F326" t="s">
        <v>6222</v>
      </c>
      <c r="G326" t="s">
        <v>74</v>
      </c>
      <c r="H326" t="s">
        <v>74</v>
      </c>
      <c r="I326" t="s">
        <v>6223</v>
      </c>
      <c r="J326" t="s">
        <v>6224</v>
      </c>
      <c r="K326" t="s">
        <v>74</v>
      </c>
      <c r="L326" t="s">
        <v>74</v>
      </c>
      <c r="M326" t="s">
        <v>78</v>
      </c>
      <c r="N326" t="s">
        <v>79</v>
      </c>
      <c r="O326" t="s">
        <v>74</v>
      </c>
      <c r="P326" t="s">
        <v>74</v>
      </c>
      <c r="Q326" t="s">
        <v>74</v>
      </c>
      <c r="R326" t="s">
        <v>74</v>
      </c>
      <c r="S326" t="s">
        <v>74</v>
      </c>
      <c r="T326" t="s">
        <v>74</v>
      </c>
      <c r="U326" t="s">
        <v>6225</v>
      </c>
      <c r="V326" t="s">
        <v>6226</v>
      </c>
      <c r="W326" t="s">
        <v>6227</v>
      </c>
      <c r="X326" t="s">
        <v>6228</v>
      </c>
      <c r="Y326" t="s">
        <v>6229</v>
      </c>
      <c r="Z326" t="s">
        <v>6230</v>
      </c>
      <c r="AA326" t="s">
        <v>6231</v>
      </c>
      <c r="AB326" t="s">
        <v>6232</v>
      </c>
      <c r="AC326" t="s">
        <v>6233</v>
      </c>
      <c r="AD326" t="s">
        <v>6234</v>
      </c>
      <c r="AE326" t="s">
        <v>6235</v>
      </c>
      <c r="AF326" t="s">
        <v>74</v>
      </c>
      <c r="AG326">
        <v>73</v>
      </c>
      <c r="AH326">
        <v>61</v>
      </c>
      <c r="AI326">
        <v>67</v>
      </c>
      <c r="AJ326">
        <v>6</v>
      </c>
      <c r="AK326">
        <v>100</v>
      </c>
      <c r="AL326" t="s">
        <v>1498</v>
      </c>
      <c r="AM326" t="s">
        <v>985</v>
      </c>
      <c r="AN326" t="s">
        <v>1499</v>
      </c>
      <c r="AO326" t="s">
        <v>6236</v>
      </c>
      <c r="AP326" t="s">
        <v>6237</v>
      </c>
      <c r="AQ326" t="s">
        <v>74</v>
      </c>
      <c r="AR326" t="s">
        <v>6238</v>
      </c>
      <c r="AS326" t="s">
        <v>6239</v>
      </c>
      <c r="AT326" t="s">
        <v>6240</v>
      </c>
      <c r="AU326">
        <v>2011</v>
      </c>
      <c r="AV326">
        <v>116</v>
      </c>
      <c r="AW326" t="s">
        <v>74</v>
      </c>
      <c r="AX326" t="s">
        <v>74</v>
      </c>
      <c r="AY326" t="s">
        <v>74</v>
      </c>
      <c r="AZ326" t="s">
        <v>74</v>
      </c>
      <c r="BA326" t="s">
        <v>74</v>
      </c>
      <c r="BB326" t="s">
        <v>74</v>
      </c>
      <c r="BC326" t="s">
        <v>74</v>
      </c>
      <c r="BD326" t="s">
        <v>6241</v>
      </c>
      <c r="BE326" t="s">
        <v>6242</v>
      </c>
      <c r="BF326" t="str">
        <f>HYPERLINK("http://dx.doi.org/10.1029/2011JD016643","http://dx.doi.org/10.1029/2011JD016643")</f>
        <v>http://dx.doi.org/10.1029/2011JD016643</v>
      </c>
      <c r="BG326" t="s">
        <v>74</v>
      </c>
      <c r="BH326" t="s">
        <v>74</v>
      </c>
      <c r="BI326">
        <v>12</v>
      </c>
      <c r="BJ326" t="s">
        <v>463</v>
      </c>
      <c r="BK326" t="s">
        <v>100</v>
      </c>
      <c r="BL326" t="s">
        <v>463</v>
      </c>
      <c r="BM326" t="s">
        <v>6243</v>
      </c>
      <c r="BN326" t="s">
        <v>74</v>
      </c>
      <c r="BO326" t="s">
        <v>74</v>
      </c>
      <c r="BP326" t="s">
        <v>74</v>
      </c>
      <c r="BQ326" t="s">
        <v>74</v>
      </c>
      <c r="BR326" t="s">
        <v>102</v>
      </c>
      <c r="BS326" t="s">
        <v>6244</v>
      </c>
      <c r="BT326" t="str">
        <f>HYPERLINK("https%3A%2F%2Fwww.webofscience.com%2Fwos%2Fwoscc%2Ffull-record%2FWOS:000298496000003","View Full Record in Web of Science")</f>
        <v>View Full Record in Web of Science</v>
      </c>
    </row>
    <row r="327" spans="1:72" x14ac:dyDescent="0.15">
      <c r="A327" t="s">
        <v>72</v>
      </c>
      <c r="B327" t="s">
        <v>6245</v>
      </c>
      <c r="C327" t="s">
        <v>74</v>
      </c>
      <c r="D327" t="s">
        <v>74</v>
      </c>
      <c r="E327" t="s">
        <v>74</v>
      </c>
      <c r="F327" t="s">
        <v>6246</v>
      </c>
      <c r="G327" t="s">
        <v>74</v>
      </c>
      <c r="H327" t="s">
        <v>74</v>
      </c>
      <c r="I327" t="s">
        <v>6247</v>
      </c>
      <c r="J327" t="s">
        <v>6124</v>
      </c>
      <c r="K327" t="s">
        <v>74</v>
      </c>
      <c r="L327" t="s">
        <v>74</v>
      </c>
      <c r="M327" t="s">
        <v>78</v>
      </c>
      <c r="N327" t="s">
        <v>79</v>
      </c>
      <c r="O327" t="s">
        <v>74</v>
      </c>
      <c r="P327" t="s">
        <v>74</v>
      </c>
      <c r="Q327" t="s">
        <v>74</v>
      </c>
      <c r="R327" t="s">
        <v>74</v>
      </c>
      <c r="S327" t="s">
        <v>74</v>
      </c>
      <c r="T327" t="s">
        <v>74</v>
      </c>
      <c r="U327" t="s">
        <v>6248</v>
      </c>
      <c r="V327" t="s">
        <v>6249</v>
      </c>
      <c r="W327" t="s">
        <v>6250</v>
      </c>
      <c r="X327" t="s">
        <v>6251</v>
      </c>
      <c r="Y327" t="s">
        <v>6252</v>
      </c>
      <c r="Z327" t="s">
        <v>6253</v>
      </c>
      <c r="AA327" t="s">
        <v>6254</v>
      </c>
      <c r="AB327" t="s">
        <v>6255</v>
      </c>
      <c r="AC327" t="s">
        <v>6256</v>
      </c>
      <c r="AD327" t="s">
        <v>6257</v>
      </c>
      <c r="AE327" t="s">
        <v>6258</v>
      </c>
      <c r="AF327" t="s">
        <v>74</v>
      </c>
      <c r="AG327">
        <v>75</v>
      </c>
      <c r="AH327">
        <v>53</v>
      </c>
      <c r="AI327">
        <v>58</v>
      </c>
      <c r="AJ327">
        <v>1</v>
      </c>
      <c r="AK327">
        <v>32</v>
      </c>
      <c r="AL327" t="s">
        <v>1498</v>
      </c>
      <c r="AM327" t="s">
        <v>985</v>
      </c>
      <c r="AN327" t="s">
        <v>1499</v>
      </c>
      <c r="AO327" t="s">
        <v>6136</v>
      </c>
      <c r="AP327" t="s">
        <v>6137</v>
      </c>
      <c r="AQ327" t="s">
        <v>74</v>
      </c>
      <c r="AR327" t="s">
        <v>6138</v>
      </c>
      <c r="AS327" t="s">
        <v>6139</v>
      </c>
      <c r="AT327" t="s">
        <v>6240</v>
      </c>
      <c r="AU327">
        <v>2011</v>
      </c>
      <c r="AV327">
        <v>116</v>
      </c>
      <c r="AW327" t="s">
        <v>74</v>
      </c>
      <c r="AX327" t="s">
        <v>74</v>
      </c>
      <c r="AY327" t="s">
        <v>74</v>
      </c>
      <c r="AZ327" t="s">
        <v>74</v>
      </c>
      <c r="BA327" t="s">
        <v>74</v>
      </c>
      <c r="BB327" t="s">
        <v>74</v>
      </c>
      <c r="BC327" t="s">
        <v>74</v>
      </c>
      <c r="BD327" t="s">
        <v>6259</v>
      </c>
      <c r="BE327" t="s">
        <v>6260</v>
      </c>
      <c r="BF327" t="str">
        <f>HYPERLINK("http://dx.doi.org/10.1029/2010JC006844","http://dx.doi.org/10.1029/2010JC006844")</f>
        <v>http://dx.doi.org/10.1029/2010JC006844</v>
      </c>
      <c r="BG327" t="s">
        <v>74</v>
      </c>
      <c r="BH327" t="s">
        <v>74</v>
      </c>
      <c r="BI327">
        <v>18</v>
      </c>
      <c r="BJ327" t="s">
        <v>496</v>
      </c>
      <c r="BK327" t="s">
        <v>100</v>
      </c>
      <c r="BL327" t="s">
        <v>496</v>
      </c>
      <c r="BM327" t="s">
        <v>6261</v>
      </c>
      <c r="BN327" t="s">
        <v>74</v>
      </c>
      <c r="BO327" t="s">
        <v>6262</v>
      </c>
      <c r="BP327" t="s">
        <v>74</v>
      </c>
      <c r="BQ327" t="s">
        <v>74</v>
      </c>
      <c r="BR327" t="s">
        <v>102</v>
      </c>
      <c r="BS327" t="s">
        <v>6263</v>
      </c>
      <c r="BT327" t="str">
        <f>HYPERLINK("https%3A%2F%2Fwww.webofscience.com%2Fwos%2Fwoscc%2Ffull-record%2FWOS:000298545800001","View Full Record in Web of Science")</f>
        <v>View Full Record in Web of Science</v>
      </c>
    </row>
    <row r="328" spans="1:72" x14ac:dyDescent="0.15">
      <c r="A328" t="s">
        <v>72</v>
      </c>
      <c r="B328" t="s">
        <v>6264</v>
      </c>
      <c r="C328" t="s">
        <v>74</v>
      </c>
      <c r="D328" t="s">
        <v>74</v>
      </c>
      <c r="E328" t="s">
        <v>74</v>
      </c>
      <c r="F328" t="s">
        <v>6265</v>
      </c>
      <c r="G328" t="s">
        <v>74</v>
      </c>
      <c r="H328" t="s">
        <v>74</v>
      </c>
      <c r="I328" t="s">
        <v>6266</v>
      </c>
      <c r="J328" t="s">
        <v>6267</v>
      </c>
      <c r="K328" t="s">
        <v>74</v>
      </c>
      <c r="L328" t="s">
        <v>74</v>
      </c>
      <c r="M328" t="s">
        <v>78</v>
      </c>
      <c r="N328" t="s">
        <v>79</v>
      </c>
      <c r="O328" t="s">
        <v>74</v>
      </c>
      <c r="P328" t="s">
        <v>74</v>
      </c>
      <c r="Q328" t="s">
        <v>74</v>
      </c>
      <c r="R328" t="s">
        <v>74</v>
      </c>
      <c r="S328" t="s">
        <v>74</v>
      </c>
      <c r="T328" t="s">
        <v>6268</v>
      </c>
      <c r="U328" t="s">
        <v>6269</v>
      </c>
      <c r="V328" t="s">
        <v>6270</v>
      </c>
      <c r="W328" t="s">
        <v>6271</v>
      </c>
      <c r="X328" t="s">
        <v>6272</v>
      </c>
      <c r="Y328" t="s">
        <v>6273</v>
      </c>
      <c r="Z328" t="s">
        <v>74</v>
      </c>
      <c r="AA328" t="s">
        <v>6274</v>
      </c>
      <c r="AB328" t="s">
        <v>6275</v>
      </c>
      <c r="AC328" t="s">
        <v>6276</v>
      </c>
      <c r="AD328" t="s">
        <v>6277</v>
      </c>
      <c r="AE328" t="s">
        <v>6278</v>
      </c>
      <c r="AF328" t="s">
        <v>74</v>
      </c>
      <c r="AG328">
        <v>27</v>
      </c>
      <c r="AH328">
        <v>83</v>
      </c>
      <c r="AI328">
        <v>102</v>
      </c>
      <c r="AJ328">
        <v>3</v>
      </c>
      <c r="AK328">
        <v>90</v>
      </c>
      <c r="AL328" t="s">
        <v>6279</v>
      </c>
      <c r="AM328" t="s">
        <v>221</v>
      </c>
      <c r="AN328" t="s">
        <v>6280</v>
      </c>
      <c r="AO328" t="s">
        <v>6281</v>
      </c>
      <c r="AP328" t="s">
        <v>74</v>
      </c>
      <c r="AQ328" t="s">
        <v>74</v>
      </c>
      <c r="AR328" t="s">
        <v>6282</v>
      </c>
      <c r="AS328" t="s">
        <v>6283</v>
      </c>
      <c r="AT328" t="s">
        <v>6240</v>
      </c>
      <c r="AU328">
        <v>2011</v>
      </c>
      <c r="AV328">
        <v>7</v>
      </c>
      <c r="AW328">
        <v>6</v>
      </c>
      <c r="AX328" t="s">
        <v>74</v>
      </c>
      <c r="AY328" t="s">
        <v>74</v>
      </c>
      <c r="AZ328" t="s">
        <v>74</v>
      </c>
      <c r="BA328" t="s">
        <v>74</v>
      </c>
      <c r="BB328">
        <v>833</v>
      </c>
      <c r="BC328">
        <v>835</v>
      </c>
      <c r="BD328" t="s">
        <v>74</v>
      </c>
      <c r="BE328" t="s">
        <v>6284</v>
      </c>
      <c r="BF328" t="str">
        <f>HYPERLINK("http://dx.doi.org/10.1098/rsbl.2011.0343","http://dx.doi.org/10.1098/rsbl.2011.0343")</f>
        <v>http://dx.doi.org/10.1098/rsbl.2011.0343</v>
      </c>
      <c r="BG328" t="s">
        <v>74</v>
      </c>
      <c r="BH328" t="s">
        <v>74</v>
      </c>
      <c r="BI328">
        <v>3</v>
      </c>
      <c r="BJ328" t="s">
        <v>6285</v>
      </c>
      <c r="BK328" t="s">
        <v>100</v>
      </c>
      <c r="BL328" t="s">
        <v>6286</v>
      </c>
      <c r="BM328" t="s">
        <v>6287</v>
      </c>
      <c r="BN328">
        <v>21613283</v>
      </c>
      <c r="BO328" t="s">
        <v>342</v>
      </c>
      <c r="BP328" t="s">
        <v>74</v>
      </c>
      <c r="BQ328" t="s">
        <v>74</v>
      </c>
      <c r="BR328" t="s">
        <v>102</v>
      </c>
      <c r="BS328" t="s">
        <v>6288</v>
      </c>
      <c r="BT328" t="str">
        <f>HYPERLINK("https%3A%2F%2Fwww.webofscience.com%2Fwos%2Fwoscc%2Ffull-record%2FWOS:000296890900010","View Full Record in Web of Science")</f>
        <v>View Full Record in Web of Science</v>
      </c>
    </row>
    <row r="329" spans="1:72" x14ac:dyDescent="0.15">
      <c r="A329" t="s">
        <v>72</v>
      </c>
      <c r="B329" t="s">
        <v>6289</v>
      </c>
      <c r="C329" t="s">
        <v>74</v>
      </c>
      <c r="D329" t="s">
        <v>74</v>
      </c>
      <c r="E329" t="s">
        <v>74</v>
      </c>
      <c r="F329" t="s">
        <v>6290</v>
      </c>
      <c r="G329" t="s">
        <v>74</v>
      </c>
      <c r="H329" t="s">
        <v>74</v>
      </c>
      <c r="I329" t="s">
        <v>6291</v>
      </c>
      <c r="J329" t="s">
        <v>6292</v>
      </c>
      <c r="K329" t="s">
        <v>74</v>
      </c>
      <c r="L329" t="s">
        <v>74</v>
      </c>
      <c r="M329" t="s">
        <v>78</v>
      </c>
      <c r="N329" t="s">
        <v>79</v>
      </c>
      <c r="O329" t="s">
        <v>74</v>
      </c>
      <c r="P329" t="s">
        <v>74</v>
      </c>
      <c r="Q329" t="s">
        <v>74</v>
      </c>
      <c r="R329" t="s">
        <v>74</v>
      </c>
      <c r="S329" t="s">
        <v>74</v>
      </c>
      <c r="T329" t="s">
        <v>74</v>
      </c>
      <c r="U329" t="s">
        <v>6293</v>
      </c>
      <c r="V329" t="s">
        <v>6294</v>
      </c>
      <c r="W329" t="s">
        <v>6295</v>
      </c>
      <c r="X329" t="s">
        <v>6296</v>
      </c>
      <c r="Y329" t="s">
        <v>6297</v>
      </c>
      <c r="Z329" t="s">
        <v>6298</v>
      </c>
      <c r="AA329" t="s">
        <v>6299</v>
      </c>
      <c r="AB329" t="s">
        <v>6300</v>
      </c>
      <c r="AC329" t="s">
        <v>6301</v>
      </c>
      <c r="AD329" t="s">
        <v>6302</v>
      </c>
      <c r="AE329" t="s">
        <v>6303</v>
      </c>
      <c r="AF329" t="s">
        <v>74</v>
      </c>
      <c r="AG329">
        <v>29</v>
      </c>
      <c r="AH329">
        <v>523</v>
      </c>
      <c r="AI329">
        <v>579</v>
      </c>
      <c r="AJ329">
        <v>5</v>
      </c>
      <c r="AK329">
        <v>297</v>
      </c>
      <c r="AL329" t="s">
        <v>6304</v>
      </c>
      <c r="AM329" t="s">
        <v>985</v>
      </c>
      <c r="AN329" t="s">
        <v>6305</v>
      </c>
      <c r="AO329" t="s">
        <v>6306</v>
      </c>
      <c r="AP329" t="s">
        <v>6307</v>
      </c>
      <c r="AQ329" t="s">
        <v>74</v>
      </c>
      <c r="AR329" t="s">
        <v>6292</v>
      </c>
      <c r="AS329" t="s">
        <v>6308</v>
      </c>
      <c r="AT329" t="s">
        <v>6240</v>
      </c>
      <c r="AU329">
        <v>2011</v>
      </c>
      <c r="AV329">
        <v>334</v>
      </c>
      <c r="AW329">
        <v>6063</v>
      </c>
      <c r="AX329" t="s">
        <v>74</v>
      </c>
      <c r="AY329" t="s">
        <v>74</v>
      </c>
      <c r="AZ329" t="s">
        <v>74</v>
      </c>
      <c r="BA329" t="s">
        <v>74</v>
      </c>
      <c r="BB329">
        <v>1703</v>
      </c>
      <c r="BC329">
        <v>1706</v>
      </c>
      <c r="BD329" t="s">
        <v>74</v>
      </c>
      <c r="BE329" t="s">
        <v>6309</v>
      </c>
      <c r="BF329" t="str">
        <f>HYPERLINK("http://dx.doi.org/10.1126/science.1212928","http://dx.doi.org/10.1126/science.1212928")</f>
        <v>http://dx.doi.org/10.1126/science.1212928</v>
      </c>
      <c r="BG329" t="s">
        <v>74</v>
      </c>
      <c r="BH329" t="s">
        <v>74</v>
      </c>
      <c r="BI329">
        <v>4</v>
      </c>
      <c r="BJ329" t="s">
        <v>6182</v>
      </c>
      <c r="BK329" t="s">
        <v>100</v>
      </c>
      <c r="BL329" t="s">
        <v>6183</v>
      </c>
      <c r="BM329" t="s">
        <v>6310</v>
      </c>
      <c r="BN329">
        <v>22194577</v>
      </c>
      <c r="BO329" t="s">
        <v>342</v>
      </c>
      <c r="BP329" t="s">
        <v>74</v>
      </c>
      <c r="BQ329" t="s">
        <v>74</v>
      </c>
      <c r="BR329" t="s">
        <v>102</v>
      </c>
      <c r="BS329" t="s">
        <v>6311</v>
      </c>
      <c r="BT329" t="str">
        <f>HYPERLINK("https%3A%2F%2Fwww.webofscience.com%2Fwos%2Fwoscc%2Ffull-record%2FWOS:000298344000067","View Full Record in Web of Science")</f>
        <v>View Full Record in Web of Science</v>
      </c>
    </row>
    <row r="330" spans="1:72" x14ac:dyDescent="0.15">
      <c r="A330" t="s">
        <v>72</v>
      </c>
      <c r="B330" t="s">
        <v>6312</v>
      </c>
      <c r="C330" t="s">
        <v>74</v>
      </c>
      <c r="D330" t="s">
        <v>74</v>
      </c>
      <c r="E330" t="s">
        <v>74</v>
      </c>
      <c r="F330" t="s">
        <v>6313</v>
      </c>
      <c r="G330" t="s">
        <v>74</v>
      </c>
      <c r="H330" t="s">
        <v>74</v>
      </c>
      <c r="I330" t="s">
        <v>6314</v>
      </c>
      <c r="J330" t="s">
        <v>6224</v>
      </c>
      <c r="K330" t="s">
        <v>74</v>
      </c>
      <c r="L330" t="s">
        <v>74</v>
      </c>
      <c r="M330" t="s">
        <v>78</v>
      </c>
      <c r="N330" t="s">
        <v>79</v>
      </c>
      <c r="O330" t="s">
        <v>74</v>
      </c>
      <c r="P330" t="s">
        <v>74</v>
      </c>
      <c r="Q330" t="s">
        <v>74</v>
      </c>
      <c r="R330" t="s">
        <v>74</v>
      </c>
      <c r="S330" t="s">
        <v>74</v>
      </c>
      <c r="T330" t="s">
        <v>74</v>
      </c>
      <c r="U330" t="s">
        <v>6315</v>
      </c>
      <c r="V330" t="s">
        <v>6316</v>
      </c>
      <c r="W330" t="s">
        <v>6317</v>
      </c>
      <c r="X330" t="s">
        <v>6318</v>
      </c>
      <c r="Y330" t="s">
        <v>6319</v>
      </c>
      <c r="Z330" t="s">
        <v>6320</v>
      </c>
      <c r="AA330" t="s">
        <v>6321</v>
      </c>
      <c r="AB330" t="s">
        <v>6322</v>
      </c>
      <c r="AC330" t="s">
        <v>74</v>
      </c>
      <c r="AD330" t="s">
        <v>74</v>
      </c>
      <c r="AE330" t="s">
        <v>74</v>
      </c>
      <c r="AF330" t="s">
        <v>74</v>
      </c>
      <c r="AG330">
        <v>87</v>
      </c>
      <c r="AH330">
        <v>96</v>
      </c>
      <c r="AI330">
        <v>101</v>
      </c>
      <c r="AJ330">
        <v>8</v>
      </c>
      <c r="AK330">
        <v>55</v>
      </c>
      <c r="AL330" t="s">
        <v>1498</v>
      </c>
      <c r="AM330" t="s">
        <v>985</v>
      </c>
      <c r="AN330" t="s">
        <v>1499</v>
      </c>
      <c r="AO330" t="s">
        <v>6236</v>
      </c>
      <c r="AP330" t="s">
        <v>6237</v>
      </c>
      <c r="AQ330" t="s">
        <v>74</v>
      </c>
      <c r="AR330" t="s">
        <v>6238</v>
      </c>
      <c r="AS330" t="s">
        <v>6239</v>
      </c>
      <c r="AT330" t="s">
        <v>6323</v>
      </c>
      <c r="AU330">
        <v>2011</v>
      </c>
      <c r="AV330">
        <v>116</v>
      </c>
      <c r="AW330" t="s">
        <v>74</v>
      </c>
      <c r="AX330" t="s">
        <v>74</v>
      </c>
      <c r="AY330" t="s">
        <v>74</v>
      </c>
      <c r="AZ330" t="s">
        <v>74</v>
      </c>
      <c r="BA330" t="s">
        <v>74</v>
      </c>
      <c r="BB330" t="s">
        <v>74</v>
      </c>
      <c r="BC330" t="s">
        <v>74</v>
      </c>
      <c r="BD330" t="s">
        <v>6324</v>
      </c>
      <c r="BE330" t="s">
        <v>6325</v>
      </c>
      <c r="BF330" t="str">
        <f>HYPERLINK("http://dx.doi.org/10.1029/2011JD016722","http://dx.doi.org/10.1029/2011JD016722")</f>
        <v>http://dx.doi.org/10.1029/2011JD016722</v>
      </c>
      <c r="BG330" t="s">
        <v>74</v>
      </c>
      <c r="BH330" t="s">
        <v>74</v>
      </c>
      <c r="BI330">
        <v>15</v>
      </c>
      <c r="BJ330" t="s">
        <v>463</v>
      </c>
      <c r="BK330" t="s">
        <v>100</v>
      </c>
      <c r="BL330" t="s">
        <v>463</v>
      </c>
      <c r="BM330" t="s">
        <v>6326</v>
      </c>
      <c r="BN330" t="s">
        <v>74</v>
      </c>
      <c r="BO330" t="s">
        <v>365</v>
      </c>
      <c r="BP330" t="s">
        <v>74</v>
      </c>
      <c r="BQ330" t="s">
        <v>74</v>
      </c>
      <c r="BR330" t="s">
        <v>102</v>
      </c>
      <c r="BS330" t="s">
        <v>6327</v>
      </c>
      <c r="BT330" t="str">
        <f>HYPERLINK("https%3A%2F%2Fwww.webofscience.com%2Fwos%2Fwoscc%2Ffull-record%2FWOS:000298495700006","View Full Record in Web of Science")</f>
        <v>View Full Record in Web of Science</v>
      </c>
    </row>
    <row r="331" spans="1:72" x14ac:dyDescent="0.15">
      <c r="A331" t="s">
        <v>72</v>
      </c>
      <c r="B331" t="s">
        <v>6328</v>
      </c>
      <c r="C331" t="s">
        <v>74</v>
      </c>
      <c r="D331" t="s">
        <v>74</v>
      </c>
      <c r="E331" t="s">
        <v>74</v>
      </c>
      <c r="F331" t="s">
        <v>6329</v>
      </c>
      <c r="G331" t="s">
        <v>74</v>
      </c>
      <c r="H331" t="s">
        <v>74</v>
      </c>
      <c r="I331" t="s">
        <v>6330</v>
      </c>
      <c r="J331" t="s">
        <v>6055</v>
      </c>
      <c r="K331" t="s">
        <v>74</v>
      </c>
      <c r="L331" t="s">
        <v>74</v>
      </c>
      <c r="M331" t="s">
        <v>78</v>
      </c>
      <c r="N331" t="s">
        <v>79</v>
      </c>
      <c r="O331" t="s">
        <v>74</v>
      </c>
      <c r="P331" t="s">
        <v>74</v>
      </c>
      <c r="Q331" t="s">
        <v>74</v>
      </c>
      <c r="R331" t="s">
        <v>74</v>
      </c>
      <c r="S331" t="s">
        <v>74</v>
      </c>
      <c r="T331" t="s">
        <v>74</v>
      </c>
      <c r="U331" t="s">
        <v>6331</v>
      </c>
      <c r="V331" t="s">
        <v>6332</v>
      </c>
      <c r="W331" t="s">
        <v>6333</v>
      </c>
      <c r="X331" t="s">
        <v>6334</v>
      </c>
      <c r="Y331" t="s">
        <v>6335</v>
      </c>
      <c r="Z331" t="s">
        <v>6336</v>
      </c>
      <c r="AA331" t="s">
        <v>6337</v>
      </c>
      <c r="AB331" t="s">
        <v>6338</v>
      </c>
      <c r="AC331" t="s">
        <v>6339</v>
      </c>
      <c r="AD331" t="s">
        <v>6340</v>
      </c>
      <c r="AE331" t="s">
        <v>6341</v>
      </c>
      <c r="AF331" t="s">
        <v>74</v>
      </c>
      <c r="AG331">
        <v>36</v>
      </c>
      <c r="AH331">
        <v>17</v>
      </c>
      <c r="AI331">
        <v>18</v>
      </c>
      <c r="AJ331">
        <v>0</v>
      </c>
      <c r="AK331">
        <v>18</v>
      </c>
      <c r="AL331" t="s">
        <v>1498</v>
      </c>
      <c r="AM331" t="s">
        <v>985</v>
      </c>
      <c r="AN331" t="s">
        <v>1499</v>
      </c>
      <c r="AO331" t="s">
        <v>6066</v>
      </c>
      <c r="AP331" t="s">
        <v>6067</v>
      </c>
      <c r="AQ331" t="s">
        <v>74</v>
      </c>
      <c r="AR331" t="s">
        <v>6068</v>
      </c>
      <c r="AS331" t="s">
        <v>6069</v>
      </c>
      <c r="AT331" t="s">
        <v>6323</v>
      </c>
      <c r="AU331">
        <v>2011</v>
      </c>
      <c r="AV331">
        <v>38</v>
      </c>
      <c r="AW331" t="s">
        <v>74</v>
      </c>
      <c r="AX331" t="s">
        <v>74</v>
      </c>
      <c r="AY331" t="s">
        <v>74</v>
      </c>
      <c r="AZ331" t="s">
        <v>74</v>
      </c>
      <c r="BA331" t="s">
        <v>74</v>
      </c>
      <c r="BB331" t="s">
        <v>74</v>
      </c>
      <c r="BC331" t="s">
        <v>74</v>
      </c>
      <c r="BD331" t="s">
        <v>6342</v>
      </c>
      <c r="BE331" t="s">
        <v>6343</v>
      </c>
      <c r="BF331" t="str">
        <f>HYPERLINK("http://dx.doi.org/10.1029/2011GL049630","http://dx.doi.org/10.1029/2011GL049630")</f>
        <v>http://dx.doi.org/10.1029/2011GL049630</v>
      </c>
      <c r="BG331" t="s">
        <v>74</v>
      </c>
      <c r="BH331" t="s">
        <v>74</v>
      </c>
      <c r="BI331">
        <v>6</v>
      </c>
      <c r="BJ331" t="s">
        <v>287</v>
      </c>
      <c r="BK331" t="s">
        <v>100</v>
      </c>
      <c r="BL331" t="s">
        <v>288</v>
      </c>
      <c r="BM331" t="s">
        <v>6344</v>
      </c>
      <c r="BN331" t="s">
        <v>74</v>
      </c>
      <c r="BO331" t="s">
        <v>2679</v>
      </c>
      <c r="BP331" t="s">
        <v>74</v>
      </c>
      <c r="BQ331" t="s">
        <v>74</v>
      </c>
      <c r="BR331" t="s">
        <v>102</v>
      </c>
      <c r="BS331" t="s">
        <v>6345</v>
      </c>
      <c r="BT331" t="str">
        <f>HYPERLINK("https%3A%2F%2Fwww.webofscience.com%2Fwos%2Fwoscc%2Ffull-record%2FWOS:000298499000002","View Full Record in Web of Science")</f>
        <v>View Full Record in Web of Science</v>
      </c>
    </row>
    <row r="332" spans="1:72" x14ac:dyDescent="0.15">
      <c r="A332" t="s">
        <v>72</v>
      </c>
      <c r="B332" t="s">
        <v>6346</v>
      </c>
      <c r="C332" t="s">
        <v>74</v>
      </c>
      <c r="D332" t="s">
        <v>74</v>
      </c>
      <c r="E332" t="s">
        <v>74</v>
      </c>
      <c r="F332" t="s">
        <v>6347</v>
      </c>
      <c r="G332" t="s">
        <v>74</v>
      </c>
      <c r="H332" t="s">
        <v>74</v>
      </c>
      <c r="I332" t="s">
        <v>6348</v>
      </c>
      <c r="J332" t="s">
        <v>6349</v>
      </c>
      <c r="K332" t="s">
        <v>74</v>
      </c>
      <c r="L332" t="s">
        <v>74</v>
      </c>
      <c r="M332" t="s">
        <v>78</v>
      </c>
      <c r="N332" t="s">
        <v>79</v>
      </c>
      <c r="O332" t="s">
        <v>74</v>
      </c>
      <c r="P332" t="s">
        <v>74</v>
      </c>
      <c r="Q332" t="s">
        <v>74</v>
      </c>
      <c r="R332" t="s">
        <v>74</v>
      </c>
      <c r="S332" t="s">
        <v>74</v>
      </c>
      <c r="T332" t="s">
        <v>6350</v>
      </c>
      <c r="U332" t="s">
        <v>6351</v>
      </c>
      <c r="V332" t="s">
        <v>6352</v>
      </c>
      <c r="W332" t="s">
        <v>6353</v>
      </c>
      <c r="X332" t="s">
        <v>6354</v>
      </c>
      <c r="Y332" t="s">
        <v>6355</v>
      </c>
      <c r="Z332" t="s">
        <v>6356</v>
      </c>
      <c r="AA332" t="s">
        <v>6357</v>
      </c>
      <c r="AB332" t="s">
        <v>6358</v>
      </c>
      <c r="AC332" t="s">
        <v>6359</v>
      </c>
      <c r="AD332" t="s">
        <v>6360</v>
      </c>
      <c r="AE332" t="s">
        <v>6361</v>
      </c>
      <c r="AF332" t="s">
        <v>74</v>
      </c>
      <c r="AG332">
        <v>47</v>
      </c>
      <c r="AH332">
        <v>19</v>
      </c>
      <c r="AI332">
        <v>22</v>
      </c>
      <c r="AJ332">
        <v>1</v>
      </c>
      <c r="AK332">
        <v>25</v>
      </c>
      <c r="AL332" t="s">
        <v>333</v>
      </c>
      <c r="AM332" t="s">
        <v>334</v>
      </c>
      <c r="AN332" t="s">
        <v>335</v>
      </c>
      <c r="AO332" t="s">
        <v>6362</v>
      </c>
      <c r="AP332" t="s">
        <v>6363</v>
      </c>
      <c r="AQ332" t="s">
        <v>74</v>
      </c>
      <c r="AR332" t="s">
        <v>6349</v>
      </c>
      <c r="AS332" t="s">
        <v>6364</v>
      </c>
      <c r="AT332" t="s">
        <v>6365</v>
      </c>
      <c r="AU332">
        <v>2011</v>
      </c>
      <c r="AV332">
        <v>322</v>
      </c>
      <c r="AW332" t="s">
        <v>74</v>
      </c>
      <c r="AX332" t="s">
        <v>74</v>
      </c>
      <c r="AY332" t="s">
        <v>74</v>
      </c>
      <c r="AZ332" t="s">
        <v>74</v>
      </c>
      <c r="BA332" t="s">
        <v>74</v>
      </c>
      <c r="BB332">
        <v>65</v>
      </c>
      <c r="BC332">
        <v>73</v>
      </c>
      <c r="BD332" t="s">
        <v>74</v>
      </c>
      <c r="BE332" t="s">
        <v>6366</v>
      </c>
      <c r="BF332" t="str">
        <f>HYPERLINK("http://dx.doi.org/10.1016/j.aquaculture.2011.09.014","http://dx.doi.org/10.1016/j.aquaculture.2011.09.014")</f>
        <v>http://dx.doi.org/10.1016/j.aquaculture.2011.09.014</v>
      </c>
      <c r="BG332" t="s">
        <v>74</v>
      </c>
      <c r="BH332" t="s">
        <v>74</v>
      </c>
      <c r="BI332">
        <v>9</v>
      </c>
      <c r="BJ332" t="s">
        <v>4210</v>
      </c>
      <c r="BK332" t="s">
        <v>100</v>
      </c>
      <c r="BL332" t="s">
        <v>4210</v>
      </c>
      <c r="BM332" t="s">
        <v>6367</v>
      </c>
      <c r="BN332" t="s">
        <v>74</v>
      </c>
      <c r="BO332" t="s">
        <v>74</v>
      </c>
      <c r="BP332" t="s">
        <v>74</v>
      </c>
      <c r="BQ332" t="s">
        <v>74</v>
      </c>
      <c r="BR332" t="s">
        <v>102</v>
      </c>
      <c r="BS332" t="s">
        <v>6368</v>
      </c>
      <c r="BT332" t="str">
        <f>HYPERLINK("https%3A%2F%2Fwww.webofscience.com%2Fwos%2Fwoscc%2Ffull-record%2FWOS:000302314800009","View Full Record in Web of Science")</f>
        <v>View Full Record in Web of Science</v>
      </c>
    </row>
    <row r="333" spans="1:72" x14ac:dyDescent="0.15">
      <c r="A333" t="s">
        <v>72</v>
      </c>
      <c r="B333" t="s">
        <v>6369</v>
      </c>
      <c r="C333" t="s">
        <v>74</v>
      </c>
      <c r="D333" t="s">
        <v>74</v>
      </c>
      <c r="E333" t="s">
        <v>74</v>
      </c>
      <c r="F333" t="s">
        <v>6370</v>
      </c>
      <c r="G333" t="s">
        <v>74</v>
      </c>
      <c r="H333" t="s">
        <v>74</v>
      </c>
      <c r="I333" t="s">
        <v>6371</v>
      </c>
      <c r="J333" t="s">
        <v>6372</v>
      </c>
      <c r="K333" t="s">
        <v>74</v>
      </c>
      <c r="L333" t="s">
        <v>74</v>
      </c>
      <c r="M333" t="s">
        <v>78</v>
      </c>
      <c r="N333" t="s">
        <v>79</v>
      </c>
      <c r="O333" t="s">
        <v>74</v>
      </c>
      <c r="P333" t="s">
        <v>74</v>
      </c>
      <c r="Q333" t="s">
        <v>74</v>
      </c>
      <c r="R333" t="s">
        <v>74</v>
      </c>
      <c r="S333" t="s">
        <v>74</v>
      </c>
      <c r="T333" t="s">
        <v>74</v>
      </c>
      <c r="U333" t="s">
        <v>6373</v>
      </c>
      <c r="V333" t="s">
        <v>6374</v>
      </c>
      <c r="W333" t="s">
        <v>6375</v>
      </c>
      <c r="X333" t="s">
        <v>6376</v>
      </c>
      <c r="Y333" t="s">
        <v>6377</v>
      </c>
      <c r="Z333" t="s">
        <v>6378</v>
      </c>
      <c r="AA333" t="s">
        <v>6379</v>
      </c>
      <c r="AB333" t="s">
        <v>6380</v>
      </c>
      <c r="AC333" t="s">
        <v>6381</v>
      </c>
      <c r="AD333" t="s">
        <v>6381</v>
      </c>
      <c r="AE333" t="s">
        <v>6382</v>
      </c>
      <c r="AF333" t="s">
        <v>74</v>
      </c>
      <c r="AG333">
        <v>66</v>
      </c>
      <c r="AH333">
        <v>61</v>
      </c>
      <c r="AI333">
        <v>66</v>
      </c>
      <c r="AJ333">
        <v>0</v>
      </c>
      <c r="AK333">
        <v>16</v>
      </c>
      <c r="AL333" t="s">
        <v>1498</v>
      </c>
      <c r="AM333" t="s">
        <v>985</v>
      </c>
      <c r="AN333" t="s">
        <v>1499</v>
      </c>
      <c r="AO333" t="s">
        <v>74</v>
      </c>
      <c r="AP333" t="s">
        <v>6383</v>
      </c>
      <c r="AQ333" t="s">
        <v>74</v>
      </c>
      <c r="AR333" t="s">
        <v>6384</v>
      </c>
      <c r="AS333" t="s">
        <v>6385</v>
      </c>
      <c r="AT333" t="s">
        <v>6365</v>
      </c>
      <c r="AU333">
        <v>2011</v>
      </c>
      <c r="AV333">
        <v>25</v>
      </c>
      <c r="AW333" t="s">
        <v>74</v>
      </c>
      <c r="AX333" t="s">
        <v>74</v>
      </c>
      <c r="AY333" t="s">
        <v>74</v>
      </c>
      <c r="AZ333" t="s">
        <v>74</v>
      </c>
      <c r="BA333" t="s">
        <v>74</v>
      </c>
      <c r="BB333" t="s">
        <v>74</v>
      </c>
      <c r="BC333" t="s">
        <v>74</v>
      </c>
      <c r="BD333" t="s">
        <v>6386</v>
      </c>
      <c r="BE333" t="s">
        <v>6387</v>
      </c>
      <c r="BF333" t="str">
        <f>HYPERLINK("http://dx.doi.org/10.1029/2010GB003970","http://dx.doi.org/10.1029/2010GB003970")</f>
        <v>http://dx.doi.org/10.1029/2010GB003970</v>
      </c>
      <c r="BG333" t="s">
        <v>74</v>
      </c>
      <c r="BH333" t="s">
        <v>74</v>
      </c>
      <c r="BI333">
        <v>10</v>
      </c>
      <c r="BJ333" t="s">
        <v>6388</v>
      </c>
      <c r="BK333" t="s">
        <v>100</v>
      </c>
      <c r="BL333" t="s">
        <v>6389</v>
      </c>
      <c r="BM333" t="s">
        <v>6390</v>
      </c>
      <c r="BN333" t="s">
        <v>74</v>
      </c>
      <c r="BO333" t="s">
        <v>365</v>
      </c>
      <c r="BP333" t="s">
        <v>74</v>
      </c>
      <c r="BQ333" t="s">
        <v>74</v>
      </c>
      <c r="BR333" t="s">
        <v>102</v>
      </c>
      <c r="BS333" t="s">
        <v>6391</v>
      </c>
      <c r="BT333" t="str">
        <f>HYPERLINK("https%3A%2F%2Fwww.webofscience.com%2Fwos%2Fwoscc%2Ffull-record%2FWOS:000298499700001","View Full Record in Web of Science")</f>
        <v>View Full Record in Web of Science</v>
      </c>
    </row>
    <row r="334" spans="1:72" x14ac:dyDescent="0.15">
      <c r="A334" t="s">
        <v>72</v>
      </c>
      <c r="B334" t="s">
        <v>6392</v>
      </c>
      <c r="C334" t="s">
        <v>74</v>
      </c>
      <c r="D334" t="s">
        <v>74</v>
      </c>
      <c r="E334" t="s">
        <v>74</v>
      </c>
      <c r="F334" t="s">
        <v>6393</v>
      </c>
      <c r="G334" t="s">
        <v>74</v>
      </c>
      <c r="H334" t="s">
        <v>74</v>
      </c>
      <c r="I334" t="s">
        <v>6394</v>
      </c>
      <c r="J334" t="s">
        <v>6395</v>
      </c>
      <c r="K334" t="s">
        <v>74</v>
      </c>
      <c r="L334" t="s">
        <v>74</v>
      </c>
      <c r="M334" t="s">
        <v>78</v>
      </c>
      <c r="N334" t="s">
        <v>79</v>
      </c>
      <c r="O334" t="s">
        <v>74</v>
      </c>
      <c r="P334" t="s">
        <v>74</v>
      </c>
      <c r="Q334" t="s">
        <v>74</v>
      </c>
      <c r="R334" t="s">
        <v>74</v>
      </c>
      <c r="S334" t="s">
        <v>74</v>
      </c>
      <c r="T334" t="s">
        <v>74</v>
      </c>
      <c r="U334" t="s">
        <v>6396</v>
      </c>
      <c r="V334" t="s">
        <v>6397</v>
      </c>
      <c r="W334" t="s">
        <v>6398</v>
      </c>
      <c r="X334" t="s">
        <v>6399</v>
      </c>
      <c r="Y334" t="s">
        <v>6400</v>
      </c>
      <c r="Z334" t="s">
        <v>6401</v>
      </c>
      <c r="AA334" t="s">
        <v>6402</v>
      </c>
      <c r="AB334" t="s">
        <v>6403</v>
      </c>
      <c r="AC334" t="s">
        <v>6404</v>
      </c>
      <c r="AD334" t="s">
        <v>6405</v>
      </c>
      <c r="AE334" t="s">
        <v>6406</v>
      </c>
      <c r="AF334" t="s">
        <v>74</v>
      </c>
      <c r="AG334">
        <v>81</v>
      </c>
      <c r="AH334">
        <v>14</v>
      </c>
      <c r="AI334">
        <v>16</v>
      </c>
      <c r="AJ334">
        <v>2</v>
      </c>
      <c r="AK334">
        <v>33</v>
      </c>
      <c r="AL334" t="s">
        <v>1498</v>
      </c>
      <c r="AM334" t="s">
        <v>985</v>
      </c>
      <c r="AN334" t="s">
        <v>1499</v>
      </c>
      <c r="AO334" t="s">
        <v>6407</v>
      </c>
      <c r="AP334" t="s">
        <v>6408</v>
      </c>
      <c r="AQ334" t="s">
        <v>74</v>
      </c>
      <c r="AR334" t="s">
        <v>6395</v>
      </c>
      <c r="AS334" t="s">
        <v>6409</v>
      </c>
      <c r="AT334" t="s">
        <v>6365</v>
      </c>
      <c r="AU334">
        <v>2011</v>
      </c>
      <c r="AV334">
        <v>26</v>
      </c>
      <c r="AW334" t="s">
        <v>74</v>
      </c>
      <c r="AX334" t="s">
        <v>74</v>
      </c>
      <c r="AY334" t="s">
        <v>74</v>
      </c>
      <c r="AZ334" t="s">
        <v>74</v>
      </c>
      <c r="BA334" t="s">
        <v>74</v>
      </c>
      <c r="BB334" t="s">
        <v>74</v>
      </c>
      <c r="BC334" t="s">
        <v>74</v>
      </c>
      <c r="BD334" t="s">
        <v>6410</v>
      </c>
      <c r="BE334" t="s">
        <v>6411</v>
      </c>
      <c r="BF334" t="str">
        <f>HYPERLINK("http://dx.doi.org/10.1029/2010PA002111","http://dx.doi.org/10.1029/2010PA002111")</f>
        <v>http://dx.doi.org/10.1029/2010PA002111</v>
      </c>
      <c r="BG334" t="s">
        <v>74</v>
      </c>
      <c r="BH334" t="s">
        <v>74</v>
      </c>
      <c r="BI334">
        <v>19</v>
      </c>
      <c r="BJ334" t="s">
        <v>6412</v>
      </c>
      <c r="BK334" t="s">
        <v>100</v>
      </c>
      <c r="BL334" t="s">
        <v>6413</v>
      </c>
      <c r="BM334" t="s">
        <v>6414</v>
      </c>
      <c r="BN334" t="s">
        <v>74</v>
      </c>
      <c r="BO334" t="s">
        <v>365</v>
      </c>
      <c r="BP334" t="s">
        <v>74</v>
      </c>
      <c r="BQ334" t="s">
        <v>74</v>
      </c>
      <c r="BR334" t="s">
        <v>102</v>
      </c>
      <c r="BS334" t="s">
        <v>6415</v>
      </c>
      <c r="BT334" t="str">
        <f>HYPERLINK("https%3A%2F%2Fwww.webofscience.com%2Fwos%2Fwoscc%2Ffull-record%2FWOS:000298496400001","View Full Record in Web of Science")</f>
        <v>View Full Record in Web of Science</v>
      </c>
    </row>
    <row r="335" spans="1:72" x14ac:dyDescent="0.15">
      <c r="A335" t="s">
        <v>72</v>
      </c>
      <c r="B335" t="s">
        <v>6416</v>
      </c>
      <c r="C335" t="s">
        <v>74</v>
      </c>
      <c r="D335" t="s">
        <v>74</v>
      </c>
      <c r="E335" t="s">
        <v>74</v>
      </c>
      <c r="F335" t="s">
        <v>6417</v>
      </c>
      <c r="G335" t="s">
        <v>74</v>
      </c>
      <c r="H335" t="s">
        <v>74</v>
      </c>
      <c r="I335" t="s">
        <v>6418</v>
      </c>
      <c r="J335" t="s">
        <v>6419</v>
      </c>
      <c r="K335" t="s">
        <v>74</v>
      </c>
      <c r="L335" t="s">
        <v>74</v>
      </c>
      <c r="M335" t="s">
        <v>78</v>
      </c>
      <c r="N335" t="s">
        <v>79</v>
      </c>
      <c r="O335" t="s">
        <v>74</v>
      </c>
      <c r="P335" t="s">
        <v>74</v>
      </c>
      <c r="Q335" t="s">
        <v>74</v>
      </c>
      <c r="R335" t="s">
        <v>74</v>
      </c>
      <c r="S335" t="s">
        <v>74</v>
      </c>
      <c r="T335" t="s">
        <v>74</v>
      </c>
      <c r="U335" t="s">
        <v>6420</v>
      </c>
      <c r="V335" t="s">
        <v>6421</v>
      </c>
      <c r="W335" t="s">
        <v>6422</v>
      </c>
      <c r="X335" t="s">
        <v>6423</v>
      </c>
      <c r="Y335" t="s">
        <v>6424</v>
      </c>
      <c r="Z335" t="s">
        <v>6425</v>
      </c>
      <c r="AA335" t="s">
        <v>6426</v>
      </c>
      <c r="AB335" t="s">
        <v>6427</v>
      </c>
      <c r="AC335" t="s">
        <v>6428</v>
      </c>
      <c r="AD335" t="s">
        <v>6429</v>
      </c>
      <c r="AE335" t="s">
        <v>6430</v>
      </c>
      <c r="AF335" t="s">
        <v>74</v>
      </c>
      <c r="AG335">
        <v>36</v>
      </c>
      <c r="AH335">
        <v>8</v>
      </c>
      <c r="AI335">
        <v>8</v>
      </c>
      <c r="AJ335">
        <v>1</v>
      </c>
      <c r="AK335">
        <v>19</v>
      </c>
      <c r="AL335" t="s">
        <v>5683</v>
      </c>
      <c r="AM335" t="s">
        <v>221</v>
      </c>
      <c r="AN335" t="s">
        <v>5684</v>
      </c>
      <c r="AO335" t="s">
        <v>6431</v>
      </c>
      <c r="AP335" t="s">
        <v>74</v>
      </c>
      <c r="AQ335" t="s">
        <v>74</v>
      </c>
      <c r="AR335" t="s">
        <v>6432</v>
      </c>
      <c r="AS335" t="s">
        <v>6433</v>
      </c>
      <c r="AT335" t="s">
        <v>6434</v>
      </c>
      <c r="AU335">
        <v>2011</v>
      </c>
      <c r="AV335">
        <v>12</v>
      </c>
      <c r="AW335" t="s">
        <v>74</v>
      </c>
      <c r="AX335" t="s">
        <v>74</v>
      </c>
      <c r="AY335" t="s">
        <v>74</v>
      </c>
      <c r="AZ335" t="s">
        <v>74</v>
      </c>
      <c r="BA335" t="s">
        <v>74</v>
      </c>
      <c r="BB335" t="s">
        <v>74</v>
      </c>
      <c r="BC335" t="s">
        <v>74</v>
      </c>
      <c r="BD335">
        <v>66</v>
      </c>
      <c r="BE335" t="s">
        <v>6435</v>
      </c>
      <c r="BF335" t="str">
        <f>HYPERLINK("http://dx.doi.org/10.1186/1471-2091-12-66","http://dx.doi.org/10.1186/1471-2091-12-66")</f>
        <v>http://dx.doi.org/10.1186/1471-2091-12-66</v>
      </c>
      <c r="BG335" t="s">
        <v>74</v>
      </c>
      <c r="BH335" t="s">
        <v>74</v>
      </c>
      <c r="BI335">
        <v>8</v>
      </c>
      <c r="BJ335" t="s">
        <v>6436</v>
      </c>
      <c r="BK335" t="s">
        <v>100</v>
      </c>
      <c r="BL335" t="s">
        <v>6436</v>
      </c>
      <c r="BM335" t="s">
        <v>6437</v>
      </c>
      <c r="BN335">
        <v>22185675</v>
      </c>
      <c r="BO335" t="s">
        <v>5302</v>
      </c>
      <c r="BP335" t="s">
        <v>74</v>
      </c>
      <c r="BQ335" t="s">
        <v>74</v>
      </c>
      <c r="BR335" t="s">
        <v>102</v>
      </c>
      <c r="BS335" t="s">
        <v>6438</v>
      </c>
      <c r="BT335" t="str">
        <f>HYPERLINK("https%3A%2F%2Fwww.webofscience.com%2Fwos%2Fwoscc%2Ffull-record%2FWOS:000299822200001","View Full Record in Web of Science")</f>
        <v>View Full Record in Web of Science</v>
      </c>
    </row>
    <row r="336" spans="1:72" x14ac:dyDescent="0.15">
      <c r="A336" t="s">
        <v>72</v>
      </c>
      <c r="B336" t="s">
        <v>6439</v>
      </c>
      <c r="C336" t="s">
        <v>74</v>
      </c>
      <c r="D336" t="s">
        <v>74</v>
      </c>
      <c r="E336" t="s">
        <v>74</v>
      </c>
      <c r="F336" t="s">
        <v>6440</v>
      </c>
      <c r="G336" t="s">
        <v>74</v>
      </c>
      <c r="H336" t="s">
        <v>74</v>
      </c>
      <c r="I336" t="s">
        <v>6441</v>
      </c>
      <c r="J336" t="s">
        <v>6442</v>
      </c>
      <c r="K336" t="s">
        <v>74</v>
      </c>
      <c r="L336" t="s">
        <v>74</v>
      </c>
      <c r="M336" t="s">
        <v>78</v>
      </c>
      <c r="N336" t="s">
        <v>79</v>
      </c>
      <c r="O336" t="s">
        <v>74</v>
      </c>
      <c r="P336" t="s">
        <v>74</v>
      </c>
      <c r="Q336" t="s">
        <v>74</v>
      </c>
      <c r="R336" t="s">
        <v>74</v>
      </c>
      <c r="S336" t="s">
        <v>74</v>
      </c>
      <c r="T336" t="s">
        <v>6443</v>
      </c>
      <c r="U336" t="s">
        <v>6444</v>
      </c>
      <c r="V336" t="s">
        <v>6445</v>
      </c>
      <c r="W336" t="s">
        <v>6446</v>
      </c>
      <c r="X336" t="s">
        <v>6447</v>
      </c>
      <c r="Y336" t="s">
        <v>6448</v>
      </c>
      <c r="Z336" t="s">
        <v>74</v>
      </c>
      <c r="AA336" t="s">
        <v>6449</v>
      </c>
      <c r="AB336" t="s">
        <v>6450</v>
      </c>
      <c r="AC336" t="s">
        <v>6451</v>
      </c>
      <c r="AD336" t="s">
        <v>6452</v>
      </c>
      <c r="AE336" t="s">
        <v>6453</v>
      </c>
      <c r="AF336" t="s">
        <v>74</v>
      </c>
      <c r="AG336">
        <v>48</v>
      </c>
      <c r="AH336">
        <v>118</v>
      </c>
      <c r="AI336">
        <v>123</v>
      </c>
      <c r="AJ336">
        <v>0</v>
      </c>
      <c r="AK336">
        <v>17</v>
      </c>
      <c r="AL336" t="s">
        <v>6454</v>
      </c>
      <c r="AM336" t="s">
        <v>6455</v>
      </c>
      <c r="AN336" t="s">
        <v>6456</v>
      </c>
      <c r="AO336" t="s">
        <v>6457</v>
      </c>
      <c r="AP336" t="s">
        <v>6458</v>
      </c>
      <c r="AQ336" t="s">
        <v>74</v>
      </c>
      <c r="AR336" t="s">
        <v>6459</v>
      </c>
      <c r="AS336" t="s">
        <v>6460</v>
      </c>
      <c r="AT336" t="s">
        <v>6434</v>
      </c>
      <c r="AU336">
        <v>2011</v>
      </c>
      <c r="AV336">
        <v>743</v>
      </c>
      <c r="AW336">
        <v>2</v>
      </c>
      <c r="AX336" t="s">
        <v>74</v>
      </c>
      <c r="AY336" t="s">
        <v>74</v>
      </c>
      <c r="AZ336" t="s">
        <v>74</v>
      </c>
      <c r="BA336" t="s">
        <v>74</v>
      </c>
      <c r="BB336" t="s">
        <v>74</v>
      </c>
      <c r="BC336" t="s">
        <v>74</v>
      </c>
      <c r="BD336">
        <v>129</v>
      </c>
      <c r="BE336" t="s">
        <v>6461</v>
      </c>
      <c r="BF336" t="str">
        <f>HYPERLINK("http://dx.doi.org/10.1088/0004-637X/743/2/129","http://dx.doi.org/10.1088/0004-637X/743/2/129")</f>
        <v>http://dx.doi.org/10.1088/0004-637X/743/2/129</v>
      </c>
      <c r="BG336" t="s">
        <v>74</v>
      </c>
      <c r="BH336" t="s">
        <v>74</v>
      </c>
      <c r="BI336">
        <v>16</v>
      </c>
      <c r="BJ336" t="s">
        <v>5208</v>
      </c>
      <c r="BK336" t="s">
        <v>100</v>
      </c>
      <c r="BL336" t="s">
        <v>5208</v>
      </c>
      <c r="BM336" t="s">
        <v>6462</v>
      </c>
      <c r="BN336" t="s">
        <v>74</v>
      </c>
      <c r="BO336" t="s">
        <v>182</v>
      </c>
      <c r="BP336" t="s">
        <v>74</v>
      </c>
      <c r="BQ336" t="s">
        <v>74</v>
      </c>
      <c r="BR336" t="s">
        <v>102</v>
      </c>
      <c r="BS336" t="s">
        <v>6463</v>
      </c>
      <c r="BT336" t="str">
        <f>HYPERLINK("https%3A%2F%2Fwww.webofscience.com%2Fwos%2Fwoscc%2Ffull-record%2FWOS:000298178400031","View Full Record in Web of Science")</f>
        <v>View Full Record in Web of Science</v>
      </c>
    </row>
    <row r="337" spans="1:72" x14ac:dyDescent="0.15">
      <c r="A337" t="s">
        <v>72</v>
      </c>
      <c r="B337" t="s">
        <v>6464</v>
      </c>
      <c r="C337" t="s">
        <v>74</v>
      </c>
      <c r="D337" t="s">
        <v>74</v>
      </c>
      <c r="E337" t="s">
        <v>74</v>
      </c>
      <c r="F337" t="s">
        <v>6465</v>
      </c>
      <c r="G337" t="s">
        <v>74</v>
      </c>
      <c r="H337" t="s">
        <v>74</v>
      </c>
      <c r="I337" t="s">
        <v>6466</v>
      </c>
      <c r="J337" t="s">
        <v>6467</v>
      </c>
      <c r="K337" t="s">
        <v>74</v>
      </c>
      <c r="L337" t="s">
        <v>74</v>
      </c>
      <c r="M337" t="s">
        <v>78</v>
      </c>
      <c r="N337" t="s">
        <v>79</v>
      </c>
      <c r="O337" t="s">
        <v>74</v>
      </c>
      <c r="P337" t="s">
        <v>74</v>
      </c>
      <c r="Q337" t="s">
        <v>74</v>
      </c>
      <c r="R337" t="s">
        <v>74</v>
      </c>
      <c r="S337" t="s">
        <v>74</v>
      </c>
      <c r="T337" t="s">
        <v>6468</v>
      </c>
      <c r="U337" t="s">
        <v>6469</v>
      </c>
      <c r="V337" t="s">
        <v>6470</v>
      </c>
      <c r="W337" t="s">
        <v>6471</v>
      </c>
      <c r="X337" t="s">
        <v>6472</v>
      </c>
      <c r="Y337" t="s">
        <v>6473</v>
      </c>
      <c r="Z337" t="s">
        <v>6474</v>
      </c>
      <c r="AA337" t="s">
        <v>6475</v>
      </c>
      <c r="AB337" t="s">
        <v>74</v>
      </c>
      <c r="AC337" t="s">
        <v>6476</v>
      </c>
      <c r="AD337" t="s">
        <v>6477</v>
      </c>
      <c r="AE337" t="s">
        <v>6478</v>
      </c>
      <c r="AF337" t="s">
        <v>74</v>
      </c>
      <c r="AG337">
        <v>39</v>
      </c>
      <c r="AH337">
        <v>11</v>
      </c>
      <c r="AI337">
        <v>13</v>
      </c>
      <c r="AJ337">
        <v>0</v>
      </c>
      <c r="AK337">
        <v>12</v>
      </c>
      <c r="AL337" t="s">
        <v>333</v>
      </c>
      <c r="AM337" t="s">
        <v>334</v>
      </c>
      <c r="AN337" t="s">
        <v>335</v>
      </c>
      <c r="AO337" t="s">
        <v>6479</v>
      </c>
      <c r="AP337" t="s">
        <v>6480</v>
      </c>
      <c r="AQ337" t="s">
        <v>74</v>
      </c>
      <c r="AR337" t="s">
        <v>6481</v>
      </c>
      <c r="AS337" t="s">
        <v>6482</v>
      </c>
      <c r="AT337" t="s">
        <v>6434</v>
      </c>
      <c r="AU337">
        <v>2011</v>
      </c>
      <c r="AV337">
        <v>127</v>
      </c>
      <c r="AW337" t="s">
        <v>6483</v>
      </c>
      <c r="AX337" t="s">
        <v>74</v>
      </c>
      <c r="AY337" t="s">
        <v>74</v>
      </c>
      <c r="AZ337" t="s">
        <v>74</v>
      </c>
      <c r="BA337" t="s">
        <v>74</v>
      </c>
      <c r="BB337">
        <v>90</v>
      </c>
      <c r="BC337">
        <v>99</v>
      </c>
      <c r="BD337" t="s">
        <v>74</v>
      </c>
      <c r="BE337" t="s">
        <v>6484</v>
      </c>
      <c r="BF337" t="str">
        <f>HYPERLINK("http://dx.doi.org/10.1016/j.marchem.2011.08.002","http://dx.doi.org/10.1016/j.marchem.2011.08.002")</f>
        <v>http://dx.doi.org/10.1016/j.marchem.2011.08.002</v>
      </c>
      <c r="BG337" t="s">
        <v>74</v>
      </c>
      <c r="BH337" t="s">
        <v>74</v>
      </c>
      <c r="BI337">
        <v>10</v>
      </c>
      <c r="BJ337" t="s">
        <v>6485</v>
      </c>
      <c r="BK337" t="s">
        <v>100</v>
      </c>
      <c r="BL337" t="s">
        <v>6486</v>
      </c>
      <c r="BM337" t="s">
        <v>6487</v>
      </c>
      <c r="BN337" t="s">
        <v>74</v>
      </c>
      <c r="BO337" t="s">
        <v>342</v>
      </c>
      <c r="BP337" t="s">
        <v>74</v>
      </c>
      <c r="BQ337" t="s">
        <v>74</v>
      </c>
      <c r="BR337" t="s">
        <v>102</v>
      </c>
      <c r="BS337" t="s">
        <v>6488</v>
      </c>
      <c r="BT337" t="str">
        <f>HYPERLINK("https%3A%2F%2Fwww.webofscience.com%2Fwos%2Fwoscc%2Ffull-record%2FWOS:000298219400010","View Full Record in Web of Science")</f>
        <v>View Full Record in Web of Science</v>
      </c>
    </row>
    <row r="338" spans="1:72" x14ac:dyDescent="0.15">
      <c r="A338" t="s">
        <v>72</v>
      </c>
      <c r="B338" t="s">
        <v>6489</v>
      </c>
      <c r="C338" t="s">
        <v>74</v>
      </c>
      <c r="D338" t="s">
        <v>74</v>
      </c>
      <c r="E338" t="s">
        <v>74</v>
      </c>
      <c r="F338" t="s">
        <v>6490</v>
      </c>
      <c r="G338" t="s">
        <v>74</v>
      </c>
      <c r="H338" t="s">
        <v>74</v>
      </c>
      <c r="I338" t="s">
        <v>6491</v>
      </c>
      <c r="J338" t="s">
        <v>6492</v>
      </c>
      <c r="K338" t="s">
        <v>74</v>
      </c>
      <c r="L338" t="s">
        <v>74</v>
      </c>
      <c r="M338" t="s">
        <v>78</v>
      </c>
      <c r="N338" t="s">
        <v>79</v>
      </c>
      <c r="O338" t="s">
        <v>74</v>
      </c>
      <c r="P338" t="s">
        <v>74</v>
      </c>
      <c r="Q338" t="s">
        <v>74</v>
      </c>
      <c r="R338" t="s">
        <v>74</v>
      </c>
      <c r="S338" t="s">
        <v>74</v>
      </c>
      <c r="T338" t="s">
        <v>6493</v>
      </c>
      <c r="U338" t="s">
        <v>6494</v>
      </c>
      <c r="V338" t="s">
        <v>6495</v>
      </c>
      <c r="W338" t="s">
        <v>6496</v>
      </c>
      <c r="X338" t="s">
        <v>6497</v>
      </c>
      <c r="Y338" t="s">
        <v>6498</v>
      </c>
      <c r="Z338" t="s">
        <v>6499</v>
      </c>
      <c r="AA338" t="s">
        <v>6500</v>
      </c>
      <c r="AB338" t="s">
        <v>6501</v>
      </c>
      <c r="AC338" t="s">
        <v>6502</v>
      </c>
      <c r="AD338" t="s">
        <v>6503</v>
      </c>
      <c r="AE338" t="s">
        <v>6504</v>
      </c>
      <c r="AF338" t="s">
        <v>74</v>
      </c>
      <c r="AG338">
        <v>38</v>
      </c>
      <c r="AH338">
        <v>8</v>
      </c>
      <c r="AI338">
        <v>9</v>
      </c>
      <c r="AJ338">
        <v>0</v>
      </c>
      <c r="AK338">
        <v>19</v>
      </c>
      <c r="AL338" t="s">
        <v>6505</v>
      </c>
      <c r="AM338" t="s">
        <v>6506</v>
      </c>
      <c r="AN338" t="s">
        <v>6507</v>
      </c>
      <c r="AO338" t="s">
        <v>6508</v>
      </c>
      <c r="AP338" t="s">
        <v>74</v>
      </c>
      <c r="AQ338" t="s">
        <v>74</v>
      </c>
      <c r="AR338" t="s">
        <v>6509</v>
      </c>
      <c r="AS338" t="s">
        <v>6510</v>
      </c>
      <c r="AT338" t="s">
        <v>6434</v>
      </c>
      <c r="AU338">
        <v>2011</v>
      </c>
      <c r="AV338">
        <v>32</v>
      </c>
      <c r="AW338">
        <v>12</v>
      </c>
      <c r="AX338" t="s">
        <v>74</v>
      </c>
      <c r="AY338" t="s">
        <v>74</v>
      </c>
      <c r="AZ338" t="s">
        <v>74</v>
      </c>
      <c r="BA338" t="s">
        <v>74</v>
      </c>
      <c r="BB338">
        <v>4258</v>
      </c>
      <c r="BC338">
        <v>4264</v>
      </c>
      <c r="BD338" t="s">
        <v>74</v>
      </c>
      <c r="BE338" t="s">
        <v>6511</v>
      </c>
      <c r="BF338" t="str">
        <f>HYPERLINK("http://dx.doi.org/10.5012/bkcs.2011.32.12.4258","http://dx.doi.org/10.5012/bkcs.2011.32.12.4258")</f>
        <v>http://dx.doi.org/10.5012/bkcs.2011.32.12.4258</v>
      </c>
      <c r="BG338" t="s">
        <v>74</v>
      </c>
      <c r="BH338" t="s">
        <v>74</v>
      </c>
      <c r="BI338">
        <v>7</v>
      </c>
      <c r="BJ338" t="s">
        <v>747</v>
      </c>
      <c r="BK338" t="s">
        <v>100</v>
      </c>
      <c r="BL338" t="s">
        <v>722</v>
      </c>
      <c r="BM338" t="s">
        <v>6512</v>
      </c>
      <c r="BN338" t="s">
        <v>74</v>
      </c>
      <c r="BO338" t="s">
        <v>365</v>
      </c>
      <c r="BP338" t="s">
        <v>74</v>
      </c>
      <c r="BQ338" t="s">
        <v>74</v>
      </c>
      <c r="BR338" t="s">
        <v>102</v>
      </c>
      <c r="BS338" t="s">
        <v>6513</v>
      </c>
      <c r="BT338" t="str">
        <f>HYPERLINK("https%3A%2F%2Fwww.webofscience.com%2Fwos%2Fwoscc%2Ffull-record%2FWOS:000298624100021","View Full Record in Web of Science")</f>
        <v>View Full Record in Web of Science</v>
      </c>
    </row>
    <row r="339" spans="1:72" x14ac:dyDescent="0.15">
      <c r="A339" t="s">
        <v>72</v>
      </c>
      <c r="B339" t="s">
        <v>6514</v>
      </c>
      <c r="C339" t="s">
        <v>74</v>
      </c>
      <c r="D339" t="s">
        <v>74</v>
      </c>
      <c r="E339" t="s">
        <v>74</v>
      </c>
      <c r="F339" t="s">
        <v>6515</v>
      </c>
      <c r="G339" t="s">
        <v>74</v>
      </c>
      <c r="H339" t="s">
        <v>74</v>
      </c>
      <c r="I339" t="s">
        <v>6516</v>
      </c>
      <c r="J339" t="s">
        <v>6517</v>
      </c>
      <c r="K339" t="s">
        <v>74</v>
      </c>
      <c r="L339" t="s">
        <v>74</v>
      </c>
      <c r="M339" t="s">
        <v>78</v>
      </c>
      <c r="N339" t="s">
        <v>79</v>
      </c>
      <c r="O339" t="s">
        <v>74</v>
      </c>
      <c r="P339" t="s">
        <v>74</v>
      </c>
      <c r="Q339" t="s">
        <v>74</v>
      </c>
      <c r="R339" t="s">
        <v>74</v>
      </c>
      <c r="S339" t="s">
        <v>74</v>
      </c>
      <c r="T339" t="s">
        <v>74</v>
      </c>
      <c r="U339" t="s">
        <v>6518</v>
      </c>
      <c r="V339" t="s">
        <v>6519</v>
      </c>
      <c r="W339" t="s">
        <v>6520</v>
      </c>
      <c r="X339" t="s">
        <v>6521</v>
      </c>
      <c r="Y339" t="s">
        <v>6522</v>
      </c>
      <c r="Z339" t="s">
        <v>6523</v>
      </c>
      <c r="AA339" t="s">
        <v>6524</v>
      </c>
      <c r="AB339" t="s">
        <v>6525</v>
      </c>
      <c r="AC339" t="s">
        <v>6526</v>
      </c>
      <c r="AD339" t="s">
        <v>6527</v>
      </c>
      <c r="AE339" t="s">
        <v>6528</v>
      </c>
      <c r="AF339" t="s">
        <v>74</v>
      </c>
      <c r="AG339">
        <v>27</v>
      </c>
      <c r="AH339">
        <v>27</v>
      </c>
      <c r="AI339">
        <v>28</v>
      </c>
      <c r="AJ339">
        <v>2</v>
      </c>
      <c r="AK339">
        <v>41</v>
      </c>
      <c r="AL339" t="s">
        <v>6529</v>
      </c>
      <c r="AM339" t="s">
        <v>985</v>
      </c>
      <c r="AN339" t="s">
        <v>6530</v>
      </c>
      <c r="AO339" t="s">
        <v>6531</v>
      </c>
      <c r="AP339" t="s">
        <v>74</v>
      </c>
      <c r="AQ339" t="s">
        <v>74</v>
      </c>
      <c r="AR339" t="s">
        <v>6532</v>
      </c>
      <c r="AS339" t="s">
        <v>6533</v>
      </c>
      <c r="AT339" t="s">
        <v>6534</v>
      </c>
      <c r="AU339">
        <v>2011</v>
      </c>
      <c r="AV339">
        <v>19</v>
      </c>
      <c r="AW339">
        <v>27</v>
      </c>
      <c r="AX339" t="s">
        <v>74</v>
      </c>
      <c r="AY339" t="s">
        <v>74</v>
      </c>
      <c r="AZ339" t="s">
        <v>74</v>
      </c>
      <c r="BA339" t="s">
        <v>74</v>
      </c>
      <c r="BB339">
        <v>26768</v>
      </c>
      <c r="BC339">
        <v>26782</v>
      </c>
      <c r="BD339" t="s">
        <v>74</v>
      </c>
      <c r="BE339" t="s">
        <v>6535</v>
      </c>
      <c r="BF339" t="str">
        <f>HYPERLINK("http://dx.doi.org/10.1364/OE.19.026768","http://dx.doi.org/10.1364/OE.19.026768")</f>
        <v>http://dx.doi.org/10.1364/OE.19.026768</v>
      </c>
      <c r="BG339" t="s">
        <v>74</v>
      </c>
      <c r="BH339" t="s">
        <v>74</v>
      </c>
      <c r="BI339">
        <v>15</v>
      </c>
      <c r="BJ339" t="s">
        <v>567</v>
      </c>
      <c r="BK339" t="s">
        <v>100</v>
      </c>
      <c r="BL339" t="s">
        <v>567</v>
      </c>
      <c r="BM339" t="s">
        <v>6536</v>
      </c>
      <c r="BN339">
        <v>22274260</v>
      </c>
      <c r="BO339" t="s">
        <v>1290</v>
      </c>
      <c r="BP339" t="s">
        <v>74</v>
      </c>
      <c r="BQ339" t="s">
        <v>74</v>
      </c>
      <c r="BR339" t="s">
        <v>102</v>
      </c>
      <c r="BS339" t="s">
        <v>6537</v>
      </c>
      <c r="BT339" t="str">
        <f>HYPERLINK("https%3A%2F%2Fwww.webofscience.com%2Fwos%2Fwoscc%2Ffull-record%2FWOS:000301151500090","View Full Record in Web of Science")</f>
        <v>View Full Record in Web of Science</v>
      </c>
    </row>
    <row r="340" spans="1:72" x14ac:dyDescent="0.15">
      <c r="A340" t="s">
        <v>72</v>
      </c>
      <c r="B340" t="s">
        <v>6538</v>
      </c>
      <c r="C340" t="s">
        <v>74</v>
      </c>
      <c r="D340" t="s">
        <v>74</v>
      </c>
      <c r="E340" t="s">
        <v>74</v>
      </c>
      <c r="F340" t="s">
        <v>6539</v>
      </c>
      <c r="G340" t="s">
        <v>74</v>
      </c>
      <c r="H340" t="s">
        <v>74</v>
      </c>
      <c r="I340" t="s">
        <v>6540</v>
      </c>
      <c r="J340" t="s">
        <v>6124</v>
      </c>
      <c r="K340" t="s">
        <v>74</v>
      </c>
      <c r="L340" t="s">
        <v>74</v>
      </c>
      <c r="M340" t="s">
        <v>78</v>
      </c>
      <c r="N340" t="s">
        <v>79</v>
      </c>
      <c r="O340" t="s">
        <v>74</v>
      </c>
      <c r="P340" t="s">
        <v>74</v>
      </c>
      <c r="Q340" t="s">
        <v>74</v>
      </c>
      <c r="R340" t="s">
        <v>74</v>
      </c>
      <c r="S340" t="s">
        <v>74</v>
      </c>
      <c r="T340" t="s">
        <v>74</v>
      </c>
      <c r="U340" t="s">
        <v>6541</v>
      </c>
      <c r="V340" t="s">
        <v>6542</v>
      </c>
      <c r="W340" t="s">
        <v>6543</v>
      </c>
      <c r="X340" t="s">
        <v>6544</v>
      </c>
      <c r="Y340" t="s">
        <v>6545</v>
      </c>
      <c r="Z340" t="s">
        <v>6546</v>
      </c>
      <c r="AA340" t="s">
        <v>6547</v>
      </c>
      <c r="AB340" t="s">
        <v>6548</v>
      </c>
      <c r="AC340" t="s">
        <v>6549</v>
      </c>
      <c r="AD340" t="s">
        <v>6550</v>
      </c>
      <c r="AE340" t="s">
        <v>6551</v>
      </c>
      <c r="AF340" t="s">
        <v>74</v>
      </c>
      <c r="AG340">
        <v>146</v>
      </c>
      <c r="AH340">
        <v>203</v>
      </c>
      <c r="AI340">
        <v>224</v>
      </c>
      <c r="AJ340">
        <v>4</v>
      </c>
      <c r="AK340">
        <v>85</v>
      </c>
      <c r="AL340" t="s">
        <v>1498</v>
      </c>
      <c r="AM340" t="s">
        <v>985</v>
      </c>
      <c r="AN340" t="s">
        <v>1499</v>
      </c>
      <c r="AO340" t="s">
        <v>6136</v>
      </c>
      <c r="AP340" t="s">
        <v>6137</v>
      </c>
      <c r="AQ340" t="s">
        <v>74</v>
      </c>
      <c r="AR340" t="s">
        <v>6138</v>
      </c>
      <c r="AS340" t="s">
        <v>6139</v>
      </c>
      <c r="AT340" t="s">
        <v>6552</v>
      </c>
      <c r="AU340">
        <v>2011</v>
      </c>
      <c r="AV340">
        <v>116</v>
      </c>
      <c r="AW340" t="s">
        <v>74</v>
      </c>
      <c r="AX340" t="s">
        <v>74</v>
      </c>
      <c r="AY340" t="s">
        <v>74</v>
      </c>
      <c r="AZ340" t="s">
        <v>74</v>
      </c>
      <c r="BA340" t="s">
        <v>74</v>
      </c>
      <c r="BB340" t="s">
        <v>74</v>
      </c>
      <c r="BC340" t="s">
        <v>74</v>
      </c>
      <c r="BD340" t="s">
        <v>6553</v>
      </c>
      <c r="BE340" t="s">
        <v>6554</v>
      </c>
      <c r="BF340" t="str">
        <f>HYPERLINK("http://dx.doi.org/10.1029/2011JC007255","http://dx.doi.org/10.1029/2011JC007255")</f>
        <v>http://dx.doi.org/10.1029/2011JC007255</v>
      </c>
      <c r="BG340" t="s">
        <v>74</v>
      </c>
      <c r="BH340" t="s">
        <v>74</v>
      </c>
      <c r="BI340">
        <v>23</v>
      </c>
      <c r="BJ340" t="s">
        <v>496</v>
      </c>
      <c r="BK340" t="s">
        <v>100</v>
      </c>
      <c r="BL340" t="s">
        <v>496</v>
      </c>
      <c r="BM340" t="s">
        <v>6555</v>
      </c>
      <c r="BN340" t="s">
        <v>74</v>
      </c>
      <c r="BO340" t="s">
        <v>365</v>
      </c>
      <c r="BP340" t="s">
        <v>74</v>
      </c>
      <c r="BQ340" t="s">
        <v>74</v>
      </c>
      <c r="BR340" t="s">
        <v>102</v>
      </c>
      <c r="BS340" t="s">
        <v>6556</v>
      </c>
      <c r="BT340" t="str">
        <f>HYPERLINK("https%3A%2F%2Fwww.webofscience.com%2Fwos%2Fwoscc%2Ffull-record%2FWOS:000298253100004","View Full Record in Web of Science")</f>
        <v>View Full Record in Web of Science</v>
      </c>
    </row>
    <row r="341" spans="1:72" x14ac:dyDescent="0.15">
      <c r="A341" t="s">
        <v>72</v>
      </c>
      <c r="B341" t="s">
        <v>6557</v>
      </c>
      <c r="C341" t="s">
        <v>74</v>
      </c>
      <c r="D341" t="s">
        <v>74</v>
      </c>
      <c r="E341" t="s">
        <v>74</v>
      </c>
      <c r="F341" t="s">
        <v>6558</v>
      </c>
      <c r="G341" t="s">
        <v>74</v>
      </c>
      <c r="H341" t="s">
        <v>74</v>
      </c>
      <c r="I341" t="s">
        <v>6559</v>
      </c>
      <c r="J341" t="s">
        <v>6055</v>
      </c>
      <c r="K341" t="s">
        <v>74</v>
      </c>
      <c r="L341" t="s">
        <v>74</v>
      </c>
      <c r="M341" t="s">
        <v>78</v>
      </c>
      <c r="N341" t="s">
        <v>79</v>
      </c>
      <c r="O341" t="s">
        <v>74</v>
      </c>
      <c r="P341" t="s">
        <v>74</v>
      </c>
      <c r="Q341" t="s">
        <v>74</v>
      </c>
      <c r="R341" t="s">
        <v>74</v>
      </c>
      <c r="S341" t="s">
        <v>74</v>
      </c>
      <c r="T341" t="s">
        <v>74</v>
      </c>
      <c r="U341" t="s">
        <v>6560</v>
      </c>
      <c r="V341" t="s">
        <v>6561</v>
      </c>
      <c r="W341" t="s">
        <v>6562</v>
      </c>
      <c r="X341" t="s">
        <v>6563</v>
      </c>
      <c r="Y341" t="s">
        <v>6564</v>
      </c>
      <c r="Z341" t="s">
        <v>6565</v>
      </c>
      <c r="AA341" t="s">
        <v>6566</v>
      </c>
      <c r="AB341" t="s">
        <v>6567</v>
      </c>
      <c r="AC341" t="s">
        <v>6568</v>
      </c>
      <c r="AD341" t="s">
        <v>6569</v>
      </c>
      <c r="AE341" t="s">
        <v>6570</v>
      </c>
      <c r="AF341" t="s">
        <v>74</v>
      </c>
      <c r="AG341">
        <v>24</v>
      </c>
      <c r="AH341">
        <v>98</v>
      </c>
      <c r="AI341">
        <v>106</v>
      </c>
      <c r="AJ341">
        <v>1</v>
      </c>
      <c r="AK341">
        <v>27</v>
      </c>
      <c r="AL341" t="s">
        <v>1498</v>
      </c>
      <c r="AM341" t="s">
        <v>985</v>
      </c>
      <c r="AN341" t="s">
        <v>1499</v>
      </c>
      <c r="AO341" t="s">
        <v>6066</v>
      </c>
      <c r="AP341" t="s">
        <v>74</v>
      </c>
      <c r="AQ341" t="s">
        <v>74</v>
      </c>
      <c r="AR341" t="s">
        <v>6068</v>
      </c>
      <c r="AS341" t="s">
        <v>6069</v>
      </c>
      <c r="AT341" t="s">
        <v>6571</v>
      </c>
      <c r="AU341">
        <v>2011</v>
      </c>
      <c r="AV341">
        <v>38</v>
      </c>
      <c r="AW341" t="s">
        <v>74</v>
      </c>
      <c r="AX341" t="s">
        <v>74</v>
      </c>
      <c r="AY341" t="s">
        <v>74</v>
      </c>
      <c r="AZ341" t="s">
        <v>74</v>
      </c>
      <c r="BA341" t="s">
        <v>74</v>
      </c>
      <c r="BB341" t="s">
        <v>74</v>
      </c>
      <c r="BC341" t="s">
        <v>74</v>
      </c>
      <c r="BD341" t="s">
        <v>6572</v>
      </c>
      <c r="BE341" t="s">
        <v>6573</v>
      </c>
      <c r="BF341" t="str">
        <f>HYPERLINK("http://dx.doi.org/10.1029/2011GL050016","http://dx.doi.org/10.1029/2011GL050016")</f>
        <v>http://dx.doi.org/10.1029/2011GL050016</v>
      </c>
      <c r="BG341" t="s">
        <v>74</v>
      </c>
      <c r="BH341" t="s">
        <v>74</v>
      </c>
      <c r="BI341">
        <v>6</v>
      </c>
      <c r="BJ341" t="s">
        <v>287</v>
      </c>
      <c r="BK341" t="s">
        <v>100</v>
      </c>
      <c r="BL341" t="s">
        <v>288</v>
      </c>
      <c r="BM341" t="s">
        <v>6574</v>
      </c>
      <c r="BN341" t="s">
        <v>74</v>
      </c>
      <c r="BO341" t="s">
        <v>74</v>
      </c>
      <c r="BP341" t="s">
        <v>74</v>
      </c>
      <c r="BQ341" t="s">
        <v>74</v>
      </c>
      <c r="BR341" t="s">
        <v>102</v>
      </c>
      <c r="BS341" t="s">
        <v>6575</v>
      </c>
      <c r="BT341" t="str">
        <f>HYPERLINK("https%3A%2F%2Fwww.webofscience.com%2Fwos%2Fwoscc%2Ffull-record%2FWOS:000298261800006","View Full Record in Web of Science")</f>
        <v>View Full Record in Web of Science</v>
      </c>
    </row>
    <row r="342" spans="1:72" x14ac:dyDescent="0.15">
      <c r="A342" t="s">
        <v>72</v>
      </c>
      <c r="B342" t="s">
        <v>6576</v>
      </c>
      <c r="C342" t="s">
        <v>74</v>
      </c>
      <c r="D342" t="s">
        <v>74</v>
      </c>
      <c r="E342" t="s">
        <v>74</v>
      </c>
      <c r="F342" t="s">
        <v>6577</v>
      </c>
      <c r="G342" t="s">
        <v>74</v>
      </c>
      <c r="H342" t="s">
        <v>74</v>
      </c>
      <c r="I342" t="s">
        <v>6578</v>
      </c>
      <c r="J342" t="s">
        <v>6579</v>
      </c>
      <c r="K342" t="s">
        <v>74</v>
      </c>
      <c r="L342" t="s">
        <v>74</v>
      </c>
      <c r="M342" t="s">
        <v>78</v>
      </c>
      <c r="N342" t="s">
        <v>79</v>
      </c>
      <c r="O342" t="s">
        <v>74</v>
      </c>
      <c r="P342" t="s">
        <v>74</v>
      </c>
      <c r="Q342" t="s">
        <v>74</v>
      </c>
      <c r="R342" t="s">
        <v>74</v>
      </c>
      <c r="S342" t="s">
        <v>74</v>
      </c>
      <c r="T342" t="s">
        <v>74</v>
      </c>
      <c r="U342" t="s">
        <v>6580</v>
      </c>
      <c r="V342" t="s">
        <v>6581</v>
      </c>
      <c r="W342" t="s">
        <v>6582</v>
      </c>
      <c r="X342" t="s">
        <v>6583</v>
      </c>
      <c r="Y342" t="s">
        <v>6584</v>
      </c>
      <c r="Z342" t="s">
        <v>6585</v>
      </c>
      <c r="AA342" t="s">
        <v>6586</v>
      </c>
      <c r="AB342" t="s">
        <v>6587</v>
      </c>
      <c r="AC342" t="s">
        <v>6588</v>
      </c>
      <c r="AD342" t="s">
        <v>6589</v>
      </c>
      <c r="AE342" t="s">
        <v>6590</v>
      </c>
      <c r="AF342" t="s">
        <v>74</v>
      </c>
      <c r="AG342">
        <v>64</v>
      </c>
      <c r="AH342">
        <v>89</v>
      </c>
      <c r="AI342">
        <v>97</v>
      </c>
      <c r="AJ342">
        <v>2</v>
      </c>
      <c r="AK342">
        <v>20</v>
      </c>
      <c r="AL342" t="s">
        <v>1498</v>
      </c>
      <c r="AM342" t="s">
        <v>985</v>
      </c>
      <c r="AN342" t="s">
        <v>1499</v>
      </c>
      <c r="AO342" t="s">
        <v>6591</v>
      </c>
      <c r="AP342" t="s">
        <v>6592</v>
      </c>
      <c r="AQ342" t="s">
        <v>74</v>
      </c>
      <c r="AR342" t="s">
        <v>6579</v>
      </c>
      <c r="AS342" t="s">
        <v>6593</v>
      </c>
      <c r="AT342" t="s">
        <v>6571</v>
      </c>
      <c r="AU342">
        <v>2011</v>
      </c>
      <c r="AV342">
        <v>30</v>
      </c>
      <c r="AW342" t="s">
        <v>74</v>
      </c>
      <c r="AX342" t="s">
        <v>74</v>
      </c>
      <c r="AY342" t="s">
        <v>74</v>
      </c>
      <c r="AZ342" t="s">
        <v>74</v>
      </c>
      <c r="BA342" t="s">
        <v>74</v>
      </c>
      <c r="BB342" t="s">
        <v>74</v>
      </c>
      <c r="BC342" t="s">
        <v>74</v>
      </c>
      <c r="BD342" t="s">
        <v>6594</v>
      </c>
      <c r="BE342" t="s">
        <v>6595</v>
      </c>
      <c r="BF342" t="str">
        <f>HYPERLINK("http://dx.doi.org/10.1029/2011TC002912","http://dx.doi.org/10.1029/2011TC002912")</f>
        <v>http://dx.doi.org/10.1029/2011TC002912</v>
      </c>
      <c r="BG342" t="s">
        <v>74</v>
      </c>
      <c r="BH342" t="s">
        <v>74</v>
      </c>
      <c r="BI342">
        <v>21</v>
      </c>
      <c r="BJ342" t="s">
        <v>164</v>
      </c>
      <c r="BK342" t="s">
        <v>100</v>
      </c>
      <c r="BL342" t="s">
        <v>164</v>
      </c>
      <c r="BM342" t="s">
        <v>6596</v>
      </c>
      <c r="BN342" t="s">
        <v>74</v>
      </c>
      <c r="BO342" t="s">
        <v>365</v>
      </c>
      <c r="BP342" t="s">
        <v>74</v>
      </c>
      <c r="BQ342" t="s">
        <v>74</v>
      </c>
      <c r="BR342" t="s">
        <v>102</v>
      </c>
      <c r="BS342" t="s">
        <v>6597</v>
      </c>
      <c r="BT342" t="str">
        <f>HYPERLINK("https%3A%2F%2Fwww.webofscience.com%2Fwos%2Fwoscc%2Ffull-record%2FWOS:000298263200001","View Full Record in Web of Science")</f>
        <v>View Full Record in Web of Science</v>
      </c>
    </row>
    <row r="343" spans="1:72" x14ac:dyDescent="0.15">
      <c r="A343" t="s">
        <v>72</v>
      </c>
      <c r="B343" t="s">
        <v>6598</v>
      </c>
      <c r="C343" t="s">
        <v>74</v>
      </c>
      <c r="D343" t="s">
        <v>74</v>
      </c>
      <c r="E343" t="s">
        <v>74</v>
      </c>
      <c r="F343" t="s">
        <v>6599</v>
      </c>
      <c r="G343" t="s">
        <v>74</v>
      </c>
      <c r="H343" t="s">
        <v>74</v>
      </c>
      <c r="I343" t="s">
        <v>6600</v>
      </c>
      <c r="J343" t="s">
        <v>2376</v>
      </c>
      <c r="K343" t="s">
        <v>74</v>
      </c>
      <c r="L343" t="s">
        <v>74</v>
      </c>
      <c r="M343" t="s">
        <v>78</v>
      </c>
      <c r="N343" t="s">
        <v>79</v>
      </c>
      <c r="O343" t="s">
        <v>74</v>
      </c>
      <c r="P343" t="s">
        <v>74</v>
      </c>
      <c r="Q343" t="s">
        <v>74</v>
      </c>
      <c r="R343" t="s">
        <v>74</v>
      </c>
      <c r="S343" t="s">
        <v>74</v>
      </c>
      <c r="T343" t="s">
        <v>6601</v>
      </c>
      <c r="U343" t="s">
        <v>6602</v>
      </c>
      <c r="V343" t="s">
        <v>6603</v>
      </c>
      <c r="W343" t="s">
        <v>6604</v>
      </c>
      <c r="X343" t="s">
        <v>6605</v>
      </c>
      <c r="Y343" t="s">
        <v>6606</v>
      </c>
      <c r="Z343" t="s">
        <v>6607</v>
      </c>
      <c r="AA343" t="s">
        <v>6608</v>
      </c>
      <c r="AB343" t="s">
        <v>6609</v>
      </c>
      <c r="AC343" t="s">
        <v>6610</v>
      </c>
      <c r="AD343" t="s">
        <v>6611</v>
      </c>
      <c r="AE343" t="s">
        <v>6612</v>
      </c>
      <c r="AF343" t="s">
        <v>74</v>
      </c>
      <c r="AG343">
        <v>98</v>
      </c>
      <c r="AH343">
        <v>181</v>
      </c>
      <c r="AI343">
        <v>188</v>
      </c>
      <c r="AJ343">
        <v>0</v>
      </c>
      <c r="AK343">
        <v>67</v>
      </c>
      <c r="AL343" t="s">
        <v>155</v>
      </c>
      <c r="AM343" t="s">
        <v>156</v>
      </c>
      <c r="AN343" t="s">
        <v>157</v>
      </c>
      <c r="AO343" t="s">
        <v>2387</v>
      </c>
      <c r="AP343" t="s">
        <v>2388</v>
      </c>
      <c r="AQ343" t="s">
        <v>74</v>
      </c>
      <c r="AR343" t="s">
        <v>2389</v>
      </c>
      <c r="AS343" t="s">
        <v>2390</v>
      </c>
      <c r="AT343" t="s">
        <v>6571</v>
      </c>
      <c r="AU343">
        <v>2011</v>
      </c>
      <c r="AV343">
        <v>58</v>
      </c>
      <c r="AW343" t="s">
        <v>6613</v>
      </c>
      <c r="AX343" t="s">
        <v>74</v>
      </c>
      <c r="AY343" t="s">
        <v>74</v>
      </c>
      <c r="AZ343" t="s">
        <v>74</v>
      </c>
      <c r="BA343" t="s">
        <v>74</v>
      </c>
      <c r="BB343">
        <v>2678</v>
      </c>
      <c r="BC343">
        <v>2694</v>
      </c>
      <c r="BD343" t="s">
        <v>74</v>
      </c>
      <c r="BE343" t="s">
        <v>6614</v>
      </c>
      <c r="BF343" t="str">
        <f>HYPERLINK("http://dx.doi.org/10.1016/j.dsr2.2010.10.042","http://dx.doi.org/10.1016/j.dsr2.2010.10.042")</f>
        <v>http://dx.doi.org/10.1016/j.dsr2.2010.10.042</v>
      </c>
      <c r="BG343" t="s">
        <v>74</v>
      </c>
      <c r="BH343" t="s">
        <v>74</v>
      </c>
      <c r="BI343">
        <v>17</v>
      </c>
      <c r="BJ343" t="s">
        <v>496</v>
      </c>
      <c r="BK343" t="s">
        <v>100</v>
      </c>
      <c r="BL343" t="s">
        <v>496</v>
      </c>
      <c r="BM343" t="s">
        <v>6615</v>
      </c>
      <c r="BN343" t="s">
        <v>74</v>
      </c>
      <c r="BO343" t="s">
        <v>74</v>
      </c>
      <c r="BP343" t="s">
        <v>74</v>
      </c>
      <c r="BQ343" t="s">
        <v>74</v>
      </c>
      <c r="BR343" t="s">
        <v>102</v>
      </c>
      <c r="BS343" t="s">
        <v>6616</v>
      </c>
      <c r="BT343" t="str">
        <f>HYPERLINK("https%3A%2F%2Fwww.webofscience.com%2Fwos%2Fwoscc%2Ffull-record%2FWOS:000297002300012","View Full Record in Web of Science")</f>
        <v>View Full Record in Web of Science</v>
      </c>
    </row>
    <row r="344" spans="1:72" x14ac:dyDescent="0.15">
      <c r="A344" t="s">
        <v>72</v>
      </c>
      <c r="B344" t="s">
        <v>6617</v>
      </c>
      <c r="C344" t="s">
        <v>74</v>
      </c>
      <c r="D344" t="s">
        <v>74</v>
      </c>
      <c r="E344" t="s">
        <v>74</v>
      </c>
      <c r="F344" t="s">
        <v>6618</v>
      </c>
      <c r="G344" t="s">
        <v>74</v>
      </c>
      <c r="H344" t="s">
        <v>74</v>
      </c>
      <c r="I344" t="s">
        <v>6619</v>
      </c>
      <c r="J344" t="s">
        <v>2376</v>
      </c>
      <c r="K344" t="s">
        <v>74</v>
      </c>
      <c r="L344" t="s">
        <v>74</v>
      </c>
      <c r="M344" t="s">
        <v>78</v>
      </c>
      <c r="N344" t="s">
        <v>79</v>
      </c>
      <c r="O344" t="s">
        <v>74</v>
      </c>
      <c r="P344" t="s">
        <v>74</v>
      </c>
      <c r="Q344" t="s">
        <v>74</v>
      </c>
      <c r="R344" t="s">
        <v>74</v>
      </c>
      <c r="S344" t="s">
        <v>74</v>
      </c>
      <c r="T344" t="s">
        <v>6620</v>
      </c>
      <c r="U344" t="s">
        <v>6621</v>
      </c>
      <c r="V344" t="s">
        <v>6622</v>
      </c>
      <c r="W344" t="s">
        <v>6623</v>
      </c>
      <c r="X344" t="s">
        <v>6624</v>
      </c>
      <c r="Y344" t="s">
        <v>6625</v>
      </c>
      <c r="Z344" t="s">
        <v>6626</v>
      </c>
      <c r="AA344" t="s">
        <v>6627</v>
      </c>
      <c r="AB344" t="s">
        <v>6628</v>
      </c>
      <c r="AC344" t="s">
        <v>6629</v>
      </c>
      <c r="AD344" t="s">
        <v>6630</v>
      </c>
      <c r="AE344" t="s">
        <v>6631</v>
      </c>
      <c r="AF344" t="s">
        <v>74</v>
      </c>
      <c r="AG344">
        <v>130</v>
      </c>
      <c r="AH344">
        <v>66</v>
      </c>
      <c r="AI344">
        <v>73</v>
      </c>
      <c r="AJ344">
        <v>1</v>
      </c>
      <c r="AK344">
        <v>46</v>
      </c>
      <c r="AL344" t="s">
        <v>155</v>
      </c>
      <c r="AM344" t="s">
        <v>156</v>
      </c>
      <c r="AN344" t="s">
        <v>157</v>
      </c>
      <c r="AO344" t="s">
        <v>2387</v>
      </c>
      <c r="AP344" t="s">
        <v>2388</v>
      </c>
      <c r="AQ344" t="s">
        <v>74</v>
      </c>
      <c r="AR344" t="s">
        <v>2389</v>
      </c>
      <c r="AS344" t="s">
        <v>2390</v>
      </c>
      <c r="AT344" t="s">
        <v>6571</v>
      </c>
      <c r="AU344">
        <v>2011</v>
      </c>
      <c r="AV344">
        <v>58</v>
      </c>
      <c r="AW344" t="s">
        <v>6613</v>
      </c>
      <c r="AX344" t="s">
        <v>74</v>
      </c>
      <c r="AY344" t="s">
        <v>74</v>
      </c>
      <c r="AZ344" t="s">
        <v>74</v>
      </c>
      <c r="BA344" t="s">
        <v>74</v>
      </c>
      <c r="BB344">
        <v>2707</v>
      </c>
      <c r="BC344">
        <v>2719</v>
      </c>
      <c r="BD344" t="s">
        <v>74</v>
      </c>
      <c r="BE344" t="s">
        <v>6632</v>
      </c>
      <c r="BF344" t="str">
        <f>HYPERLINK("http://dx.doi.org/10.1016/j.dsr2.2010.10.041","http://dx.doi.org/10.1016/j.dsr2.2010.10.041")</f>
        <v>http://dx.doi.org/10.1016/j.dsr2.2010.10.041</v>
      </c>
      <c r="BG344" t="s">
        <v>74</v>
      </c>
      <c r="BH344" t="s">
        <v>74</v>
      </c>
      <c r="BI344">
        <v>13</v>
      </c>
      <c r="BJ344" t="s">
        <v>496</v>
      </c>
      <c r="BK344" t="s">
        <v>100</v>
      </c>
      <c r="BL344" t="s">
        <v>496</v>
      </c>
      <c r="BM344" t="s">
        <v>6615</v>
      </c>
      <c r="BN344" t="s">
        <v>74</v>
      </c>
      <c r="BO344" t="s">
        <v>74</v>
      </c>
      <c r="BP344" t="s">
        <v>74</v>
      </c>
      <c r="BQ344" t="s">
        <v>74</v>
      </c>
      <c r="BR344" t="s">
        <v>102</v>
      </c>
      <c r="BS344" t="s">
        <v>6633</v>
      </c>
      <c r="BT344" t="str">
        <f>HYPERLINK("https%3A%2F%2Fwww.webofscience.com%2Fwos%2Fwoscc%2Ffull-record%2FWOS:000297002300014","View Full Record in Web of Science")</f>
        <v>View Full Record in Web of Science</v>
      </c>
    </row>
    <row r="345" spans="1:72" x14ac:dyDescent="0.15">
      <c r="A345" t="s">
        <v>72</v>
      </c>
      <c r="B345" t="s">
        <v>6634</v>
      </c>
      <c r="C345" t="s">
        <v>74</v>
      </c>
      <c r="D345" t="s">
        <v>74</v>
      </c>
      <c r="E345" t="s">
        <v>74</v>
      </c>
      <c r="F345" t="s">
        <v>6635</v>
      </c>
      <c r="G345" t="s">
        <v>74</v>
      </c>
      <c r="H345" t="s">
        <v>74</v>
      </c>
      <c r="I345" t="s">
        <v>6636</v>
      </c>
      <c r="J345" t="s">
        <v>2376</v>
      </c>
      <c r="K345" t="s">
        <v>74</v>
      </c>
      <c r="L345" t="s">
        <v>74</v>
      </c>
      <c r="M345" t="s">
        <v>78</v>
      </c>
      <c r="N345" t="s">
        <v>79</v>
      </c>
      <c r="O345" t="s">
        <v>74</v>
      </c>
      <c r="P345" t="s">
        <v>74</v>
      </c>
      <c r="Q345" t="s">
        <v>74</v>
      </c>
      <c r="R345" t="s">
        <v>74</v>
      </c>
      <c r="S345" t="s">
        <v>74</v>
      </c>
      <c r="T345" t="s">
        <v>74</v>
      </c>
      <c r="U345" t="s">
        <v>6637</v>
      </c>
      <c r="V345" t="s">
        <v>6638</v>
      </c>
      <c r="W345" t="s">
        <v>6639</v>
      </c>
      <c r="X345" t="s">
        <v>6624</v>
      </c>
      <c r="Y345" t="s">
        <v>6625</v>
      </c>
      <c r="Z345" t="s">
        <v>6626</v>
      </c>
      <c r="AA345" t="s">
        <v>6640</v>
      </c>
      <c r="AB345" t="s">
        <v>6628</v>
      </c>
      <c r="AC345" t="s">
        <v>6629</v>
      </c>
      <c r="AD345" t="s">
        <v>6630</v>
      </c>
      <c r="AE345" t="s">
        <v>6641</v>
      </c>
      <c r="AF345" t="s">
        <v>74</v>
      </c>
      <c r="AG345">
        <v>132</v>
      </c>
      <c r="AH345">
        <v>56</v>
      </c>
      <c r="AI345">
        <v>60</v>
      </c>
      <c r="AJ345">
        <v>3</v>
      </c>
      <c r="AK345">
        <v>48</v>
      </c>
      <c r="AL345" t="s">
        <v>155</v>
      </c>
      <c r="AM345" t="s">
        <v>156</v>
      </c>
      <c r="AN345" t="s">
        <v>157</v>
      </c>
      <c r="AO345" t="s">
        <v>2387</v>
      </c>
      <c r="AP345" t="s">
        <v>2388</v>
      </c>
      <c r="AQ345" t="s">
        <v>74</v>
      </c>
      <c r="AR345" t="s">
        <v>2389</v>
      </c>
      <c r="AS345" t="s">
        <v>2390</v>
      </c>
      <c r="AT345" t="s">
        <v>6571</v>
      </c>
      <c r="AU345">
        <v>2011</v>
      </c>
      <c r="AV345">
        <v>58</v>
      </c>
      <c r="AW345" t="s">
        <v>6613</v>
      </c>
      <c r="AX345" t="s">
        <v>74</v>
      </c>
      <c r="AY345" t="s">
        <v>74</v>
      </c>
      <c r="AZ345" t="s">
        <v>74</v>
      </c>
      <c r="BA345" t="s">
        <v>74</v>
      </c>
      <c r="BB345">
        <v>2720</v>
      </c>
      <c r="BC345">
        <v>2732</v>
      </c>
      <c r="BD345" t="s">
        <v>74</v>
      </c>
      <c r="BE345" t="s">
        <v>6642</v>
      </c>
      <c r="BF345" t="str">
        <f>HYPERLINK("http://dx.doi.org/10.1016/j.dsr2.2011.02.003","http://dx.doi.org/10.1016/j.dsr2.2011.02.003")</f>
        <v>http://dx.doi.org/10.1016/j.dsr2.2011.02.003</v>
      </c>
      <c r="BG345" t="s">
        <v>74</v>
      </c>
      <c r="BH345" t="s">
        <v>74</v>
      </c>
      <c r="BI345">
        <v>13</v>
      </c>
      <c r="BJ345" t="s">
        <v>496</v>
      </c>
      <c r="BK345" t="s">
        <v>100</v>
      </c>
      <c r="BL345" t="s">
        <v>496</v>
      </c>
      <c r="BM345" t="s">
        <v>6615</v>
      </c>
      <c r="BN345" t="s">
        <v>74</v>
      </c>
      <c r="BO345" t="s">
        <v>74</v>
      </c>
      <c r="BP345" t="s">
        <v>74</v>
      </c>
      <c r="BQ345" t="s">
        <v>74</v>
      </c>
      <c r="BR345" t="s">
        <v>102</v>
      </c>
      <c r="BS345" t="s">
        <v>6643</v>
      </c>
      <c r="BT345" t="str">
        <f>HYPERLINK("https%3A%2F%2Fwww.webofscience.com%2Fwos%2Fwoscc%2Ffull-record%2FWOS:000297002300015","View Full Record in Web of Science")</f>
        <v>View Full Record in Web of Science</v>
      </c>
    </row>
    <row r="346" spans="1:72" x14ac:dyDescent="0.15">
      <c r="A346" t="s">
        <v>72</v>
      </c>
      <c r="B346" t="s">
        <v>6644</v>
      </c>
      <c r="C346" t="s">
        <v>74</v>
      </c>
      <c r="D346" t="s">
        <v>74</v>
      </c>
      <c r="E346" t="s">
        <v>74</v>
      </c>
      <c r="F346" t="s">
        <v>6645</v>
      </c>
      <c r="G346" t="s">
        <v>74</v>
      </c>
      <c r="H346" t="s">
        <v>74</v>
      </c>
      <c r="I346" t="s">
        <v>6646</v>
      </c>
      <c r="J346" t="s">
        <v>2376</v>
      </c>
      <c r="K346" t="s">
        <v>74</v>
      </c>
      <c r="L346" t="s">
        <v>74</v>
      </c>
      <c r="M346" t="s">
        <v>78</v>
      </c>
      <c r="N346" t="s">
        <v>79</v>
      </c>
      <c r="O346" t="s">
        <v>74</v>
      </c>
      <c r="P346" t="s">
        <v>74</v>
      </c>
      <c r="Q346" t="s">
        <v>74</v>
      </c>
      <c r="R346" t="s">
        <v>74</v>
      </c>
      <c r="S346" t="s">
        <v>74</v>
      </c>
      <c r="T346" t="s">
        <v>6647</v>
      </c>
      <c r="U346" t="s">
        <v>6648</v>
      </c>
      <c r="V346" t="s">
        <v>6649</v>
      </c>
      <c r="W346" t="s">
        <v>6650</v>
      </c>
      <c r="X346" t="s">
        <v>3984</v>
      </c>
      <c r="Y346" t="s">
        <v>6651</v>
      </c>
      <c r="Z346" t="s">
        <v>6652</v>
      </c>
      <c r="AA346" t="s">
        <v>74</v>
      </c>
      <c r="AB346" t="s">
        <v>6653</v>
      </c>
      <c r="AC346" t="s">
        <v>6654</v>
      </c>
      <c r="AD346" t="s">
        <v>6655</v>
      </c>
      <c r="AE346" t="s">
        <v>6656</v>
      </c>
      <c r="AF346" t="s">
        <v>74</v>
      </c>
      <c r="AG346">
        <v>66</v>
      </c>
      <c r="AH346">
        <v>25</v>
      </c>
      <c r="AI346">
        <v>30</v>
      </c>
      <c r="AJ346">
        <v>1</v>
      </c>
      <c r="AK346">
        <v>24</v>
      </c>
      <c r="AL346" t="s">
        <v>155</v>
      </c>
      <c r="AM346" t="s">
        <v>156</v>
      </c>
      <c r="AN346" t="s">
        <v>157</v>
      </c>
      <c r="AO346" t="s">
        <v>2387</v>
      </c>
      <c r="AP346" t="s">
        <v>2388</v>
      </c>
      <c r="AQ346" t="s">
        <v>74</v>
      </c>
      <c r="AR346" t="s">
        <v>2389</v>
      </c>
      <c r="AS346" t="s">
        <v>2390</v>
      </c>
      <c r="AT346" t="s">
        <v>6571</v>
      </c>
      <c r="AU346">
        <v>2011</v>
      </c>
      <c r="AV346">
        <v>58</v>
      </c>
      <c r="AW346" t="s">
        <v>6613</v>
      </c>
      <c r="AX346" t="s">
        <v>74</v>
      </c>
      <c r="AY346" t="s">
        <v>74</v>
      </c>
      <c r="AZ346" t="s">
        <v>74</v>
      </c>
      <c r="BA346" t="s">
        <v>74</v>
      </c>
      <c r="BB346">
        <v>2767</v>
      </c>
      <c r="BC346">
        <v>2784</v>
      </c>
      <c r="BD346" t="s">
        <v>74</v>
      </c>
      <c r="BE346" t="s">
        <v>6657</v>
      </c>
      <c r="BF346" t="str">
        <f>HYPERLINK("http://dx.doi.org/10.1016/j.dsr2.2010.10.040","http://dx.doi.org/10.1016/j.dsr2.2010.10.040")</f>
        <v>http://dx.doi.org/10.1016/j.dsr2.2010.10.040</v>
      </c>
      <c r="BG346" t="s">
        <v>74</v>
      </c>
      <c r="BH346" t="s">
        <v>74</v>
      </c>
      <c r="BI346">
        <v>18</v>
      </c>
      <c r="BJ346" t="s">
        <v>496</v>
      </c>
      <c r="BK346" t="s">
        <v>100</v>
      </c>
      <c r="BL346" t="s">
        <v>496</v>
      </c>
      <c r="BM346" t="s">
        <v>6615</v>
      </c>
      <c r="BN346" t="s">
        <v>74</v>
      </c>
      <c r="BO346" t="s">
        <v>74</v>
      </c>
      <c r="BP346" t="s">
        <v>74</v>
      </c>
      <c r="BQ346" t="s">
        <v>74</v>
      </c>
      <c r="BR346" t="s">
        <v>102</v>
      </c>
      <c r="BS346" t="s">
        <v>6658</v>
      </c>
      <c r="BT346" t="str">
        <f>HYPERLINK("https%3A%2F%2Fwww.webofscience.com%2Fwos%2Fwoscc%2Ffull-record%2FWOS:000297002300018","View Full Record in Web of Science")</f>
        <v>View Full Record in Web of Science</v>
      </c>
    </row>
    <row r="347" spans="1:72" x14ac:dyDescent="0.15">
      <c r="A347" t="s">
        <v>72</v>
      </c>
      <c r="B347" t="s">
        <v>6659</v>
      </c>
      <c r="C347" t="s">
        <v>74</v>
      </c>
      <c r="D347" t="s">
        <v>74</v>
      </c>
      <c r="E347" t="s">
        <v>74</v>
      </c>
      <c r="F347" t="s">
        <v>6660</v>
      </c>
      <c r="G347" t="s">
        <v>74</v>
      </c>
      <c r="H347" t="s">
        <v>74</v>
      </c>
      <c r="I347" t="s">
        <v>6661</v>
      </c>
      <c r="J347" t="s">
        <v>6662</v>
      </c>
      <c r="K347" t="s">
        <v>74</v>
      </c>
      <c r="L347" t="s">
        <v>74</v>
      </c>
      <c r="M347" t="s">
        <v>78</v>
      </c>
      <c r="N347" t="s">
        <v>79</v>
      </c>
      <c r="O347" t="s">
        <v>74</v>
      </c>
      <c r="P347" t="s">
        <v>74</v>
      </c>
      <c r="Q347" t="s">
        <v>74</v>
      </c>
      <c r="R347" t="s">
        <v>74</v>
      </c>
      <c r="S347" t="s">
        <v>74</v>
      </c>
      <c r="T347" t="s">
        <v>6663</v>
      </c>
      <c r="U347" t="s">
        <v>6664</v>
      </c>
      <c r="V347" t="s">
        <v>6665</v>
      </c>
      <c r="W347" t="s">
        <v>6666</v>
      </c>
      <c r="X347" t="s">
        <v>6667</v>
      </c>
      <c r="Y347" t="s">
        <v>6668</v>
      </c>
      <c r="Z347" t="s">
        <v>6669</v>
      </c>
      <c r="AA347" t="s">
        <v>6670</v>
      </c>
      <c r="AB347" t="s">
        <v>6671</v>
      </c>
      <c r="AC347" t="s">
        <v>6672</v>
      </c>
      <c r="AD347" t="s">
        <v>6673</v>
      </c>
      <c r="AE347" t="s">
        <v>6674</v>
      </c>
      <c r="AF347" t="s">
        <v>74</v>
      </c>
      <c r="AG347">
        <v>77</v>
      </c>
      <c r="AH347">
        <v>112</v>
      </c>
      <c r="AI347">
        <v>125</v>
      </c>
      <c r="AJ347">
        <v>2</v>
      </c>
      <c r="AK347">
        <v>91</v>
      </c>
      <c r="AL347" t="s">
        <v>3479</v>
      </c>
      <c r="AM347" t="s">
        <v>334</v>
      </c>
      <c r="AN347" t="s">
        <v>3480</v>
      </c>
      <c r="AO347" t="s">
        <v>6675</v>
      </c>
      <c r="AP347" t="s">
        <v>6676</v>
      </c>
      <c r="AQ347" t="s">
        <v>74</v>
      </c>
      <c r="AR347" t="s">
        <v>6677</v>
      </c>
      <c r="AS347" t="s">
        <v>6678</v>
      </c>
      <c r="AT347" t="s">
        <v>6571</v>
      </c>
      <c r="AU347">
        <v>2011</v>
      </c>
      <c r="AV347">
        <v>312</v>
      </c>
      <c r="AW347" t="s">
        <v>6679</v>
      </c>
      <c r="AX347" t="s">
        <v>74</v>
      </c>
      <c r="AY347" t="s">
        <v>74</v>
      </c>
      <c r="AZ347" t="s">
        <v>74</v>
      </c>
      <c r="BA347" t="s">
        <v>74</v>
      </c>
      <c r="BB347">
        <v>443</v>
      </c>
      <c r="BC347">
        <v>452</v>
      </c>
      <c r="BD347" t="s">
        <v>74</v>
      </c>
      <c r="BE347" t="s">
        <v>6680</v>
      </c>
      <c r="BF347" t="str">
        <f>HYPERLINK("http://dx.doi.org/10.1016/j.epsl.2011.10.008","http://dx.doi.org/10.1016/j.epsl.2011.10.008")</f>
        <v>http://dx.doi.org/10.1016/j.epsl.2011.10.008</v>
      </c>
      <c r="BG347" t="s">
        <v>74</v>
      </c>
      <c r="BH347" t="s">
        <v>74</v>
      </c>
      <c r="BI347">
        <v>10</v>
      </c>
      <c r="BJ347" t="s">
        <v>164</v>
      </c>
      <c r="BK347" t="s">
        <v>100</v>
      </c>
      <c r="BL347" t="s">
        <v>164</v>
      </c>
      <c r="BM347" t="s">
        <v>6681</v>
      </c>
      <c r="BN347" t="s">
        <v>74</v>
      </c>
      <c r="BO347" t="s">
        <v>182</v>
      </c>
      <c r="BP347" t="s">
        <v>74</v>
      </c>
      <c r="BQ347" t="s">
        <v>74</v>
      </c>
      <c r="BR347" t="s">
        <v>102</v>
      </c>
      <c r="BS347" t="s">
        <v>6682</v>
      </c>
      <c r="BT347" t="str">
        <f>HYPERLINK("https%3A%2F%2Fwww.webofscience.com%2Fwos%2Fwoscc%2Ffull-record%2FWOS:000299399900019","View Full Record in Web of Science")</f>
        <v>View Full Record in Web of Science</v>
      </c>
    </row>
    <row r="348" spans="1:72" x14ac:dyDescent="0.15">
      <c r="A348" t="s">
        <v>72</v>
      </c>
      <c r="B348" t="s">
        <v>6683</v>
      </c>
      <c r="C348" t="s">
        <v>74</v>
      </c>
      <c r="D348" t="s">
        <v>74</v>
      </c>
      <c r="E348" t="s">
        <v>74</v>
      </c>
      <c r="F348" t="s">
        <v>6684</v>
      </c>
      <c r="G348" t="s">
        <v>74</v>
      </c>
      <c r="H348" t="s">
        <v>74</v>
      </c>
      <c r="I348" t="s">
        <v>6685</v>
      </c>
      <c r="J348" t="s">
        <v>3815</v>
      </c>
      <c r="K348" t="s">
        <v>74</v>
      </c>
      <c r="L348" t="s">
        <v>74</v>
      </c>
      <c r="M348" t="s">
        <v>78</v>
      </c>
      <c r="N348" t="s">
        <v>79</v>
      </c>
      <c r="O348" t="s">
        <v>74</v>
      </c>
      <c r="P348" t="s">
        <v>74</v>
      </c>
      <c r="Q348" t="s">
        <v>74</v>
      </c>
      <c r="R348" t="s">
        <v>74</v>
      </c>
      <c r="S348" t="s">
        <v>74</v>
      </c>
      <c r="T348" t="s">
        <v>74</v>
      </c>
      <c r="U348" t="s">
        <v>6686</v>
      </c>
      <c r="V348" t="s">
        <v>6687</v>
      </c>
      <c r="W348" t="s">
        <v>6688</v>
      </c>
      <c r="X348" t="s">
        <v>1517</v>
      </c>
      <c r="Y348" t="s">
        <v>6689</v>
      </c>
      <c r="Z348" t="s">
        <v>6690</v>
      </c>
      <c r="AA348" t="s">
        <v>6691</v>
      </c>
      <c r="AB348" t="s">
        <v>6692</v>
      </c>
      <c r="AC348" t="s">
        <v>6693</v>
      </c>
      <c r="AD348" t="s">
        <v>6694</v>
      </c>
      <c r="AE348" t="s">
        <v>6695</v>
      </c>
      <c r="AF348" t="s">
        <v>74</v>
      </c>
      <c r="AG348">
        <v>75</v>
      </c>
      <c r="AH348">
        <v>59</v>
      </c>
      <c r="AI348">
        <v>60</v>
      </c>
      <c r="AJ348">
        <v>1</v>
      </c>
      <c r="AK348">
        <v>31</v>
      </c>
      <c r="AL348" t="s">
        <v>3775</v>
      </c>
      <c r="AM348" t="s">
        <v>3776</v>
      </c>
      <c r="AN348" t="s">
        <v>3777</v>
      </c>
      <c r="AO348" t="s">
        <v>3827</v>
      </c>
      <c r="AP348" t="s">
        <v>3828</v>
      </c>
      <c r="AQ348" t="s">
        <v>74</v>
      </c>
      <c r="AR348" t="s">
        <v>3829</v>
      </c>
      <c r="AS348" t="s">
        <v>3830</v>
      </c>
      <c r="AT348" t="s">
        <v>6571</v>
      </c>
      <c r="AU348">
        <v>2011</v>
      </c>
      <c r="AV348">
        <v>24</v>
      </c>
      <c r="AW348">
        <v>24</v>
      </c>
      <c r="AX348" t="s">
        <v>74</v>
      </c>
      <c r="AY348" t="s">
        <v>74</v>
      </c>
      <c r="AZ348" t="s">
        <v>74</v>
      </c>
      <c r="BA348" t="s">
        <v>74</v>
      </c>
      <c r="BB348">
        <v>6283</v>
      </c>
      <c r="BC348">
        <v>6306</v>
      </c>
      <c r="BD348" t="s">
        <v>74</v>
      </c>
      <c r="BE348" t="s">
        <v>6696</v>
      </c>
      <c r="BF348" t="str">
        <f>HYPERLINK("http://dx.doi.org/10.1175/2011JCLI3858.1","http://dx.doi.org/10.1175/2011JCLI3858.1")</f>
        <v>http://dx.doi.org/10.1175/2011JCLI3858.1</v>
      </c>
      <c r="BG348" t="s">
        <v>74</v>
      </c>
      <c r="BH348" t="s">
        <v>74</v>
      </c>
      <c r="BI348">
        <v>24</v>
      </c>
      <c r="BJ348" t="s">
        <v>463</v>
      </c>
      <c r="BK348" t="s">
        <v>100</v>
      </c>
      <c r="BL348" t="s">
        <v>463</v>
      </c>
      <c r="BM348" t="s">
        <v>6697</v>
      </c>
      <c r="BN348" t="s">
        <v>74</v>
      </c>
      <c r="BO348" t="s">
        <v>74</v>
      </c>
      <c r="BP348" t="s">
        <v>74</v>
      </c>
      <c r="BQ348" t="s">
        <v>74</v>
      </c>
      <c r="BR348" t="s">
        <v>102</v>
      </c>
      <c r="BS348" t="s">
        <v>6698</v>
      </c>
      <c r="BT348" t="str">
        <f>HYPERLINK("https%3A%2F%2Fwww.webofscience.com%2Fwos%2Fwoscc%2Ffull-record%2FWOS:000298201300002","View Full Record in Web of Science")</f>
        <v>View Full Record in Web of Science</v>
      </c>
    </row>
    <row r="349" spans="1:72" x14ac:dyDescent="0.15">
      <c r="A349" t="s">
        <v>72</v>
      </c>
      <c r="B349" t="s">
        <v>6699</v>
      </c>
      <c r="C349" t="s">
        <v>74</v>
      </c>
      <c r="D349" t="s">
        <v>74</v>
      </c>
      <c r="E349" t="s">
        <v>74</v>
      </c>
      <c r="F349" t="s">
        <v>6700</v>
      </c>
      <c r="G349" t="s">
        <v>74</v>
      </c>
      <c r="H349" t="s">
        <v>74</v>
      </c>
      <c r="I349" t="s">
        <v>6701</v>
      </c>
      <c r="J349" t="s">
        <v>6224</v>
      </c>
      <c r="K349" t="s">
        <v>74</v>
      </c>
      <c r="L349" t="s">
        <v>74</v>
      </c>
      <c r="M349" t="s">
        <v>78</v>
      </c>
      <c r="N349" t="s">
        <v>79</v>
      </c>
      <c r="O349" t="s">
        <v>74</v>
      </c>
      <c r="P349" t="s">
        <v>74</v>
      </c>
      <c r="Q349" t="s">
        <v>74</v>
      </c>
      <c r="R349" t="s">
        <v>74</v>
      </c>
      <c r="S349" t="s">
        <v>74</v>
      </c>
      <c r="T349" t="s">
        <v>74</v>
      </c>
      <c r="U349" t="s">
        <v>6702</v>
      </c>
      <c r="V349" t="s">
        <v>6703</v>
      </c>
      <c r="W349" t="s">
        <v>6704</v>
      </c>
      <c r="X349" t="s">
        <v>6705</v>
      </c>
      <c r="Y349" t="s">
        <v>6706</v>
      </c>
      <c r="Z349" t="s">
        <v>6707</v>
      </c>
      <c r="AA349" t="s">
        <v>6708</v>
      </c>
      <c r="AB349" t="s">
        <v>6709</v>
      </c>
      <c r="AC349" t="s">
        <v>6710</v>
      </c>
      <c r="AD349" t="s">
        <v>6711</v>
      </c>
      <c r="AE349" t="s">
        <v>6712</v>
      </c>
      <c r="AF349" t="s">
        <v>74</v>
      </c>
      <c r="AG349">
        <v>81</v>
      </c>
      <c r="AH349">
        <v>25</v>
      </c>
      <c r="AI349">
        <v>30</v>
      </c>
      <c r="AJ349">
        <v>2</v>
      </c>
      <c r="AK349">
        <v>9</v>
      </c>
      <c r="AL349" t="s">
        <v>1498</v>
      </c>
      <c r="AM349" t="s">
        <v>985</v>
      </c>
      <c r="AN349" t="s">
        <v>1499</v>
      </c>
      <c r="AO349" t="s">
        <v>6236</v>
      </c>
      <c r="AP349" t="s">
        <v>6237</v>
      </c>
      <c r="AQ349" t="s">
        <v>74</v>
      </c>
      <c r="AR349" t="s">
        <v>6238</v>
      </c>
      <c r="AS349" t="s">
        <v>6239</v>
      </c>
      <c r="AT349" t="s">
        <v>6571</v>
      </c>
      <c r="AU349">
        <v>2011</v>
      </c>
      <c r="AV349">
        <v>116</v>
      </c>
      <c r="AW349" t="s">
        <v>74</v>
      </c>
      <c r="AX349" t="s">
        <v>74</v>
      </c>
      <c r="AY349" t="s">
        <v>74</v>
      </c>
      <c r="AZ349" t="s">
        <v>74</v>
      </c>
      <c r="BA349" t="s">
        <v>74</v>
      </c>
      <c r="BB349" t="s">
        <v>74</v>
      </c>
      <c r="BC349" t="s">
        <v>74</v>
      </c>
      <c r="BD349" t="s">
        <v>6713</v>
      </c>
      <c r="BE349" t="s">
        <v>6714</v>
      </c>
      <c r="BF349" t="str">
        <f>HYPERLINK("http://dx.doi.org/10.1029/2011JD016383","http://dx.doi.org/10.1029/2011JD016383")</f>
        <v>http://dx.doi.org/10.1029/2011JD016383</v>
      </c>
      <c r="BG349" t="s">
        <v>74</v>
      </c>
      <c r="BH349" t="s">
        <v>74</v>
      </c>
      <c r="BI349">
        <v>18</v>
      </c>
      <c r="BJ349" t="s">
        <v>463</v>
      </c>
      <c r="BK349" t="s">
        <v>100</v>
      </c>
      <c r="BL349" t="s">
        <v>463</v>
      </c>
      <c r="BM349" t="s">
        <v>6715</v>
      </c>
      <c r="BN349" t="s">
        <v>74</v>
      </c>
      <c r="BO349" t="s">
        <v>6160</v>
      </c>
      <c r="BP349" t="s">
        <v>74</v>
      </c>
      <c r="BQ349" t="s">
        <v>74</v>
      </c>
      <c r="BR349" t="s">
        <v>102</v>
      </c>
      <c r="BS349" t="s">
        <v>6716</v>
      </c>
      <c r="BT349" t="str">
        <f>HYPERLINK("https%3A%2F%2Fwww.webofscience.com%2Fwos%2Fwoscc%2Ffull-record%2FWOS:000298255300008","View Full Record in Web of Science")</f>
        <v>View Full Record in Web of Science</v>
      </c>
    </row>
    <row r="350" spans="1:72" x14ac:dyDescent="0.15">
      <c r="A350" t="s">
        <v>72</v>
      </c>
      <c r="B350" t="s">
        <v>6717</v>
      </c>
      <c r="C350" t="s">
        <v>74</v>
      </c>
      <c r="D350" t="s">
        <v>74</v>
      </c>
      <c r="E350" t="s">
        <v>74</v>
      </c>
      <c r="F350" t="s">
        <v>6718</v>
      </c>
      <c r="G350" t="s">
        <v>74</v>
      </c>
      <c r="H350" t="s">
        <v>74</v>
      </c>
      <c r="I350" t="s">
        <v>6719</v>
      </c>
      <c r="J350" t="s">
        <v>6224</v>
      </c>
      <c r="K350" t="s">
        <v>74</v>
      </c>
      <c r="L350" t="s">
        <v>74</v>
      </c>
      <c r="M350" t="s">
        <v>78</v>
      </c>
      <c r="N350" t="s">
        <v>79</v>
      </c>
      <c r="O350" t="s">
        <v>74</v>
      </c>
      <c r="P350" t="s">
        <v>74</v>
      </c>
      <c r="Q350" t="s">
        <v>74</v>
      </c>
      <c r="R350" t="s">
        <v>74</v>
      </c>
      <c r="S350" t="s">
        <v>74</v>
      </c>
      <c r="T350" t="s">
        <v>74</v>
      </c>
      <c r="U350" t="s">
        <v>6720</v>
      </c>
      <c r="V350" t="s">
        <v>6721</v>
      </c>
      <c r="W350" t="s">
        <v>6722</v>
      </c>
      <c r="X350" t="s">
        <v>6723</v>
      </c>
      <c r="Y350" t="s">
        <v>6724</v>
      </c>
      <c r="Z350" t="s">
        <v>6725</v>
      </c>
      <c r="AA350" t="s">
        <v>6726</v>
      </c>
      <c r="AB350" t="s">
        <v>6727</v>
      </c>
      <c r="AC350" t="s">
        <v>6728</v>
      </c>
      <c r="AD350" t="s">
        <v>6729</v>
      </c>
      <c r="AE350" t="s">
        <v>6730</v>
      </c>
      <c r="AF350" t="s">
        <v>74</v>
      </c>
      <c r="AG350">
        <v>79</v>
      </c>
      <c r="AH350">
        <v>22</v>
      </c>
      <c r="AI350">
        <v>23</v>
      </c>
      <c r="AJ350">
        <v>1</v>
      </c>
      <c r="AK350">
        <v>5</v>
      </c>
      <c r="AL350" t="s">
        <v>1498</v>
      </c>
      <c r="AM350" t="s">
        <v>985</v>
      </c>
      <c r="AN350" t="s">
        <v>1499</v>
      </c>
      <c r="AO350" t="s">
        <v>6236</v>
      </c>
      <c r="AP350" t="s">
        <v>6237</v>
      </c>
      <c r="AQ350" t="s">
        <v>74</v>
      </c>
      <c r="AR350" t="s">
        <v>6238</v>
      </c>
      <c r="AS350" t="s">
        <v>6239</v>
      </c>
      <c r="AT350" t="s">
        <v>6571</v>
      </c>
      <c r="AU350">
        <v>2011</v>
      </c>
      <c r="AV350">
        <v>116</v>
      </c>
      <c r="AW350" t="s">
        <v>74</v>
      </c>
      <c r="AX350" t="s">
        <v>74</v>
      </c>
      <c r="AY350" t="s">
        <v>74</v>
      </c>
      <c r="AZ350" t="s">
        <v>74</v>
      </c>
      <c r="BA350" t="s">
        <v>74</v>
      </c>
      <c r="BB350" t="s">
        <v>74</v>
      </c>
      <c r="BC350" t="s">
        <v>74</v>
      </c>
      <c r="BD350" t="s">
        <v>6731</v>
      </c>
      <c r="BE350" t="s">
        <v>6732</v>
      </c>
      <c r="BF350" t="str">
        <f>HYPERLINK("http://dx.doi.org/10.1029/2011JD016530","http://dx.doi.org/10.1029/2011JD016530")</f>
        <v>http://dx.doi.org/10.1029/2011JD016530</v>
      </c>
      <c r="BG350" t="s">
        <v>74</v>
      </c>
      <c r="BH350" t="s">
        <v>74</v>
      </c>
      <c r="BI350">
        <v>14</v>
      </c>
      <c r="BJ350" t="s">
        <v>463</v>
      </c>
      <c r="BK350" t="s">
        <v>100</v>
      </c>
      <c r="BL350" t="s">
        <v>463</v>
      </c>
      <c r="BM350" t="s">
        <v>6715</v>
      </c>
      <c r="BN350" t="s">
        <v>74</v>
      </c>
      <c r="BO350" t="s">
        <v>365</v>
      </c>
      <c r="BP350" t="s">
        <v>74</v>
      </c>
      <c r="BQ350" t="s">
        <v>74</v>
      </c>
      <c r="BR350" t="s">
        <v>102</v>
      </c>
      <c r="BS350" t="s">
        <v>6733</v>
      </c>
      <c r="BT350" t="str">
        <f>HYPERLINK("https%3A%2F%2Fwww.webofscience.com%2Fwos%2Fwoscc%2Ffull-record%2FWOS:000298255300009","View Full Record in Web of Science")</f>
        <v>View Full Record in Web of Science</v>
      </c>
    </row>
    <row r="351" spans="1:72" x14ac:dyDescent="0.15">
      <c r="A351" t="s">
        <v>72</v>
      </c>
      <c r="B351" t="s">
        <v>6734</v>
      </c>
      <c r="C351" t="s">
        <v>74</v>
      </c>
      <c r="D351" t="s">
        <v>74</v>
      </c>
      <c r="E351" t="s">
        <v>74</v>
      </c>
      <c r="F351" t="s">
        <v>6735</v>
      </c>
      <c r="G351" t="s">
        <v>74</v>
      </c>
      <c r="H351" t="s">
        <v>74</v>
      </c>
      <c r="I351" t="s">
        <v>6736</v>
      </c>
      <c r="J351" t="s">
        <v>6124</v>
      </c>
      <c r="K351" t="s">
        <v>74</v>
      </c>
      <c r="L351" t="s">
        <v>74</v>
      </c>
      <c r="M351" t="s">
        <v>78</v>
      </c>
      <c r="N351" t="s">
        <v>79</v>
      </c>
      <c r="O351" t="s">
        <v>74</v>
      </c>
      <c r="P351" t="s">
        <v>74</v>
      </c>
      <c r="Q351" t="s">
        <v>74</v>
      </c>
      <c r="R351" t="s">
        <v>74</v>
      </c>
      <c r="S351" t="s">
        <v>74</v>
      </c>
      <c r="T351" t="s">
        <v>74</v>
      </c>
      <c r="U351" t="s">
        <v>6737</v>
      </c>
      <c r="V351" t="s">
        <v>6738</v>
      </c>
      <c r="W351" t="s">
        <v>6739</v>
      </c>
      <c r="X351" t="s">
        <v>6740</v>
      </c>
      <c r="Y351" t="s">
        <v>6741</v>
      </c>
      <c r="Z351" t="s">
        <v>6742</v>
      </c>
      <c r="AA351" t="s">
        <v>6743</v>
      </c>
      <c r="AB351" t="s">
        <v>6744</v>
      </c>
      <c r="AC351" t="s">
        <v>6745</v>
      </c>
      <c r="AD351" t="s">
        <v>6746</v>
      </c>
      <c r="AE351" t="s">
        <v>6747</v>
      </c>
      <c r="AF351" t="s">
        <v>74</v>
      </c>
      <c r="AG351">
        <v>94</v>
      </c>
      <c r="AH351">
        <v>95</v>
      </c>
      <c r="AI351">
        <v>100</v>
      </c>
      <c r="AJ351">
        <v>0</v>
      </c>
      <c r="AK351">
        <v>44</v>
      </c>
      <c r="AL351" t="s">
        <v>1498</v>
      </c>
      <c r="AM351" t="s">
        <v>985</v>
      </c>
      <c r="AN351" t="s">
        <v>1499</v>
      </c>
      <c r="AO351" t="s">
        <v>6136</v>
      </c>
      <c r="AP351" t="s">
        <v>6137</v>
      </c>
      <c r="AQ351" t="s">
        <v>74</v>
      </c>
      <c r="AR351" t="s">
        <v>6138</v>
      </c>
      <c r="AS351" t="s">
        <v>6139</v>
      </c>
      <c r="AT351" t="s">
        <v>6571</v>
      </c>
      <c r="AU351">
        <v>2011</v>
      </c>
      <c r="AV351">
        <v>116</v>
      </c>
      <c r="AW351" t="s">
        <v>74</v>
      </c>
      <c r="AX351" t="s">
        <v>74</v>
      </c>
      <c r="AY351" t="s">
        <v>74</v>
      </c>
      <c r="AZ351" t="s">
        <v>74</v>
      </c>
      <c r="BA351" t="s">
        <v>74</v>
      </c>
      <c r="BB351" t="s">
        <v>74</v>
      </c>
      <c r="BC351" t="s">
        <v>74</v>
      </c>
      <c r="BD351" t="s">
        <v>6748</v>
      </c>
      <c r="BE351" t="s">
        <v>6749</v>
      </c>
      <c r="BF351" t="str">
        <f>HYPERLINK("http://dx.doi.org/10.1029/2010JC006553","http://dx.doi.org/10.1029/2010JC006553")</f>
        <v>http://dx.doi.org/10.1029/2010JC006553</v>
      </c>
      <c r="BG351" t="s">
        <v>74</v>
      </c>
      <c r="BH351" t="s">
        <v>74</v>
      </c>
      <c r="BI351">
        <v>19</v>
      </c>
      <c r="BJ351" t="s">
        <v>496</v>
      </c>
      <c r="BK351" t="s">
        <v>100</v>
      </c>
      <c r="BL351" t="s">
        <v>496</v>
      </c>
      <c r="BM351" t="s">
        <v>6750</v>
      </c>
      <c r="BN351" t="s">
        <v>74</v>
      </c>
      <c r="BO351" t="s">
        <v>6160</v>
      </c>
      <c r="BP351" t="s">
        <v>74</v>
      </c>
      <c r="BQ351" t="s">
        <v>74</v>
      </c>
      <c r="BR351" t="s">
        <v>102</v>
      </c>
      <c r="BS351" t="s">
        <v>6751</v>
      </c>
      <c r="BT351" t="str">
        <f>HYPERLINK("https%3A%2F%2Fwww.webofscience.com%2Fwos%2Fwoscc%2Ffull-record%2FWOS:000298253000001","View Full Record in Web of Science")</f>
        <v>View Full Record in Web of Science</v>
      </c>
    </row>
    <row r="352" spans="1:72" x14ac:dyDescent="0.15">
      <c r="A352" t="s">
        <v>72</v>
      </c>
      <c r="B352" t="s">
        <v>6752</v>
      </c>
      <c r="C352" t="s">
        <v>74</v>
      </c>
      <c r="D352" t="s">
        <v>74</v>
      </c>
      <c r="E352" t="s">
        <v>74</v>
      </c>
      <c r="F352" t="s">
        <v>6753</v>
      </c>
      <c r="G352" t="s">
        <v>74</v>
      </c>
      <c r="H352" t="s">
        <v>74</v>
      </c>
      <c r="I352" t="s">
        <v>6754</v>
      </c>
      <c r="J352" t="s">
        <v>2376</v>
      </c>
      <c r="K352" t="s">
        <v>74</v>
      </c>
      <c r="L352" t="s">
        <v>74</v>
      </c>
      <c r="M352" t="s">
        <v>78</v>
      </c>
      <c r="N352" t="s">
        <v>79</v>
      </c>
      <c r="O352" t="s">
        <v>74</v>
      </c>
      <c r="P352" t="s">
        <v>74</v>
      </c>
      <c r="Q352" t="s">
        <v>74</v>
      </c>
      <c r="R352" t="s">
        <v>74</v>
      </c>
      <c r="S352" t="s">
        <v>74</v>
      </c>
      <c r="T352" t="s">
        <v>6755</v>
      </c>
      <c r="U352" t="s">
        <v>6756</v>
      </c>
      <c r="V352" t="s">
        <v>6757</v>
      </c>
      <c r="W352" t="s">
        <v>6758</v>
      </c>
      <c r="X352" t="s">
        <v>3984</v>
      </c>
      <c r="Y352" t="s">
        <v>6759</v>
      </c>
      <c r="Z352" t="s">
        <v>6760</v>
      </c>
      <c r="AA352" t="s">
        <v>6761</v>
      </c>
      <c r="AB352" t="s">
        <v>6762</v>
      </c>
      <c r="AC352" t="s">
        <v>6763</v>
      </c>
      <c r="AD352" t="s">
        <v>6764</v>
      </c>
      <c r="AE352" t="s">
        <v>6765</v>
      </c>
      <c r="AF352" t="s">
        <v>74</v>
      </c>
      <c r="AG352">
        <v>80</v>
      </c>
      <c r="AH352">
        <v>79</v>
      </c>
      <c r="AI352">
        <v>90</v>
      </c>
      <c r="AJ352">
        <v>1</v>
      </c>
      <c r="AK352">
        <v>28</v>
      </c>
      <c r="AL352" t="s">
        <v>155</v>
      </c>
      <c r="AM352" t="s">
        <v>156</v>
      </c>
      <c r="AN352" t="s">
        <v>157</v>
      </c>
      <c r="AO352" t="s">
        <v>2387</v>
      </c>
      <c r="AP352" t="s">
        <v>2388</v>
      </c>
      <c r="AQ352" t="s">
        <v>74</v>
      </c>
      <c r="AR352" t="s">
        <v>2389</v>
      </c>
      <c r="AS352" t="s">
        <v>2390</v>
      </c>
      <c r="AT352" t="s">
        <v>6571</v>
      </c>
      <c r="AU352">
        <v>2011</v>
      </c>
      <c r="AV352">
        <v>58</v>
      </c>
      <c r="AW352" t="s">
        <v>6613</v>
      </c>
      <c r="AX352" t="s">
        <v>74</v>
      </c>
      <c r="AY352" t="s">
        <v>74</v>
      </c>
      <c r="AZ352" t="s">
        <v>74</v>
      </c>
      <c r="BA352" t="s">
        <v>74</v>
      </c>
      <c r="BB352">
        <v>2509</v>
      </c>
      <c r="BC352">
        <v>2523</v>
      </c>
      <c r="BD352" t="s">
        <v>74</v>
      </c>
      <c r="BE352" t="s">
        <v>6766</v>
      </c>
      <c r="BF352" t="str">
        <f>HYPERLINK("http://dx.doi.org/10.1016/j.dsr2.2011.06.007","http://dx.doi.org/10.1016/j.dsr2.2011.06.007")</f>
        <v>http://dx.doi.org/10.1016/j.dsr2.2011.06.007</v>
      </c>
      <c r="BG352" t="s">
        <v>74</v>
      </c>
      <c r="BH352" t="s">
        <v>74</v>
      </c>
      <c r="BI352">
        <v>15</v>
      </c>
      <c r="BJ352" t="s">
        <v>496</v>
      </c>
      <c r="BK352" t="s">
        <v>100</v>
      </c>
      <c r="BL352" t="s">
        <v>496</v>
      </c>
      <c r="BM352" t="s">
        <v>6615</v>
      </c>
      <c r="BN352" t="s">
        <v>74</v>
      </c>
      <c r="BO352" t="s">
        <v>74</v>
      </c>
      <c r="BP352" t="s">
        <v>74</v>
      </c>
      <c r="BQ352" t="s">
        <v>74</v>
      </c>
      <c r="BR352" t="s">
        <v>102</v>
      </c>
      <c r="BS352" t="s">
        <v>6767</v>
      </c>
      <c r="BT352" t="str">
        <f>HYPERLINK("https%3A%2F%2Fwww.webofscience.com%2Fwos%2Fwoscc%2Ffull-record%2FWOS:000297002300002","View Full Record in Web of Science")</f>
        <v>View Full Record in Web of Science</v>
      </c>
    </row>
    <row r="353" spans="1:72" x14ac:dyDescent="0.15">
      <c r="A353" t="s">
        <v>72</v>
      </c>
      <c r="B353" t="s">
        <v>6768</v>
      </c>
      <c r="C353" t="s">
        <v>74</v>
      </c>
      <c r="D353" t="s">
        <v>74</v>
      </c>
      <c r="E353" t="s">
        <v>74</v>
      </c>
      <c r="F353" t="s">
        <v>6769</v>
      </c>
      <c r="G353" t="s">
        <v>74</v>
      </c>
      <c r="H353" t="s">
        <v>74</v>
      </c>
      <c r="I353" t="s">
        <v>6770</v>
      </c>
      <c r="J353" t="s">
        <v>2376</v>
      </c>
      <c r="K353" t="s">
        <v>74</v>
      </c>
      <c r="L353" t="s">
        <v>74</v>
      </c>
      <c r="M353" t="s">
        <v>78</v>
      </c>
      <c r="N353" t="s">
        <v>79</v>
      </c>
      <c r="O353" t="s">
        <v>74</v>
      </c>
      <c r="P353" t="s">
        <v>74</v>
      </c>
      <c r="Q353" t="s">
        <v>74</v>
      </c>
      <c r="R353" t="s">
        <v>74</v>
      </c>
      <c r="S353" t="s">
        <v>74</v>
      </c>
      <c r="T353" t="s">
        <v>6771</v>
      </c>
      <c r="U353" t="s">
        <v>6772</v>
      </c>
      <c r="V353" t="s">
        <v>6773</v>
      </c>
      <c r="W353" t="s">
        <v>6774</v>
      </c>
      <c r="X353" t="s">
        <v>6775</v>
      </c>
      <c r="Y353" t="s">
        <v>6776</v>
      </c>
      <c r="Z353" t="s">
        <v>6777</v>
      </c>
      <c r="AA353" t="s">
        <v>74</v>
      </c>
      <c r="AB353" t="s">
        <v>6778</v>
      </c>
      <c r="AC353" t="s">
        <v>74</v>
      </c>
      <c r="AD353" t="s">
        <v>74</v>
      </c>
      <c r="AE353" t="s">
        <v>74</v>
      </c>
      <c r="AF353" t="s">
        <v>74</v>
      </c>
      <c r="AG353">
        <v>48</v>
      </c>
      <c r="AH353">
        <v>40</v>
      </c>
      <c r="AI353">
        <v>42</v>
      </c>
      <c r="AJ353">
        <v>0</v>
      </c>
      <c r="AK353">
        <v>11</v>
      </c>
      <c r="AL353" t="s">
        <v>155</v>
      </c>
      <c r="AM353" t="s">
        <v>156</v>
      </c>
      <c r="AN353" t="s">
        <v>157</v>
      </c>
      <c r="AO353" t="s">
        <v>2387</v>
      </c>
      <c r="AP353" t="s">
        <v>2388</v>
      </c>
      <c r="AQ353" t="s">
        <v>74</v>
      </c>
      <c r="AR353" t="s">
        <v>2389</v>
      </c>
      <c r="AS353" t="s">
        <v>2390</v>
      </c>
      <c r="AT353" t="s">
        <v>6571</v>
      </c>
      <c r="AU353">
        <v>2011</v>
      </c>
      <c r="AV353">
        <v>58</v>
      </c>
      <c r="AW353" t="s">
        <v>6613</v>
      </c>
      <c r="AX353" t="s">
        <v>74</v>
      </c>
      <c r="AY353" t="s">
        <v>74</v>
      </c>
      <c r="AZ353" t="s">
        <v>74</v>
      </c>
      <c r="BA353" t="s">
        <v>74</v>
      </c>
      <c r="BB353">
        <v>2533</v>
      </c>
      <c r="BC353">
        <v>2554</v>
      </c>
      <c r="BD353" t="s">
        <v>74</v>
      </c>
      <c r="BE353" t="s">
        <v>6779</v>
      </c>
      <c r="BF353" t="str">
        <f>HYPERLINK("http://dx.doi.org/10.1016/j.dsr2.2011.01.003","http://dx.doi.org/10.1016/j.dsr2.2011.01.003")</f>
        <v>http://dx.doi.org/10.1016/j.dsr2.2011.01.003</v>
      </c>
      <c r="BG353" t="s">
        <v>74</v>
      </c>
      <c r="BH353" t="s">
        <v>74</v>
      </c>
      <c r="BI353">
        <v>22</v>
      </c>
      <c r="BJ353" t="s">
        <v>496</v>
      </c>
      <c r="BK353" t="s">
        <v>100</v>
      </c>
      <c r="BL353" t="s">
        <v>496</v>
      </c>
      <c r="BM353" t="s">
        <v>6615</v>
      </c>
      <c r="BN353" t="s">
        <v>74</v>
      </c>
      <c r="BO353" t="s">
        <v>74</v>
      </c>
      <c r="BP353" t="s">
        <v>74</v>
      </c>
      <c r="BQ353" t="s">
        <v>74</v>
      </c>
      <c r="BR353" t="s">
        <v>102</v>
      </c>
      <c r="BS353" t="s">
        <v>6780</v>
      </c>
      <c r="BT353" t="str">
        <f>HYPERLINK("https%3A%2F%2Fwww.webofscience.com%2Fwos%2Fwoscc%2Ffull-record%2FWOS:000297002300004","View Full Record in Web of Science")</f>
        <v>View Full Record in Web of Science</v>
      </c>
    </row>
    <row r="354" spans="1:72" x14ac:dyDescent="0.15">
      <c r="A354" t="s">
        <v>72</v>
      </c>
      <c r="B354" t="s">
        <v>6781</v>
      </c>
      <c r="C354" t="s">
        <v>74</v>
      </c>
      <c r="D354" t="s">
        <v>74</v>
      </c>
      <c r="E354" t="s">
        <v>74</v>
      </c>
      <c r="F354" t="s">
        <v>6782</v>
      </c>
      <c r="G354" t="s">
        <v>74</v>
      </c>
      <c r="H354" t="s">
        <v>74</v>
      </c>
      <c r="I354" t="s">
        <v>6783</v>
      </c>
      <c r="J354" t="s">
        <v>2376</v>
      </c>
      <c r="K354" t="s">
        <v>74</v>
      </c>
      <c r="L354" t="s">
        <v>74</v>
      </c>
      <c r="M354" t="s">
        <v>78</v>
      </c>
      <c r="N354" t="s">
        <v>79</v>
      </c>
      <c r="O354" t="s">
        <v>74</v>
      </c>
      <c r="P354" t="s">
        <v>74</v>
      </c>
      <c r="Q354" t="s">
        <v>74</v>
      </c>
      <c r="R354" t="s">
        <v>74</v>
      </c>
      <c r="S354" t="s">
        <v>74</v>
      </c>
      <c r="T354" t="s">
        <v>6784</v>
      </c>
      <c r="U354" t="s">
        <v>6785</v>
      </c>
      <c r="V354" t="s">
        <v>6786</v>
      </c>
      <c r="W354" t="s">
        <v>6787</v>
      </c>
      <c r="X354" t="s">
        <v>6788</v>
      </c>
      <c r="Y354" t="s">
        <v>6789</v>
      </c>
      <c r="Z354" t="s">
        <v>6790</v>
      </c>
      <c r="AA354" t="s">
        <v>6791</v>
      </c>
      <c r="AB354" t="s">
        <v>6792</v>
      </c>
      <c r="AC354" t="s">
        <v>6793</v>
      </c>
      <c r="AD354" t="s">
        <v>6794</v>
      </c>
      <c r="AE354" t="s">
        <v>6795</v>
      </c>
      <c r="AF354" t="s">
        <v>74</v>
      </c>
      <c r="AG354">
        <v>31</v>
      </c>
      <c r="AH354">
        <v>30</v>
      </c>
      <c r="AI354">
        <v>30</v>
      </c>
      <c r="AJ354">
        <v>0</v>
      </c>
      <c r="AK354">
        <v>8</v>
      </c>
      <c r="AL354" t="s">
        <v>155</v>
      </c>
      <c r="AM354" t="s">
        <v>156</v>
      </c>
      <c r="AN354" t="s">
        <v>157</v>
      </c>
      <c r="AO354" t="s">
        <v>2387</v>
      </c>
      <c r="AP354" t="s">
        <v>2388</v>
      </c>
      <c r="AQ354" t="s">
        <v>74</v>
      </c>
      <c r="AR354" t="s">
        <v>2389</v>
      </c>
      <c r="AS354" t="s">
        <v>2390</v>
      </c>
      <c r="AT354" t="s">
        <v>6571</v>
      </c>
      <c r="AU354">
        <v>2011</v>
      </c>
      <c r="AV354">
        <v>58</v>
      </c>
      <c r="AW354" t="s">
        <v>6613</v>
      </c>
      <c r="AX354" t="s">
        <v>74</v>
      </c>
      <c r="AY354" t="s">
        <v>74</v>
      </c>
      <c r="AZ354" t="s">
        <v>74</v>
      </c>
      <c r="BA354" t="s">
        <v>74</v>
      </c>
      <c r="BB354">
        <v>2555</v>
      </c>
      <c r="BC354">
        <v>2571</v>
      </c>
      <c r="BD354" t="s">
        <v>74</v>
      </c>
      <c r="BE354" t="s">
        <v>6796</v>
      </c>
      <c r="BF354" t="str">
        <f>HYPERLINK("http://dx.doi.org/10.1016/j.dsr2.2011.06.009","http://dx.doi.org/10.1016/j.dsr2.2011.06.009")</f>
        <v>http://dx.doi.org/10.1016/j.dsr2.2011.06.009</v>
      </c>
      <c r="BG354" t="s">
        <v>74</v>
      </c>
      <c r="BH354" t="s">
        <v>74</v>
      </c>
      <c r="BI354">
        <v>17</v>
      </c>
      <c r="BJ354" t="s">
        <v>496</v>
      </c>
      <c r="BK354" t="s">
        <v>100</v>
      </c>
      <c r="BL354" t="s">
        <v>496</v>
      </c>
      <c r="BM354" t="s">
        <v>6615</v>
      </c>
      <c r="BN354" t="s">
        <v>74</v>
      </c>
      <c r="BO354" t="s">
        <v>74</v>
      </c>
      <c r="BP354" t="s">
        <v>74</v>
      </c>
      <c r="BQ354" t="s">
        <v>74</v>
      </c>
      <c r="BR354" t="s">
        <v>102</v>
      </c>
      <c r="BS354" t="s">
        <v>6797</v>
      </c>
      <c r="BT354" t="str">
        <f>HYPERLINK("https%3A%2F%2Fwww.webofscience.com%2Fwos%2Fwoscc%2Ffull-record%2FWOS:000297002300005","View Full Record in Web of Science")</f>
        <v>View Full Record in Web of Science</v>
      </c>
    </row>
    <row r="355" spans="1:72" x14ac:dyDescent="0.15">
      <c r="A355" t="s">
        <v>72</v>
      </c>
      <c r="B355" t="s">
        <v>6798</v>
      </c>
      <c r="C355" t="s">
        <v>74</v>
      </c>
      <c r="D355" t="s">
        <v>74</v>
      </c>
      <c r="E355" t="s">
        <v>74</v>
      </c>
      <c r="F355" t="s">
        <v>6799</v>
      </c>
      <c r="G355" t="s">
        <v>74</v>
      </c>
      <c r="H355" t="s">
        <v>74</v>
      </c>
      <c r="I355" t="s">
        <v>6800</v>
      </c>
      <c r="J355" t="s">
        <v>2376</v>
      </c>
      <c r="K355" t="s">
        <v>74</v>
      </c>
      <c r="L355" t="s">
        <v>74</v>
      </c>
      <c r="M355" t="s">
        <v>78</v>
      </c>
      <c r="N355" t="s">
        <v>79</v>
      </c>
      <c r="O355" t="s">
        <v>74</v>
      </c>
      <c r="P355" t="s">
        <v>74</v>
      </c>
      <c r="Q355" t="s">
        <v>74</v>
      </c>
      <c r="R355" t="s">
        <v>74</v>
      </c>
      <c r="S355" t="s">
        <v>74</v>
      </c>
      <c r="T355" t="s">
        <v>6801</v>
      </c>
      <c r="U355" t="s">
        <v>6802</v>
      </c>
      <c r="V355" t="s">
        <v>6803</v>
      </c>
      <c r="W355" t="s">
        <v>6804</v>
      </c>
      <c r="X355" t="s">
        <v>6805</v>
      </c>
      <c r="Y355" t="s">
        <v>6806</v>
      </c>
      <c r="Z355" t="s">
        <v>6807</v>
      </c>
      <c r="AA355" t="s">
        <v>74</v>
      </c>
      <c r="AB355" t="s">
        <v>6778</v>
      </c>
      <c r="AC355" t="s">
        <v>6808</v>
      </c>
      <c r="AD355" t="s">
        <v>6808</v>
      </c>
      <c r="AE355" t="s">
        <v>6809</v>
      </c>
      <c r="AF355" t="s">
        <v>74</v>
      </c>
      <c r="AG355">
        <v>49</v>
      </c>
      <c r="AH355">
        <v>40</v>
      </c>
      <c r="AI355">
        <v>42</v>
      </c>
      <c r="AJ355">
        <v>1</v>
      </c>
      <c r="AK355">
        <v>11</v>
      </c>
      <c r="AL355" t="s">
        <v>155</v>
      </c>
      <c r="AM355" t="s">
        <v>156</v>
      </c>
      <c r="AN355" t="s">
        <v>157</v>
      </c>
      <c r="AO355" t="s">
        <v>2387</v>
      </c>
      <c r="AP355" t="s">
        <v>2388</v>
      </c>
      <c r="AQ355" t="s">
        <v>74</v>
      </c>
      <c r="AR355" t="s">
        <v>2389</v>
      </c>
      <c r="AS355" t="s">
        <v>2390</v>
      </c>
      <c r="AT355" t="s">
        <v>6571</v>
      </c>
      <c r="AU355">
        <v>2011</v>
      </c>
      <c r="AV355">
        <v>58</v>
      </c>
      <c r="AW355" t="s">
        <v>6613</v>
      </c>
      <c r="AX355" t="s">
        <v>74</v>
      </c>
      <c r="AY355" t="s">
        <v>74</v>
      </c>
      <c r="AZ355" t="s">
        <v>74</v>
      </c>
      <c r="BA355" t="s">
        <v>74</v>
      </c>
      <c r="BB355">
        <v>2572</v>
      </c>
      <c r="BC355">
        <v>2591</v>
      </c>
      <c r="BD355" t="s">
        <v>74</v>
      </c>
      <c r="BE355" t="s">
        <v>6810</v>
      </c>
      <c r="BF355" t="str">
        <f>HYPERLINK("http://dx.doi.org/10.1016/j.dsr2.2011.01.004","http://dx.doi.org/10.1016/j.dsr2.2011.01.004")</f>
        <v>http://dx.doi.org/10.1016/j.dsr2.2011.01.004</v>
      </c>
      <c r="BG355" t="s">
        <v>74</v>
      </c>
      <c r="BH355" t="s">
        <v>74</v>
      </c>
      <c r="BI355">
        <v>20</v>
      </c>
      <c r="BJ355" t="s">
        <v>496</v>
      </c>
      <c r="BK355" t="s">
        <v>100</v>
      </c>
      <c r="BL355" t="s">
        <v>496</v>
      </c>
      <c r="BM355" t="s">
        <v>6615</v>
      </c>
      <c r="BN355" t="s">
        <v>74</v>
      </c>
      <c r="BO355" t="s">
        <v>74</v>
      </c>
      <c r="BP355" t="s">
        <v>74</v>
      </c>
      <c r="BQ355" t="s">
        <v>74</v>
      </c>
      <c r="BR355" t="s">
        <v>102</v>
      </c>
      <c r="BS355" t="s">
        <v>6811</v>
      </c>
      <c r="BT355" t="str">
        <f>HYPERLINK("https%3A%2F%2Fwww.webofscience.com%2Fwos%2Fwoscc%2Ffull-record%2FWOS:000297002300006","View Full Record in Web of Science")</f>
        <v>View Full Record in Web of Science</v>
      </c>
    </row>
    <row r="356" spans="1:72" x14ac:dyDescent="0.15">
      <c r="A356" t="s">
        <v>72</v>
      </c>
      <c r="B356" t="s">
        <v>6812</v>
      </c>
      <c r="C356" t="s">
        <v>74</v>
      </c>
      <c r="D356" t="s">
        <v>74</v>
      </c>
      <c r="E356" t="s">
        <v>74</v>
      </c>
      <c r="F356" t="s">
        <v>6813</v>
      </c>
      <c r="G356" t="s">
        <v>74</v>
      </c>
      <c r="H356" t="s">
        <v>74</v>
      </c>
      <c r="I356" t="s">
        <v>6814</v>
      </c>
      <c r="J356" t="s">
        <v>2376</v>
      </c>
      <c r="K356" t="s">
        <v>74</v>
      </c>
      <c r="L356" t="s">
        <v>74</v>
      </c>
      <c r="M356" t="s">
        <v>78</v>
      </c>
      <c r="N356" t="s">
        <v>79</v>
      </c>
      <c r="O356" t="s">
        <v>74</v>
      </c>
      <c r="P356" t="s">
        <v>74</v>
      </c>
      <c r="Q356" t="s">
        <v>74</v>
      </c>
      <c r="R356" t="s">
        <v>74</v>
      </c>
      <c r="S356" t="s">
        <v>74</v>
      </c>
      <c r="T356" t="s">
        <v>6815</v>
      </c>
      <c r="U356" t="s">
        <v>6816</v>
      </c>
      <c r="V356" t="s">
        <v>6817</v>
      </c>
      <c r="W356" t="s">
        <v>6818</v>
      </c>
      <c r="X356" t="s">
        <v>6819</v>
      </c>
      <c r="Y356" t="s">
        <v>6820</v>
      </c>
      <c r="Z356" t="s">
        <v>6821</v>
      </c>
      <c r="AA356" t="s">
        <v>6791</v>
      </c>
      <c r="AB356" t="s">
        <v>6792</v>
      </c>
      <c r="AC356" t="s">
        <v>6808</v>
      </c>
      <c r="AD356" t="s">
        <v>6808</v>
      </c>
      <c r="AE356" t="s">
        <v>6822</v>
      </c>
      <c r="AF356" t="s">
        <v>74</v>
      </c>
      <c r="AG356">
        <v>30</v>
      </c>
      <c r="AH356">
        <v>23</v>
      </c>
      <c r="AI356">
        <v>23</v>
      </c>
      <c r="AJ356">
        <v>0</v>
      </c>
      <c r="AK356">
        <v>11</v>
      </c>
      <c r="AL356" t="s">
        <v>155</v>
      </c>
      <c r="AM356" t="s">
        <v>156</v>
      </c>
      <c r="AN356" t="s">
        <v>157</v>
      </c>
      <c r="AO356" t="s">
        <v>2387</v>
      </c>
      <c r="AP356" t="s">
        <v>74</v>
      </c>
      <c r="AQ356" t="s">
        <v>74</v>
      </c>
      <c r="AR356" t="s">
        <v>2389</v>
      </c>
      <c r="AS356" t="s">
        <v>2390</v>
      </c>
      <c r="AT356" t="s">
        <v>6571</v>
      </c>
      <c r="AU356">
        <v>2011</v>
      </c>
      <c r="AV356">
        <v>58</v>
      </c>
      <c r="AW356" t="s">
        <v>6613</v>
      </c>
      <c r="AX356" t="s">
        <v>74</v>
      </c>
      <c r="AY356" t="s">
        <v>74</v>
      </c>
      <c r="AZ356" t="s">
        <v>74</v>
      </c>
      <c r="BA356" t="s">
        <v>74</v>
      </c>
      <c r="BB356">
        <v>2592</v>
      </c>
      <c r="BC356">
        <v>2612</v>
      </c>
      <c r="BD356" t="s">
        <v>74</v>
      </c>
      <c r="BE356" t="s">
        <v>6823</v>
      </c>
      <c r="BF356" t="str">
        <f>HYPERLINK("http://dx.doi.org/10.1016/j.dsr2.2011.01.005","http://dx.doi.org/10.1016/j.dsr2.2011.01.005")</f>
        <v>http://dx.doi.org/10.1016/j.dsr2.2011.01.005</v>
      </c>
      <c r="BG356" t="s">
        <v>74</v>
      </c>
      <c r="BH356" t="s">
        <v>74</v>
      </c>
      <c r="BI356">
        <v>21</v>
      </c>
      <c r="BJ356" t="s">
        <v>496</v>
      </c>
      <c r="BK356" t="s">
        <v>100</v>
      </c>
      <c r="BL356" t="s">
        <v>496</v>
      </c>
      <c r="BM356" t="s">
        <v>6615</v>
      </c>
      <c r="BN356" t="s">
        <v>74</v>
      </c>
      <c r="BO356" t="s">
        <v>74</v>
      </c>
      <c r="BP356" t="s">
        <v>74</v>
      </c>
      <c r="BQ356" t="s">
        <v>74</v>
      </c>
      <c r="BR356" t="s">
        <v>102</v>
      </c>
      <c r="BS356" t="s">
        <v>6824</v>
      </c>
      <c r="BT356" t="str">
        <f>HYPERLINK("https%3A%2F%2Fwww.webofscience.com%2Fwos%2Fwoscc%2Ffull-record%2FWOS:000297002300007","View Full Record in Web of Science")</f>
        <v>View Full Record in Web of Science</v>
      </c>
    </row>
    <row r="357" spans="1:72" x14ac:dyDescent="0.15">
      <c r="A357" t="s">
        <v>72</v>
      </c>
      <c r="B357" t="s">
        <v>6825</v>
      </c>
      <c r="C357" t="s">
        <v>74</v>
      </c>
      <c r="D357" t="s">
        <v>74</v>
      </c>
      <c r="E357" t="s">
        <v>74</v>
      </c>
      <c r="F357" t="s">
        <v>6826</v>
      </c>
      <c r="G357" t="s">
        <v>74</v>
      </c>
      <c r="H357" t="s">
        <v>74</v>
      </c>
      <c r="I357" t="s">
        <v>6827</v>
      </c>
      <c r="J357" t="s">
        <v>2376</v>
      </c>
      <c r="K357" t="s">
        <v>74</v>
      </c>
      <c r="L357" t="s">
        <v>74</v>
      </c>
      <c r="M357" t="s">
        <v>78</v>
      </c>
      <c r="N357" t="s">
        <v>79</v>
      </c>
      <c r="O357" t="s">
        <v>74</v>
      </c>
      <c r="P357" t="s">
        <v>74</v>
      </c>
      <c r="Q357" t="s">
        <v>74</v>
      </c>
      <c r="R357" t="s">
        <v>74</v>
      </c>
      <c r="S357" t="s">
        <v>74</v>
      </c>
      <c r="T357" t="s">
        <v>6828</v>
      </c>
      <c r="U357" t="s">
        <v>6829</v>
      </c>
      <c r="V357" t="s">
        <v>6830</v>
      </c>
      <c r="W357" t="s">
        <v>6831</v>
      </c>
      <c r="X357" t="s">
        <v>6832</v>
      </c>
      <c r="Y357" t="s">
        <v>6833</v>
      </c>
      <c r="Z357" t="s">
        <v>6834</v>
      </c>
      <c r="AA357" t="s">
        <v>6627</v>
      </c>
      <c r="AB357" t="s">
        <v>6835</v>
      </c>
      <c r="AC357" t="s">
        <v>6836</v>
      </c>
      <c r="AD357" t="s">
        <v>6837</v>
      </c>
      <c r="AE357" t="s">
        <v>6838</v>
      </c>
      <c r="AF357" t="s">
        <v>74</v>
      </c>
      <c r="AG357">
        <v>96</v>
      </c>
      <c r="AH357">
        <v>38</v>
      </c>
      <c r="AI357">
        <v>40</v>
      </c>
      <c r="AJ357">
        <v>4</v>
      </c>
      <c r="AK357">
        <v>58</v>
      </c>
      <c r="AL357" t="s">
        <v>155</v>
      </c>
      <c r="AM357" t="s">
        <v>156</v>
      </c>
      <c r="AN357" t="s">
        <v>157</v>
      </c>
      <c r="AO357" t="s">
        <v>2387</v>
      </c>
      <c r="AP357" t="s">
        <v>2388</v>
      </c>
      <c r="AQ357" t="s">
        <v>74</v>
      </c>
      <c r="AR357" t="s">
        <v>2389</v>
      </c>
      <c r="AS357" t="s">
        <v>2390</v>
      </c>
      <c r="AT357" t="s">
        <v>6571</v>
      </c>
      <c r="AU357">
        <v>2011</v>
      </c>
      <c r="AV357">
        <v>58</v>
      </c>
      <c r="AW357" t="s">
        <v>6613</v>
      </c>
      <c r="AX357" t="s">
        <v>74</v>
      </c>
      <c r="AY357" t="s">
        <v>74</v>
      </c>
      <c r="AZ357" t="s">
        <v>74</v>
      </c>
      <c r="BA357" t="s">
        <v>74</v>
      </c>
      <c r="BB357">
        <v>2733</v>
      </c>
      <c r="BC357">
        <v>2748</v>
      </c>
      <c r="BD357" t="s">
        <v>74</v>
      </c>
      <c r="BE357" t="s">
        <v>6839</v>
      </c>
      <c r="BF357" t="str">
        <f>HYPERLINK("http://dx.doi.org/10.1016/j.dsr2.2011.02.002","http://dx.doi.org/10.1016/j.dsr2.2011.02.002")</f>
        <v>http://dx.doi.org/10.1016/j.dsr2.2011.02.002</v>
      </c>
      <c r="BG357" t="s">
        <v>74</v>
      </c>
      <c r="BH357" t="s">
        <v>74</v>
      </c>
      <c r="BI357">
        <v>16</v>
      </c>
      <c r="BJ357" t="s">
        <v>496</v>
      </c>
      <c r="BK357" t="s">
        <v>100</v>
      </c>
      <c r="BL357" t="s">
        <v>496</v>
      </c>
      <c r="BM357" t="s">
        <v>6615</v>
      </c>
      <c r="BN357" t="s">
        <v>74</v>
      </c>
      <c r="BO357" t="s">
        <v>74</v>
      </c>
      <c r="BP357" t="s">
        <v>74</v>
      </c>
      <c r="BQ357" t="s">
        <v>74</v>
      </c>
      <c r="BR357" t="s">
        <v>102</v>
      </c>
      <c r="BS357" t="s">
        <v>6840</v>
      </c>
      <c r="BT357" t="str">
        <f>HYPERLINK("https%3A%2F%2Fwww.webofscience.com%2Fwos%2Fwoscc%2Ffull-record%2FWOS:000297002300016","View Full Record in Web of Science")</f>
        <v>View Full Record in Web of Science</v>
      </c>
    </row>
    <row r="358" spans="1:72" x14ac:dyDescent="0.15">
      <c r="A358" t="s">
        <v>72</v>
      </c>
      <c r="B358" t="s">
        <v>6841</v>
      </c>
      <c r="C358" t="s">
        <v>74</v>
      </c>
      <c r="D358" t="s">
        <v>74</v>
      </c>
      <c r="E358" t="s">
        <v>74</v>
      </c>
      <c r="F358" t="s">
        <v>6842</v>
      </c>
      <c r="G358" t="s">
        <v>74</v>
      </c>
      <c r="H358" t="s">
        <v>74</v>
      </c>
      <c r="I358" t="s">
        <v>6843</v>
      </c>
      <c r="J358" t="s">
        <v>2376</v>
      </c>
      <c r="K358" t="s">
        <v>74</v>
      </c>
      <c r="L358" t="s">
        <v>74</v>
      </c>
      <c r="M358" t="s">
        <v>78</v>
      </c>
      <c r="N358" t="s">
        <v>79</v>
      </c>
      <c r="O358" t="s">
        <v>74</v>
      </c>
      <c r="P358" t="s">
        <v>74</v>
      </c>
      <c r="Q358" t="s">
        <v>74</v>
      </c>
      <c r="R358" t="s">
        <v>74</v>
      </c>
      <c r="S358" t="s">
        <v>74</v>
      </c>
      <c r="T358" t="s">
        <v>6844</v>
      </c>
      <c r="U358" t="s">
        <v>6845</v>
      </c>
      <c r="V358" t="s">
        <v>6846</v>
      </c>
      <c r="W358" t="s">
        <v>6847</v>
      </c>
      <c r="X358" t="s">
        <v>6848</v>
      </c>
      <c r="Y358" t="s">
        <v>6849</v>
      </c>
      <c r="Z358" t="s">
        <v>6850</v>
      </c>
      <c r="AA358" t="s">
        <v>6851</v>
      </c>
      <c r="AB358" t="s">
        <v>6852</v>
      </c>
      <c r="AC358" t="s">
        <v>6853</v>
      </c>
      <c r="AD358" t="s">
        <v>6854</v>
      </c>
      <c r="AE358" t="s">
        <v>6855</v>
      </c>
      <c r="AF358" t="s">
        <v>74</v>
      </c>
      <c r="AG358">
        <v>71</v>
      </c>
      <c r="AH358">
        <v>50</v>
      </c>
      <c r="AI358">
        <v>51</v>
      </c>
      <c r="AJ358">
        <v>0</v>
      </c>
      <c r="AK358">
        <v>34</v>
      </c>
      <c r="AL358" t="s">
        <v>155</v>
      </c>
      <c r="AM358" t="s">
        <v>156</v>
      </c>
      <c r="AN358" t="s">
        <v>157</v>
      </c>
      <c r="AO358" t="s">
        <v>2387</v>
      </c>
      <c r="AP358" t="s">
        <v>2388</v>
      </c>
      <c r="AQ358" t="s">
        <v>74</v>
      </c>
      <c r="AR358" t="s">
        <v>2389</v>
      </c>
      <c r="AS358" t="s">
        <v>2390</v>
      </c>
      <c r="AT358" t="s">
        <v>6571</v>
      </c>
      <c r="AU358">
        <v>2011</v>
      </c>
      <c r="AV358">
        <v>58</v>
      </c>
      <c r="AW358" t="s">
        <v>6613</v>
      </c>
      <c r="AX358" t="s">
        <v>74</v>
      </c>
      <c r="AY358" t="s">
        <v>74</v>
      </c>
      <c r="AZ358" t="s">
        <v>74</v>
      </c>
      <c r="BA358" t="s">
        <v>74</v>
      </c>
      <c r="BB358">
        <v>2749</v>
      </c>
      <c r="BC358">
        <v>2766</v>
      </c>
      <c r="BD358" t="s">
        <v>74</v>
      </c>
      <c r="BE358" t="s">
        <v>6856</v>
      </c>
      <c r="BF358" t="str">
        <f>HYPERLINK("http://dx.doi.org/10.1016/j.dsr2.2011.02.004","http://dx.doi.org/10.1016/j.dsr2.2011.02.004")</f>
        <v>http://dx.doi.org/10.1016/j.dsr2.2011.02.004</v>
      </c>
      <c r="BG358" t="s">
        <v>74</v>
      </c>
      <c r="BH358" t="s">
        <v>74</v>
      </c>
      <c r="BI358">
        <v>18</v>
      </c>
      <c r="BJ358" t="s">
        <v>496</v>
      </c>
      <c r="BK358" t="s">
        <v>100</v>
      </c>
      <c r="BL358" t="s">
        <v>496</v>
      </c>
      <c r="BM358" t="s">
        <v>6615</v>
      </c>
      <c r="BN358" t="s">
        <v>74</v>
      </c>
      <c r="BO358" t="s">
        <v>74</v>
      </c>
      <c r="BP358" t="s">
        <v>74</v>
      </c>
      <c r="BQ358" t="s">
        <v>74</v>
      </c>
      <c r="BR358" t="s">
        <v>102</v>
      </c>
      <c r="BS358" t="s">
        <v>6857</v>
      </c>
      <c r="BT358" t="str">
        <f>HYPERLINK("https%3A%2F%2Fwww.webofscience.com%2Fwos%2Fwoscc%2Ffull-record%2FWOS:000297002300017","View Full Record in Web of Science")</f>
        <v>View Full Record in Web of Science</v>
      </c>
    </row>
    <row r="359" spans="1:72" x14ac:dyDescent="0.15">
      <c r="A359" t="s">
        <v>72</v>
      </c>
      <c r="B359" t="s">
        <v>6858</v>
      </c>
      <c r="C359" t="s">
        <v>74</v>
      </c>
      <c r="D359" t="s">
        <v>74</v>
      </c>
      <c r="E359" t="s">
        <v>74</v>
      </c>
      <c r="F359" t="s">
        <v>6859</v>
      </c>
      <c r="G359" t="s">
        <v>74</v>
      </c>
      <c r="H359" t="s">
        <v>74</v>
      </c>
      <c r="I359" t="s">
        <v>6860</v>
      </c>
      <c r="J359" t="s">
        <v>6861</v>
      </c>
      <c r="K359" t="s">
        <v>74</v>
      </c>
      <c r="L359" t="s">
        <v>74</v>
      </c>
      <c r="M359" t="s">
        <v>78</v>
      </c>
      <c r="N359" t="s">
        <v>79</v>
      </c>
      <c r="O359" t="s">
        <v>74</v>
      </c>
      <c r="P359" t="s">
        <v>74</v>
      </c>
      <c r="Q359" t="s">
        <v>74</v>
      </c>
      <c r="R359" t="s">
        <v>74</v>
      </c>
      <c r="S359" t="s">
        <v>74</v>
      </c>
      <c r="T359" t="s">
        <v>6862</v>
      </c>
      <c r="U359" t="s">
        <v>6863</v>
      </c>
      <c r="V359" t="s">
        <v>6864</v>
      </c>
      <c r="W359" t="s">
        <v>6865</v>
      </c>
      <c r="X359" t="s">
        <v>6866</v>
      </c>
      <c r="Y359" t="s">
        <v>6867</v>
      </c>
      <c r="Z359" t="s">
        <v>6868</v>
      </c>
      <c r="AA359" t="s">
        <v>74</v>
      </c>
      <c r="AB359" t="s">
        <v>6869</v>
      </c>
      <c r="AC359" t="s">
        <v>6870</v>
      </c>
      <c r="AD359" t="s">
        <v>6871</v>
      </c>
      <c r="AE359" t="s">
        <v>6872</v>
      </c>
      <c r="AF359" t="s">
        <v>74</v>
      </c>
      <c r="AG359">
        <v>95</v>
      </c>
      <c r="AH359">
        <v>28</v>
      </c>
      <c r="AI359">
        <v>30</v>
      </c>
      <c r="AJ359">
        <v>0</v>
      </c>
      <c r="AK359">
        <v>15</v>
      </c>
      <c r="AL359" t="s">
        <v>333</v>
      </c>
      <c r="AM359" t="s">
        <v>334</v>
      </c>
      <c r="AN359" t="s">
        <v>335</v>
      </c>
      <c r="AO359" t="s">
        <v>6873</v>
      </c>
      <c r="AP359" t="s">
        <v>6874</v>
      </c>
      <c r="AQ359" t="s">
        <v>74</v>
      </c>
      <c r="AR359" t="s">
        <v>6875</v>
      </c>
      <c r="AS359" t="s">
        <v>6876</v>
      </c>
      <c r="AT359" t="s">
        <v>6571</v>
      </c>
      <c r="AU359">
        <v>2011</v>
      </c>
      <c r="AV359">
        <v>88</v>
      </c>
      <c r="AW359">
        <v>4</v>
      </c>
      <c r="AX359" t="s">
        <v>74</v>
      </c>
      <c r="AY359" t="s">
        <v>74</v>
      </c>
      <c r="AZ359" t="s">
        <v>74</v>
      </c>
      <c r="BA359" t="s">
        <v>74</v>
      </c>
      <c r="BB359">
        <v>542</v>
      </c>
      <c r="BC359">
        <v>552</v>
      </c>
      <c r="BD359" t="s">
        <v>74</v>
      </c>
      <c r="BE359" t="s">
        <v>6877</v>
      </c>
      <c r="BF359" t="str">
        <f>HYPERLINK("http://dx.doi.org/10.1016/j.jmarsys.2011.07.004","http://dx.doi.org/10.1016/j.jmarsys.2011.07.004")</f>
        <v>http://dx.doi.org/10.1016/j.jmarsys.2011.07.004</v>
      </c>
      <c r="BG359" t="s">
        <v>74</v>
      </c>
      <c r="BH359" t="s">
        <v>74</v>
      </c>
      <c r="BI359">
        <v>11</v>
      </c>
      <c r="BJ359" t="s">
        <v>6878</v>
      </c>
      <c r="BK359" t="s">
        <v>100</v>
      </c>
      <c r="BL359" t="s">
        <v>6879</v>
      </c>
      <c r="BM359" t="s">
        <v>6880</v>
      </c>
      <c r="BN359" t="s">
        <v>74</v>
      </c>
      <c r="BO359" t="s">
        <v>342</v>
      </c>
      <c r="BP359" t="s">
        <v>74</v>
      </c>
      <c r="BQ359" t="s">
        <v>74</v>
      </c>
      <c r="BR359" t="s">
        <v>102</v>
      </c>
      <c r="BS359" t="s">
        <v>6881</v>
      </c>
      <c r="BT359" t="str">
        <f>HYPERLINK("https%3A%2F%2Fwww.webofscience.com%2Fwos%2Fwoscc%2Ffull-record%2FWOS:000296822100005","View Full Record in Web of Science")</f>
        <v>View Full Record in Web of Science</v>
      </c>
    </row>
    <row r="360" spans="1:72" x14ac:dyDescent="0.15">
      <c r="A360" t="s">
        <v>72</v>
      </c>
      <c r="B360" t="s">
        <v>6882</v>
      </c>
      <c r="C360" t="s">
        <v>74</v>
      </c>
      <c r="D360" t="s">
        <v>74</v>
      </c>
      <c r="E360" t="s">
        <v>74</v>
      </c>
      <c r="F360" t="s">
        <v>6883</v>
      </c>
      <c r="G360" t="s">
        <v>74</v>
      </c>
      <c r="H360" t="s">
        <v>74</v>
      </c>
      <c r="I360" t="s">
        <v>6884</v>
      </c>
      <c r="J360" t="s">
        <v>6055</v>
      </c>
      <c r="K360" t="s">
        <v>74</v>
      </c>
      <c r="L360" t="s">
        <v>74</v>
      </c>
      <c r="M360" t="s">
        <v>78</v>
      </c>
      <c r="N360" t="s">
        <v>79</v>
      </c>
      <c r="O360" t="s">
        <v>74</v>
      </c>
      <c r="P360" t="s">
        <v>74</v>
      </c>
      <c r="Q360" t="s">
        <v>74</v>
      </c>
      <c r="R360" t="s">
        <v>74</v>
      </c>
      <c r="S360" t="s">
        <v>74</v>
      </c>
      <c r="T360" t="s">
        <v>74</v>
      </c>
      <c r="U360" t="s">
        <v>6885</v>
      </c>
      <c r="V360" t="s">
        <v>6886</v>
      </c>
      <c r="W360" t="s">
        <v>6887</v>
      </c>
      <c r="X360" t="s">
        <v>6888</v>
      </c>
      <c r="Y360" t="s">
        <v>6889</v>
      </c>
      <c r="Z360" t="s">
        <v>6890</v>
      </c>
      <c r="AA360" t="s">
        <v>74</v>
      </c>
      <c r="AB360" t="s">
        <v>6891</v>
      </c>
      <c r="AC360" t="s">
        <v>6892</v>
      </c>
      <c r="AD360" t="s">
        <v>6893</v>
      </c>
      <c r="AE360" t="s">
        <v>6894</v>
      </c>
      <c r="AF360" t="s">
        <v>74</v>
      </c>
      <c r="AG360">
        <v>42</v>
      </c>
      <c r="AH360">
        <v>55</v>
      </c>
      <c r="AI360">
        <v>60</v>
      </c>
      <c r="AJ360">
        <v>2</v>
      </c>
      <c r="AK360">
        <v>51</v>
      </c>
      <c r="AL360" t="s">
        <v>1498</v>
      </c>
      <c r="AM360" t="s">
        <v>985</v>
      </c>
      <c r="AN360" t="s">
        <v>1499</v>
      </c>
      <c r="AO360" t="s">
        <v>6066</v>
      </c>
      <c r="AP360" t="s">
        <v>6067</v>
      </c>
      <c r="AQ360" t="s">
        <v>74</v>
      </c>
      <c r="AR360" t="s">
        <v>6068</v>
      </c>
      <c r="AS360" t="s">
        <v>6069</v>
      </c>
      <c r="AT360" t="s">
        <v>6895</v>
      </c>
      <c r="AU360">
        <v>2011</v>
      </c>
      <c r="AV360">
        <v>38</v>
      </c>
      <c r="AW360" t="s">
        <v>74</v>
      </c>
      <c r="AX360" t="s">
        <v>74</v>
      </c>
      <c r="AY360" t="s">
        <v>74</v>
      </c>
      <c r="AZ360" t="s">
        <v>74</v>
      </c>
      <c r="BA360" t="s">
        <v>74</v>
      </c>
      <c r="BB360" t="s">
        <v>74</v>
      </c>
      <c r="BC360" t="s">
        <v>74</v>
      </c>
      <c r="BD360" t="s">
        <v>6896</v>
      </c>
      <c r="BE360" t="s">
        <v>6897</v>
      </c>
      <c r="BF360" t="str">
        <f>HYPERLINK("http://dx.doi.org/10.1029/2011GL049712","http://dx.doi.org/10.1029/2011GL049712")</f>
        <v>http://dx.doi.org/10.1029/2011GL049712</v>
      </c>
      <c r="BG360" t="s">
        <v>74</v>
      </c>
      <c r="BH360" t="s">
        <v>74</v>
      </c>
      <c r="BI360">
        <v>5</v>
      </c>
      <c r="BJ360" t="s">
        <v>287</v>
      </c>
      <c r="BK360" t="s">
        <v>100</v>
      </c>
      <c r="BL360" t="s">
        <v>288</v>
      </c>
      <c r="BM360" t="s">
        <v>6898</v>
      </c>
      <c r="BN360" t="s">
        <v>74</v>
      </c>
      <c r="BO360" t="s">
        <v>342</v>
      </c>
      <c r="BP360" t="s">
        <v>74</v>
      </c>
      <c r="BQ360" t="s">
        <v>74</v>
      </c>
      <c r="BR360" t="s">
        <v>102</v>
      </c>
      <c r="BS360" t="s">
        <v>6899</v>
      </c>
      <c r="BT360" t="str">
        <f>HYPERLINK("https%3A%2F%2Fwww.webofscience.com%2Fwos%2Fwoscc%2Ffull-record%2FWOS:000298261400004","View Full Record in Web of Science")</f>
        <v>View Full Record in Web of Science</v>
      </c>
    </row>
    <row r="361" spans="1:72" x14ac:dyDescent="0.15">
      <c r="A361" t="s">
        <v>72</v>
      </c>
      <c r="B361" t="s">
        <v>6900</v>
      </c>
      <c r="C361" t="s">
        <v>74</v>
      </c>
      <c r="D361" t="s">
        <v>74</v>
      </c>
      <c r="E361" t="s">
        <v>74</v>
      </c>
      <c r="F361" t="s">
        <v>6901</v>
      </c>
      <c r="G361" t="s">
        <v>74</v>
      </c>
      <c r="H361" t="s">
        <v>74</v>
      </c>
      <c r="I361" t="s">
        <v>6902</v>
      </c>
      <c r="J361" t="s">
        <v>6224</v>
      </c>
      <c r="K361" t="s">
        <v>74</v>
      </c>
      <c r="L361" t="s">
        <v>74</v>
      </c>
      <c r="M361" t="s">
        <v>78</v>
      </c>
      <c r="N361" t="s">
        <v>79</v>
      </c>
      <c r="O361" t="s">
        <v>74</v>
      </c>
      <c r="P361" t="s">
        <v>74</v>
      </c>
      <c r="Q361" t="s">
        <v>74</v>
      </c>
      <c r="R361" t="s">
        <v>74</v>
      </c>
      <c r="S361" t="s">
        <v>74</v>
      </c>
      <c r="T361" t="s">
        <v>74</v>
      </c>
      <c r="U361" t="s">
        <v>6903</v>
      </c>
      <c r="V361" t="s">
        <v>6904</v>
      </c>
      <c r="W361" t="s">
        <v>6905</v>
      </c>
      <c r="X361" t="s">
        <v>6906</v>
      </c>
      <c r="Y361" t="s">
        <v>6907</v>
      </c>
      <c r="Z361" t="s">
        <v>6908</v>
      </c>
      <c r="AA361" t="s">
        <v>6909</v>
      </c>
      <c r="AB361" t="s">
        <v>6910</v>
      </c>
      <c r="AC361" t="s">
        <v>6911</v>
      </c>
      <c r="AD361" t="s">
        <v>6912</v>
      </c>
      <c r="AE361" t="s">
        <v>6913</v>
      </c>
      <c r="AF361" t="s">
        <v>74</v>
      </c>
      <c r="AG361">
        <v>73</v>
      </c>
      <c r="AH361">
        <v>21</v>
      </c>
      <c r="AI361">
        <v>23</v>
      </c>
      <c r="AJ361">
        <v>0</v>
      </c>
      <c r="AK361">
        <v>25</v>
      </c>
      <c r="AL361" t="s">
        <v>1498</v>
      </c>
      <c r="AM361" t="s">
        <v>985</v>
      </c>
      <c r="AN361" t="s">
        <v>1499</v>
      </c>
      <c r="AO361" t="s">
        <v>6236</v>
      </c>
      <c r="AP361" t="s">
        <v>6237</v>
      </c>
      <c r="AQ361" t="s">
        <v>74</v>
      </c>
      <c r="AR361" t="s">
        <v>6238</v>
      </c>
      <c r="AS361" t="s">
        <v>6239</v>
      </c>
      <c r="AT361" t="s">
        <v>6895</v>
      </c>
      <c r="AU361">
        <v>2011</v>
      </c>
      <c r="AV361">
        <v>116</v>
      </c>
      <c r="AW361" t="s">
        <v>74</v>
      </c>
      <c r="AX361" t="s">
        <v>74</v>
      </c>
      <c r="AY361" t="s">
        <v>74</v>
      </c>
      <c r="AZ361" t="s">
        <v>74</v>
      </c>
      <c r="BA361" t="s">
        <v>74</v>
      </c>
      <c r="BB361" t="s">
        <v>74</v>
      </c>
      <c r="BC361" t="s">
        <v>74</v>
      </c>
      <c r="BD361" t="s">
        <v>6914</v>
      </c>
      <c r="BE361" t="s">
        <v>6915</v>
      </c>
      <c r="BF361" t="str">
        <f>HYPERLINK("http://dx.doi.org/10.1029/2011JD016162","http://dx.doi.org/10.1029/2011JD016162")</f>
        <v>http://dx.doi.org/10.1029/2011JD016162</v>
      </c>
      <c r="BG361" t="s">
        <v>74</v>
      </c>
      <c r="BH361" t="s">
        <v>74</v>
      </c>
      <c r="BI361">
        <v>18</v>
      </c>
      <c r="BJ361" t="s">
        <v>463</v>
      </c>
      <c r="BK361" t="s">
        <v>100</v>
      </c>
      <c r="BL361" t="s">
        <v>463</v>
      </c>
      <c r="BM361" t="s">
        <v>6916</v>
      </c>
      <c r="BN361" t="s">
        <v>74</v>
      </c>
      <c r="BO361" t="s">
        <v>342</v>
      </c>
      <c r="BP361" t="s">
        <v>74</v>
      </c>
      <c r="BQ361" t="s">
        <v>74</v>
      </c>
      <c r="BR361" t="s">
        <v>102</v>
      </c>
      <c r="BS361" t="s">
        <v>6917</v>
      </c>
      <c r="BT361" t="str">
        <f>HYPERLINK("https%3A%2F%2Fwww.webofscience.com%2Fwos%2Fwoscc%2Ffull-record%2FWOS:000298253800002","View Full Record in Web of Science")</f>
        <v>View Full Record in Web of Science</v>
      </c>
    </row>
    <row r="362" spans="1:72" x14ac:dyDescent="0.15">
      <c r="A362" t="s">
        <v>72</v>
      </c>
      <c r="B362" t="s">
        <v>6918</v>
      </c>
      <c r="C362" t="s">
        <v>74</v>
      </c>
      <c r="D362" t="s">
        <v>74</v>
      </c>
      <c r="E362" t="s">
        <v>74</v>
      </c>
      <c r="F362" t="s">
        <v>6919</v>
      </c>
      <c r="G362" t="s">
        <v>74</v>
      </c>
      <c r="H362" t="s">
        <v>74</v>
      </c>
      <c r="I362" t="s">
        <v>6920</v>
      </c>
      <c r="J362" t="s">
        <v>6224</v>
      </c>
      <c r="K362" t="s">
        <v>74</v>
      </c>
      <c r="L362" t="s">
        <v>74</v>
      </c>
      <c r="M362" t="s">
        <v>78</v>
      </c>
      <c r="N362" t="s">
        <v>79</v>
      </c>
      <c r="O362" t="s">
        <v>74</v>
      </c>
      <c r="P362" t="s">
        <v>74</v>
      </c>
      <c r="Q362" t="s">
        <v>74</v>
      </c>
      <c r="R362" t="s">
        <v>74</v>
      </c>
      <c r="S362" t="s">
        <v>74</v>
      </c>
      <c r="T362" t="s">
        <v>74</v>
      </c>
      <c r="U362" t="s">
        <v>6921</v>
      </c>
      <c r="V362" t="s">
        <v>6922</v>
      </c>
      <c r="W362" t="s">
        <v>6923</v>
      </c>
      <c r="X362" t="s">
        <v>6924</v>
      </c>
      <c r="Y362" t="s">
        <v>6925</v>
      </c>
      <c r="Z362" t="s">
        <v>6926</v>
      </c>
      <c r="AA362" t="s">
        <v>6927</v>
      </c>
      <c r="AB362" t="s">
        <v>6928</v>
      </c>
      <c r="AC362" t="s">
        <v>6929</v>
      </c>
      <c r="AD362" t="s">
        <v>6930</v>
      </c>
      <c r="AE362" t="s">
        <v>6931</v>
      </c>
      <c r="AF362" t="s">
        <v>74</v>
      </c>
      <c r="AG362">
        <v>27</v>
      </c>
      <c r="AH362">
        <v>100</v>
      </c>
      <c r="AI362">
        <v>107</v>
      </c>
      <c r="AJ362">
        <v>0</v>
      </c>
      <c r="AK362">
        <v>11</v>
      </c>
      <c r="AL362" t="s">
        <v>1498</v>
      </c>
      <c r="AM362" t="s">
        <v>985</v>
      </c>
      <c r="AN362" t="s">
        <v>1499</v>
      </c>
      <c r="AO362" t="s">
        <v>6236</v>
      </c>
      <c r="AP362" t="s">
        <v>6237</v>
      </c>
      <c r="AQ362" t="s">
        <v>74</v>
      </c>
      <c r="AR362" t="s">
        <v>6238</v>
      </c>
      <c r="AS362" t="s">
        <v>6239</v>
      </c>
      <c r="AT362" t="s">
        <v>6932</v>
      </c>
      <c r="AU362">
        <v>2011</v>
      </c>
      <c r="AV362">
        <v>116</v>
      </c>
      <c r="AW362" t="s">
        <v>74</v>
      </c>
      <c r="AX362" t="s">
        <v>74</v>
      </c>
      <c r="AY362" t="s">
        <v>74</v>
      </c>
      <c r="AZ362" t="s">
        <v>74</v>
      </c>
      <c r="BA362" t="s">
        <v>74</v>
      </c>
      <c r="BB362" t="s">
        <v>74</v>
      </c>
      <c r="BC362" t="s">
        <v>74</v>
      </c>
      <c r="BD362" t="s">
        <v>6933</v>
      </c>
      <c r="BE362" t="s">
        <v>6934</v>
      </c>
      <c r="BF362" t="str">
        <f>HYPERLINK("http://dx.doi.org/10.1029/2011JD016205","http://dx.doi.org/10.1029/2011JD016205")</f>
        <v>http://dx.doi.org/10.1029/2011JD016205</v>
      </c>
      <c r="BG362" t="s">
        <v>74</v>
      </c>
      <c r="BH362" t="s">
        <v>74</v>
      </c>
      <c r="BI362">
        <v>20</v>
      </c>
      <c r="BJ362" t="s">
        <v>463</v>
      </c>
      <c r="BK362" t="s">
        <v>100</v>
      </c>
      <c r="BL362" t="s">
        <v>463</v>
      </c>
      <c r="BM362" t="s">
        <v>6935</v>
      </c>
      <c r="BN362" t="s">
        <v>74</v>
      </c>
      <c r="BO362" t="s">
        <v>365</v>
      </c>
      <c r="BP362" t="s">
        <v>74</v>
      </c>
      <c r="BQ362" t="s">
        <v>74</v>
      </c>
      <c r="BR362" t="s">
        <v>102</v>
      </c>
      <c r="BS362" t="s">
        <v>6936</v>
      </c>
      <c r="BT362" t="str">
        <f>HYPERLINK("https%3A%2F%2Fwww.webofscience.com%2Fwos%2Fwoscc%2Ffull-record%2FWOS:000298253700004","View Full Record in Web of Science")</f>
        <v>View Full Record in Web of Science</v>
      </c>
    </row>
    <row r="363" spans="1:72" x14ac:dyDescent="0.15">
      <c r="A363" t="s">
        <v>72</v>
      </c>
      <c r="B363" t="s">
        <v>6937</v>
      </c>
      <c r="C363" t="s">
        <v>74</v>
      </c>
      <c r="D363" t="s">
        <v>74</v>
      </c>
      <c r="E363" t="s">
        <v>74</v>
      </c>
      <c r="F363" t="s">
        <v>6938</v>
      </c>
      <c r="G363" t="s">
        <v>74</v>
      </c>
      <c r="H363" t="s">
        <v>74</v>
      </c>
      <c r="I363" t="s">
        <v>6939</v>
      </c>
      <c r="J363" t="s">
        <v>6077</v>
      </c>
      <c r="K363" t="s">
        <v>74</v>
      </c>
      <c r="L363" t="s">
        <v>74</v>
      </c>
      <c r="M363" t="s">
        <v>78</v>
      </c>
      <c r="N363" t="s">
        <v>79</v>
      </c>
      <c r="O363" t="s">
        <v>74</v>
      </c>
      <c r="P363" t="s">
        <v>74</v>
      </c>
      <c r="Q363" t="s">
        <v>74</v>
      </c>
      <c r="R363" t="s">
        <v>74</v>
      </c>
      <c r="S363" t="s">
        <v>74</v>
      </c>
      <c r="T363" t="s">
        <v>74</v>
      </c>
      <c r="U363" t="s">
        <v>6940</v>
      </c>
      <c r="V363" t="s">
        <v>6941</v>
      </c>
      <c r="W363" t="s">
        <v>6942</v>
      </c>
      <c r="X363" t="s">
        <v>6943</v>
      </c>
      <c r="Y363" t="s">
        <v>6944</v>
      </c>
      <c r="Z363" t="s">
        <v>6945</v>
      </c>
      <c r="AA363" t="s">
        <v>6946</v>
      </c>
      <c r="AB363" t="s">
        <v>6947</v>
      </c>
      <c r="AC363" t="s">
        <v>6948</v>
      </c>
      <c r="AD363" t="s">
        <v>6949</v>
      </c>
      <c r="AE363" t="s">
        <v>6950</v>
      </c>
      <c r="AF363" t="s">
        <v>74</v>
      </c>
      <c r="AG363">
        <v>82</v>
      </c>
      <c r="AH363">
        <v>62</v>
      </c>
      <c r="AI363">
        <v>65</v>
      </c>
      <c r="AJ363">
        <v>0</v>
      </c>
      <c r="AK363">
        <v>9</v>
      </c>
      <c r="AL363" t="s">
        <v>1498</v>
      </c>
      <c r="AM363" t="s">
        <v>985</v>
      </c>
      <c r="AN363" t="s">
        <v>1499</v>
      </c>
      <c r="AO363" t="s">
        <v>6089</v>
      </c>
      <c r="AP363" t="s">
        <v>6090</v>
      </c>
      <c r="AQ363" t="s">
        <v>74</v>
      </c>
      <c r="AR363" t="s">
        <v>6091</v>
      </c>
      <c r="AS363" t="s">
        <v>6092</v>
      </c>
      <c r="AT363" t="s">
        <v>6951</v>
      </c>
      <c r="AU363">
        <v>2011</v>
      </c>
      <c r="AV363">
        <v>116</v>
      </c>
      <c r="AW363" t="s">
        <v>74</v>
      </c>
      <c r="AX363" t="s">
        <v>74</v>
      </c>
      <c r="AY363" t="s">
        <v>74</v>
      </c>
      <c r="AZ363" t="s">
        <v>74</v>
      </c>
      <c r="BA363" t="s">
        <v>74</v>
      </c>
      <c r="BB363" t="s">
        <v>74</v>
      </c>
      <c r="BC363" t="s">
        <v>74</v>
      </c>
      <c r="BD363" t="s">
        <v>6952</v>
      </c>
      <c r="BE363" t="s">
        <v>6953</v>
      </c>
      <c r="BF363" t="str">
        <f>HYPERLINK("http://dx.doi.org/10.1029/2011JA016862","http://dx.doi.org/10.1029/2011JA016862")</f>
        <v>http://dx.doi.org/10.1029/2011JA016862</v>
      </c>
      <c r="BG363" t="s">
        <v>74</v>
      </c>
      <c r="BH363" t="s">
        <v>74</v>
      </c>
      <c r="BI363">
        <v>14</v>
      </c>
      <c r="BJ363" t="s">
        <v>5208</v>
      </c>
      <c r="BK363" t="s">
        <v>100</v>
      </c>
      <c r="BL363" t="s">
        <v>5208</v>
      </c>
      <c r="BM363" t="s">
        <v>6954</v>
      </c>
      <c r="BN363" t="s">
        <v>74</v>
      </c>
      <c r="BO363" t="s">
        <v>4515</v>
      </c>
      <c r="BP363" t="s">
        <v>74</v>
      </c>
      <c r="BQ363" t="s">
        <v>74</v>
      </c>
      <c r="BR363" t="s">
        <v>102</v>
      </c>
      <c r="BS363" t="s">
        <v>6955</v>
      </c>
      <c r="BT363" t="str">
        <f>HYPERLINK("https%3A%2F%2Fwww.webofscience.com%2Fwos%2Fwoscc%2Ffull-record%2FWOS:000297979400003","View Full Record in Web of Science")</f>
        <v>View Full Record in Web of Science</v>
      </c>
    </row>
    <row r="364" spans="1:72" x14ac:dyDescent="0.15">
      <c r="A364" t="s">
        <v>72</v>
      </c>
      <c r="B364" t="s">
        <v>6956</v>
      </c>
      <c r="C364" t="s">
        <v>74</v>
      </c>
      <c r="D364" t="s">
        <v>74</v>
      </c>
      <c r="E364" t="s">
        <v>74</v>
      </c>
      <c r="F364" t="s">
        <v>6957</v>
      </c>
      <c r="G364" t="s">
        <v>74</v>
      </c>
      <c r="H364" t="s">
        <v>74</v>
      </c>
      <c r="I364" t="s">
        <v>6958</v>
      </c>
      <c r="J364" t="s">
        <v>6395</v>
      </c>
      <c r="K364" t="s">
        <v>74</v>
      </c>
      <c r="L364" t="s">
        <v>74</v>
      </c>
      <c r="M364" t="s">
        <v>78</v>
      </c>
      <c r="N364" t="s">
        <v>79</v>
      </c>
      <c r="O364" t="s">
        <v>74</v>
      </c>
      <c r="P364" t="s">
        <v>74</v>
      </c>
      <c r="Q364" t="s">
        <v>74</v>
      </c>
      <c r="R364" t="s">
        <v>74</v>
      </c>
      <c r="S364" t="s">
        <v>74</v>
      </c>
      <c r="T364" t="s">
        <v>74</v>
      </c>
      <c r="U364" t="s">
        <v>6959</v>
      </c>
      <c r="V364" t="s">
        <v>6960</v>
      </c>
      <c r="W364" t="s">
        <v>6961</v>
      </c>
      <c r="X364" t="s">
        <v>6962</v>
      </c>
      <c r="Y364" t="s">
        <v>6963</v>
      </c>
      <c r="Z364" t="s">
        <v>6964</v>
      </c>
      <c r="AA364" t="s">
        <v>6965</v>
      </c>
      <c r="AB364" t="s">
        <v>6966</v>
      </c>
      <c r="AC364" t="s">
        <v>6967</v>
      </c>
      <c r="AD364" t="s">
        <v>6968</v>
      </c>
      <c r="AE364" t="s">
        <v>6969</v>
      </c>
      <c r="AF364" t="s">
        <v>74</v>
      </c>
      <c r="AG364">
        <v>102</v>
      </c>
      <c r="AH364">
        <v>33</v>
      </c>
      <c r="AI364">
        <v>38</v>
      </c>
      <c r="AJ364">
        <v>1</v>
      </c>
      <c r="AK364">
        <v>24</v>
      </c>
      <c r="AL364" t="s">
        <v>1498</v>
      </c>
      <c r="AM364" t="s">
        <v>985</v>
      </c>
      <c r="AN364" t="s">
        <v>1499</v>
      </c>
      <c r="AO364" t="s">
        <v>6407</v>
      </c>
      <c r="AP364" t="s">
        <v>6408</v>
      </c>
      <c r="AQ364" t="s">
        <v>74</v>
      </c>
      <c r="AR364" t="s">
        <v>6395</v>
      </c>
      <c r="AS364" t="s">
        <v>6409</v>
      </c>
      <c r="AT364" t="s">
        <v>6951</v>
      </c>
      <c r="AU364">
        <v>2011</v>
      </c>
      <c r="AV364">
        <v>26</v>
      </c>
      <c r="AW364" t="s">
        <v>74</v>
      </c>
      <c r="AX364" t="s">
        <v>74</v>
      </c>
      <c r="AY364" t="s">
        <v>74</v>
      </c>
      <c r="AZ364" t="s">
        <v>74</v>
      </c>
      <c r="BA364" t="s">
        <v>74</v>
      </c>
      <c r="BB364" t="s">
        <v>74</v>
      </c>
      <c r="BC364" t="s">
        <v>74</v>
      </c>
      <c r="BD364" t="s">
        <v>6970</v>
      </c>
      <c r="BE364" t="s">
        <v>6971</v>
      </c>
      <c r="BF364" t="str">
        <f>HYPERLINK("http://dx.doi.org/10.1029/2011PA002127","http://dx.doi.org/10.1029/2011PA002127")</f>
        <v>http://dx.doi.org/10.1029/2011PA002127</v>
      </c>
      <c r="BG364" t="s">
        <v>74</v>
      </c>
      <c r="BH364" t="s">
        <v>74</v>
      </c>
      <c r="BI364">
        <v>18</v>
      </c>
      <c r="BJ364" t="s">
        <v>6412</v>
      </c>
      <c r="BK364" t="s">
        <v>100</v>
      </c>
      <c r="BL364" t="s">
        <v>6413</v>
      </c>
      <c r="BM364" t="s">
        <v>6972</v>
      </c>
      <c r="BN364" t="s">
        <v>74</v>
      </c>
      <c r="BO364" t="s">
        <v>74</v>
      </c>
      <c r="BP364" t="s">
        <v>74</v>
      </c>
      <c r="BQ364" t="s">
        <v>74</v>
      </c>
      <c r="BR364" t="s">
        <v>102</v>
      </c>
      <c r="BS364" t="s">
        <v>6973</v>
      </c>
      <c r="BT364" t="str">
        <f>HYPERLINK("https%3A%2F%2Fwww.webofscience.com%2Fwos%2Fwoscc%2Ffull-record%2FWOS:000297989200001","View Full Record in Web of Science")</f>
        <v>View Full Record in Web of Science</v>
      </c>
    </row>
    <row r="365" spans="1:72" x14ac:dyDescent="0.15">
      <c r="A365" t="s">
        <v>72</v>
      </c>
      <c r="B365" t="s">
        <v>6974</v>
      </c>
      <c r="C365" t="s">
        <v>74</v>
      </c>
      <c r="D365" t="s">
        <v>74</v>
      </c>
      <c r="E365" t="s">
        <v>74</v>
      </c>
      <c r="F365" t="s">
        <v>6975</v>
      </c>
      <c r="G365" t="s">
        <v>74</v>
      </c>
      <c r="H365" t="s">
        <v>74</v>
      </c>
      <c r="I365" t="s">
        <v>6976</v>
      </c>
      <c r="J365" t="s">
        <v>6055</v>
      </c>
      <c r="K365" t="s">
        <v>74</v>
      </c>
      <c r="L365" t="s">
        <v>74</v>
      </c>
      <c r="M365" t="s">
        <v>78</v>
      </c>
      <c r="N365" t="s">
        <v>79</v>
      </c>
      <c r="O365" t="s">
        <v>74</v>
      </c>
      <c r="P365" t="s">
        <v>74</v>
      </c>
      <c r="Q365" t="s">
        <v>74</v>
      </c>
      <c r="R365" t="s">
        <v>74</v>
      </c>
      <c r="S365" t="s">
        <v>74</v>
      </c>
      <c r="T365" t="s">
        <v>74</v>
      </c>
      <c r="U365" t="s">
        <v>6977</v>
      </c>
      <c r="V365" t="s">
        <v>6978</v>
      </c>
      <c r="W365" t="s">
        <v>6979</v>
      </c>
      <c r="X365" t="s">
        <v>6980</v>
      </c>
      <c r="Y365" t="s">
        <v>6981</v>
      </c>
      <c r="Z365" t="s">
        <v>6982</v>
      </c>
      <c r="AA365" t="s">
        <v>6983</v>
      </c>
      <c r="AB365" t="s">
        <v>6984</v>
      </c>
      <c r="AC365" t="s">
        <v>6985</v>
      </c>
      <c r="AD365" t="s">
        <v>6986</v>
      </c>
      <c r="AE365" t="s">
        <v>6987</v>
      </c>
      <c r="AF365" t="s">
        <v>74</v>
      </c>
      <c r="AG365">
        <v>43</v>
      </c>
      <c r="AH365">
        <v>31</v>
      </c>
      <c r="AI365">
        <v>35</v>
      </c>
      <c r="AJ365">
        <v>0</v>
      </c>
      <c r="AK365">
        <v>38</v>
      </c>
      <c r="AL365" t="s">
        <v>1498</v>
      </c>
      <c r="AM365" t="s">
        <v>985</v>
      </c>
      <c r="AN365" t="s">
        <v>1499</v>
      </c>
      <c r="AO365" t="s">
        <v>6066</v>
      </c>
      <c r="AP365" t="s">
        <v>74</v>
      </c>
      <c r="AQ365" t="s">
        <v>74</v>
      </c>
      <c r="AR365" t="s">
        <v>6068</v>
      </c>
      <c r="AS365" t="s">
        <v>6069</v>
      </c>
      <c r="AT365" t="s">
        <v>6988</v>
      </c>
      <c r="AU365">
        <v>2011</v>
      </c>
      <c r="AV365">
        <v>38</v>
      </c>
      <c r="AW365" t="s">
        <v>74</v>
      </c>
      <c r="AX365" t="s">
        <v>74</v>
      </c>
      <c r="AY365" t="s">
        <v>74</v>
      </c>
      <c r="AZ365" t="s">
        <v>74</v>
      </c>
      <c r="BA365" t="s">
        <v>74</v>
      </c>
      <c r="BB365" t="s">
        <v>74</v>
      </c>
      <c r="BC365" t="s">
        <v>74</v>
      </c>
      <c r="BD365" t="s">
        <v>6989</v>
      </c>
      <c r="BE365" t="s">
        <v>6990</v>
      </c>
      <c r="BF365" t="str">
        <f>HYPERLINK("http://dx.doi.org/10.1029/2011GL049545","http://dx.doi.org/10.1029/2011GL049545")</f>
        <v>http://dx.doi.org/10.1029/2011GL049545</v>
      </c>
      <c r="BG365" t="s">
        <v>74</v>
      </c>
      <c r="BH365" t="s">
        <v>74</v>
      </c>
      <c r="BI365">
        <v>6</v>
      </c>
      <c r="BJ365" t="s">
        <v>287</v>
      </c>
      <c r="BK365" t="s">
        <v>100</v>
      </c>
      <c r="BL365" t="s">
        <v>288</v>
      </c>
      <c r="BM365" t="s">
        <v>6991</v>
      </c>
      <c r="BN365" t="s">
        <v>74</v>
      </c>
      <c r="BO365" t="s">
        <v>2679</v>
      </c>
      <c r="BP365" t="s">
        <v>74</v>
      </c>
      <c r="BQ365" t="s">
        <v>74</v>
      </c>
      <c r="BR365" t="s">
        <v>102</v>
      </c>
      <c r="BS365" t="s">
        <v>6992</v>
      </c>
      <c r="BT365" t="str">
        <f>HYPERLINK("https%3A%2F%2Fwww.webofscience.com%2Fwos%2Fwoscc%2Ffull-record%2FWOS:000298001500001","View Full Record in Web of Science")</f>
        <v>View Full Record in Web of Science</v>
      </c>
    </row>
    <row r="366" spans="1:72" x14ac:dyDescent="0.15">
      <c r="A366" t="s">
        <v>72</v>
      </c>
      <c r="B366" t="s">
        <v>6993</v>
      </c>
      <c r="C366" t="s">
        <v>74</v>
      </c>
      <c r="D366" t="s">
        <v>74</v>
      </c>
      <c r="E366" t="s">
        <v>74</v>
      </c>
      <c r="F366" t="s">
        <v>6994</v>
      </c>
      <c r="G366" t="s">
        <v>74</v>
      </c>
      <c r="H366" t="s">
        <v>74</v>
      </c>
      <c r="I366" t="s">
        <v>6995</v>
      </c>
      <c r="J366" t="s">
        <v>6996</v>
      </c>
      <c r="K366" t="s">
        <v>74</v>
      </c>
      <c r="L366" t="s">
        <v>74</v>
      </c>
      <c r="M366" t="s">
        <v>78</v>
      </c>
      <c r="N366" t="s">
        <v>6997</v>
      </c>
      <c r="O366" t="s">
        <v>74</v>
      </c>
      <c r="P366" t="s">
        <v>74</v>
      </c>
      <c r="Q366" t="s">
        <v>74</v>
      </c>
      <c r="R366" t="s">
        <v>74</v>
      </c>
      <c r="S366" t="s">
        <v>74</v>
      </c>
      <c r="T366" t="s">
        <v>74</v>
      </c>
      <c r="U366" t="s">
        <v>74</v>
      </c>
      <c r="V366" t="s">
        <v>74</v>
      </c>
      <c r="W366" t="s">
        <v>74</v>
      </c>
      <c r="X366" t="s">
        <v>74</v>
      </c>
      <c r="Y366" t="s">
        <v>74</v>
      </c>
      <c r="Z366" t="s">
        <v>74</v>
      </c>
      <c r="AA366" t="s">
        <v>74</v>
      </c>
      <c r="AB366" t="s">
        <v>74</v>
      </c>
      <c r="AC366" t="s">
        <v>74</v>
      </c>
      <c r="AD366" t="s">
        <v>74</v>
      </c>
      <c r="AE366" t="s">
        <v>74</v>
      </c>
      <c r="AF366" t="s">
        <v>74</v>
      </c>
      <c r="AG366">
        <v>1</v>
      </c>
      <c r="AH366">
        <v>0</v>
      </c>
      <c r="AI366">
        <v>0</v>
      </c>
      <c r="AJ366">
        <v>0</v>
      </c>
      <c r="AK366">
        <v>0</v>
      </c>
      <c r="AL366" t="s">
        <v>6998</v>
      </c>
      <c r="AM366" t="s">
        <v>413</v>
      </c>
      <c r="AN366" t="s">
        <v>6999</v>
      </c>
      <c r="AO366" t="s">
        <v>7000</v>
      </c>
      <c r="AP366" t="s">
        <v>74</v>
      </c>
      <c r="AQ366" t="s">
        <v>74</v>
      </c>
      <c r="AR366" t="s">
        <v>7001</v>
      </c>
      <c r="AS366" t="s">
        <v>7002</v>
      </c>
      <c r="AT366" t="s">
        <v>7003</v>
      </c>
      <c r="AU366">
        <v>2011</v>
      </c>
      <c r="AV366" t="s">
        <v>74</v>
      </c>
      <c r="AW366" t="s">
        <v>74</v>
      </c>
      <c r="AX366" t="s">
        <v>74</v>
      </c>
      <c r="AY366" t="s">
        <v>74</v>
      </c>
      <c r="AZ366" t="s">
        <v>74</v>
      </c>
      <c r="BA366" t="s">
        <v>74</v>
      </c>
      <c r="BB366">
        <v>27</v>
      </c>
      <c r="BC366">
        <v>27</v>
      </c>
      <c r="BD366" t="s">
        <v>74</v>
      </c>
      <c r="BE366" t="s">
        <v>74</v>
      </c>
      <c r="BF366" t="s">
        <v>74</v>
      </c>
      <c r="BG366" t="s">
        <v>74</v>
      </c>
      <c r="BH366" t="s">
        <v>74</v>
      </c>
      <c r="BI366">
        <v>1</v>
      </c>
      <c r="BJ366" t="s">
        <v>7004</v>
      </c>
      <c r="BK366" t="s">
        <v>7005</v>
      </c>
      <c r="BL366" t="s">
        <v>7006</v>
      </c>
      <c r="BM366" t="s">
        <v>7007</v>
      </c>
      <c r="BN366" t="s">
        <v>74</v>
      </c>
      <c r="BO366" t="s">
        <v>74</v>
      </c>
      <c r="BP366" t="s">
        <v>74</v>
      </c>
      <c r="BQ366" t="s">
        <v>74</v>
      </c>
      <c r="BR366" t="s">
        <v>102</v>
      </c>
      <c r="BS366" t="s">
        <v>7008</v>
      </c>
      <c r="BT366" t="str">
        <f>HYPERLINK("https%3A%2F%2Fwww.webofscience.com%2Fwos%2Fwoscc%2Ffull-record%2FWOS:000297400000040","View Full Record in Web of Science")</f>
        <v>View Full Record in Web of Science</v>
      </c>
    </row>
    <row r="367" spans="1:72" x14ac:dyDescent="0.15">
      <c r="A367" t="s">
        <v>72</v>
      </c>
      <c r="B367" t="s">
        <v>7009</v>
      </c>
      <c r="C367" t="s">
        <v>74</v>
      </c>
      <c r="D367" t="s">
        <v>74</v>
      </c>
      <c r="E367" t="s">
        <v>74</v>
      </c>
      <c r="F367" t="s">
        <v>7010</v>
      </c>
      <c r="G367" t="s">
        <v>74</v>
      </c>
      <c r="H367" t="s">
        <v>74</v>
      </c>
      <c r="I367" t="s">
        <v>7011</v>
      </c>
      <c r="J367" t="s">
        <v>6292</v>
      </c>
      <c r="K367" t="s">
        <v>74</v>
      </c>
      <c r="L367" t="s">
        <v>74</v>
      </c>
      <c r="M367" t="s">
        <v>78</v>
      </c>
      <c r="N367" t="s">
        <v>79</v>
      </c>
      <c r="O367" t="s">
        <v>74</v>
      </c>
      <c r="P367" t="s">
        <v>74</v>
      </c>
      <c r="Q367" t="s">
        <v>74</v>
      </c>
      <c r="R367" t="s">
        <v>74</v>
      </c>
      <c r="S367" t="s">
        <v>74</v>
      </c>
      <c r="T367" t="s">
        <v>74</v>
      </c>
      <c r="U367" t="s">
        <v>7012</v>
      </c>
      <c r="V367" t="s">
        <v>7013</v>
      </c>
      <c r="W367" t="s">
        <v>7014</v>
      </c>
      <c r="X367" t="s">
        <v>7015</v>
      </c>
      <c r="Y367" t="s">
        <v>7016</v>
      </c>
      <c r="Z367" t="s">
        <v>7017</v>
      </c>
      <c r="AA367" t="s">
        <v>7018</v>
      </c>
      <c r="AB367" t="s">
        <v>7019</v>
      </c>
      <c r="AC367" t="s">
        <v>7020</v>
      </c>
      <c r="AD367" t="s">
        <v>7021</v>
      </c>
      <c r="AE367" t="s">
        <v>7022</v>
      </c>
      <c r="AF367" t="s">
        <v>74</v>
      </c>
      <c r="AG367">
        <v>50</v>
      </c>
      <c r="AH367">
        <v>53</v>
      </c>
      <c r="AI367">
        <v>56</v>
      </c>
      <c r="AJ367">
        <v>2</v>
      </c>
      <c r="AK367">
        <v>39</v>
      </c>
      <c r="AL367" t="s">
        <v>6304</v>
      </c>
      <c r="AM367" t="s">
        <v>985</v>
      </c>
      <c r="AN367" t="s">
        <v>6305</v>
      </c>
      <c r="AO367" t="s">
        <v>6306</v>
      </c>
      <c r="AP367" t="s">
        <v>6307</v>
      </c>
      <c r="AQ367" t="s">
        <v>74</v>
      </c>
      <c r="AR367" t="s">
        <v>6292</v>
      </c>
      <c r="AS367" t="s">
        <v>6308</v>
      </c>
      <c r="AT367" t="s">
        <v>7023</v>
      </c>
      <c r="AU367">
        <v>2011</v>
      </c>
      <c r="AV367">
        <v>334</v>
      </c>
      <c r="AW367">
        <v>6060</v>
      </c>
      <c r="AX367" t="s">
        <v>74</v>
      </c>
      <c r="AY367" t="s">
        <v>74</v>
      </c>
      <c r="AZ367" t="s">
        <v>74</v>
      </c>
      <c r="BA367" t="s">
        <v>74</v>
      </c>
      <c r="BB367">
        <v>1265</v>
      </c>
      <c r="BC367">
        <v>1269</v>
      </c>
      <c r="BD367" t="s">
        <v>74</v>
      </c>
      <c r="BE367" t="s">
        <v>7024</v>
      </c>
      <c r="BF367" t="str">
        <f>HYPERLINK("http://dx.doi.org/10.1126/science.1209299","http://dx.doi.org/10.1126/science.1209299")</f>
        <v>http://dx.doi.org/10.1126/science.1209299</v>
      </c>
      <c r="BG367" t="s">
        <v>74</v>
      </c>
      <c r="BH367" t="s">
        <v>74</v>
      </c>
      <c r="BI367">
        <v>5</v>
      </c>
      <c r="BJ367" t="s">
        <v>6182</v>
      </c>
      <c r="BK367" t="s">
        <v>100</v>
      </c>
      <c r="BL367" t="s">
        <v>6183</v>
      </c>
      <c r="BM367" t="s">
        <v>7025</v>
      </c>
      <c r="BN367">
        <v>22144623</v>
      </c>
      <c r="BO367" t="s">
        <v>74</v>
      </c>
      <c r="BP367" t="s">
        <v>74</v>
      </c>
      <c r="BQ367" t="s">
        <v>74</v>
      </c>
      <c r="BR367" t="s">
        <v>102</v>
      </c>
      <c r="BS367" t="s">
        <v>7026</v>
      </c>
      <c r="BT367" t="str">
        <f>HYPERLINK("https%3A%2F%2Fwww.webofscience.com%2Fwos%2Fwoscc%2Ffull-record%2FWOS:000297553600047","View Full Record in Web of Science")</f>
        <v>View Full Record in Web of Science</v>
      </c>
    </row>
    <row r="368" spans="1:72" x14ac:dyDescent="0.15">
      <c r="A368" t="s">
        <v>72</v>
      </c>
      <c r="B368" t="s">
        <v>7027</v>
      </c>
      <c r="C368" t="s">
        <v>74</v>
      </c>
      <c r="D368" t="s">
        <v>74</v>
      </c>
      <c r="E368" t="s">
        <v>74</v>
      </c>
      <c r="F368" t="s">
        <v>7028</v>
      </c>
      <c r="G368" t="s">
        <v>74</v>
      </c>
      <c r="H368" t="s">
        <v>74</v>
      </c>
      <c r="I368" t="s">
        <v>7029</v>
      </c>
      <c r="J368" t="s">
        <v>6055</v>
      </c>
      <c r="K368" t="s">
        <v>74</v>
      </c>
      <c r="L368" t="s">
        <v>74</v>
      </c>
      <c r="M368" t="s">
        <v>78</v>
      </c>
      <c r="N368" t="s">
        <v>79</v>
      </c>
      <c r="O368" t="s">
        <v>74</v>
      </c>
      <c r="P368" t="s">
        <v>74</v>
      </c>
      <c r="Q368" t="s">
        <v>74</v>
      </c>
      <c r="R368" t="s">
        <v>74</v>
      </c>
      <c r="S368" t="s">
        <v>74</v>
      </c>
      <c r="T368" t="s">
        <v>74</v>
      </c>
      <c r="U368" t="s">
        <v>7030</v>
      </c>
      <c r="V368" t="s">
        <v>7031</v>
      </c>
      <c r="W368" t="s">
        <v>7032</v>
      </c>
      <c r="X368" t="s">
        <v>7033</v>
      </c>
      <c r="Y368" t="s">
        <v>7034</v>
      </c>
      <c r="Z368" t="s">
        <v>7035</v>
      </c>
      <c r="AA368" t="s">
        <v>7036</v>
      </c>
      <c r="AB368" t="s">
        <v>7037</v>
      </c>
      <c r="AC368" t="s">
        <v>7038</v>
      </c>
      <c r="AD368" t="s">
        <v>7039</v>
      </c>
      <c r="AE368" t="s">
        <v>7040</v>
      </c>
      <c r="AF368" t="s">
        <v>74</v>
      </c>
      <c r="AG368">
        <v>31</v>
      </c>
      <c r="AH368">
        <v>207</v>
      </c>
      <c r="AI368">
        <v>224</v>
      </c>
      <c r="AJ368">
        <v>6</v>
      </c>
      <c r="AK368">
        <v>103</v>
      </c>
      <c r="AL368" t="s">
        <v>1498</v>
      </c>
      <c r="AM368" t="s">
        <v>985</v>
      </c>
      <c r="AN368" t="s">
        <v>1499</v>
      </c>
      <c r="AO368" t="s">
        <v>6066</v>
      </c>
      <c r="AP368" t="s">
        <v>6067</v>
      </c>
      <c r="AQ368" t="s">
        <v>74</v>
      </c>
      <c r="AR368" t="s">
        <v>6068</v>
      </c>
      <c r="AS368" t="s">
        <v>6069</v>
      </c>
      <c r="AT368" t="s">
        <v>7023</v>
      </c>
      <c r="AU368">
        <v>2011</v>
      </c>
      <c r="AV368">
        <v>38</v>
      </c>
      <c r="AW368" t="s">
        <v>74</v>
      </c>
      <c r="AX368" t="s">
        <v>74</v>
      </c>
      <c r="AY368" t="s">
        <v>74</v>
      </c>
      <c r="AZ368" t="s">
        <v>74</v>
      </c>
      <c r="BA368" t="s">
        <v>74</v>
      </c>
      <c r="BB368" t="s">
        <v>74</v>
      </c>
      <c r="BC368" t="s">
        <v>74</v>
      </c>
      <c r="BD368" t="s">
        <v>7041</v>
      </c>
      <c r="BE368" t="s">
        <v>7042</v>
      </c>
      <c r="BF368" t="str">
        <f>HYPERLINK("http://dx.doi.org/10.1029/2011GL049513","http://dx.doi.org/10.1029/2011GL049513")</f>
        <v>http://dx.doi.org/10.1029/2011GL049513</v>
      </c>
      <c r="BG368" t="s">
        <v>74</v>
      </c>
      <c r="BH368" t="s">
        <v>74</v>
      </c>
      <c r="BI368">
        <v>6</v>
      </c>
      <c r="BJ368" t="s">
        <v>287</v>
      </c>
      <c r="BK368" t="s">
        <v>100</v>
      </c>
      <c r="BL368" t="s">
        <v>288</v>
      </c>
      <c r="BM368" t="s">
        <v>7043</v>
      </c>
      <c r="BN368" t="s">
        <v>74</v>
      </c>
      <c r="BO368" t="s">
        <v>74</v>
      </c>
      <c r="BP368" t="s">
        <v>74</v>
      </c>
      <c r="BQ368" t="s">
        <v>74</v>
      </c>
      <c r="BR368" t="s">
        <v>102</v>
      </c>
      <c r="BS368" t="s">
        <v>7044</v>
      </c>
      <c r="BT368" t="str">
        <f>HYPERLINK("https%3A%2F%2Fwww.webofscience.com%2Fwos%2Fwoscc%2Ffull-record%2FWOS:000297635200004","View Full Record in Web of Science")</f>
        <v>View Full Record in Web of Science</v>
      </c>
    </row>
    <row r="369" spans="1:72" x14ac:dyDescent="0.15">
      <c r="A369" t="s">
        <v>72</v>
      </c>
      <c r="B369" t="s">
        <v>7045</v>
      </c>
      <c r="C369" t="s">
        <v>74</v>
      </c>
      <c r="D369" t="s">
        <v>74</v>
      </c>
      <c r="E369" t="s">
        <v>74</v>
      </c>
      <c r="F369" t="s">
        <v>7046</v>
      </c>
      <c r="G369" t="s">
        <v>74</v>
      </c>
      <c r="H369" t="s">
        <v>74</v>
      </c>
      <c r="I369" t="s">
        <v>7047</v>
      </c>
      <c r="J369" t="s">
        <v>7048</v>
      </c>
      <c r="K369" t="s">
        <v>74</v>
      </c>
      <c r="L369" t="s">
        <v>74</v>
      </c>
      <c r="M369" t="s">
        <v>78</v>
      </c>
      <c r="N369" t="s">
        <v>1513</v>
      </c>
      <c r="O369" t="s">
        <v>74</v>
      </c>
      <c r="P369" t="s">
        <v>74</v>
      </c>
      <c r="Q369" t="s">
        <v>74</v>
      </c>
      <c r="R369" t="s">
        <v>74</v>
      </c>
      <c r="S369" t="s">
        <v>74</v>
      </c>
      <c r="T369" t="s">
        <v>74</v>
      </c>
      <c r="U369" t="s">
        <v>7049</v>
      </c>
      <c r="V369" t="s">
        <v>7050</v>
      </c>
      <c r="W369" t="s">
        <v>7051</v>
      </c>
      <c r="X369" t="s">
        <v>7052</v>
      </c>
      <c r="Y369" t="s">
        <v>3820</v>
      </c>
      <c r="Z369" t="s">
        <v>3821</v>
      </c>
      <c r="AA369" t="s">
        <v>7053</v>
      </c>
      <c r="AB369" t="s">
        <v>7054</v>
      </c>
      <c r="AC369" t="s">
        <v>7055</v>
      </c>
      <c r="AD369" t="s">
        <v>1007</v>
      </c>
      <c r="AE369" t="s">
        <v>74</v>
      </c>
      <c r="AF369" t="s">
        <v>74</v>
      </c>
      <c r="AG369">
        <v>175</v>
      </c>
      <c r="AH369">
        <v>110</v>
      </c>
      <c r="AI369">
        <v>118</v>
      </c>
      <c r="AJ369">
        <v>2</v>
      </c>
      <c r="AK369">
        <v>54</v>
      </c>
      <c r="AL369" t="s">
        <v>1498</v>
      </c>
      <c r="AM369" t="s">
        <v>985</v>
      </c>
      <c r="AN369" t="s">
        <v>1499</v>
      </c>
      <c r="AO369" t="s">
        <v>7056</v>
      </c>
      <c r="AP369" t="s">
        <v>7057</v>
      </c>
      <c r="AQ369" t="s">
        <v>74</v>
      </c>
      <c r="AR369" t="s">
        <v>7058</v>
      </c>
      <c r="AS369" t="s">
        <v>7059</v>
      </c>
      <c r="AT369" t="s">
        <v>7023</v>
      </c>
      <c r="AU369">
        <v>2011</v>
      </c>
      <c r="AV369">
        <v>49</v>
      </c>
      <c r="AW369" t="s">
        <v>74</v>
      </c>
      <c r="AX369" t="s">
        <v>74</v>
      </c>
      <c r="AY369" t="s">
        <v>74</v>
      </c>
      <c r="AZ369" t="s">
        <v>74</v>
      </c>
      <c r="BA369" t="s">
        <v>74</v>
      </c>
      <c r="BB369" t="s">
        <v>74</v>
      </c>
      <c r="BC369" t="s">
        <v>74</v>
      </c>
      <c r="BD369" t="s">
        <v>7060</v>
      </c>
      <c r="BE369" t="s">
        <v>7061</v>
      </c>
      <c r="BF369" t="str">
        <f>HYPERLINK("http://dx.doi.org/10.1029/2010RG000348","http://dx.doi.org/10.1029/2010RG000348")</f>
        <v>http://dx.doi.org/10.1029/2010RG000348</v>
      </c>
      <c r="BG369" t="s">
        <v>74</v>
      </c>
      <c r="BH369" t="s">
        <v>74</v>
      </c>
      <c r="BI369">
        <v>36</v>
      </c>
      <c r="BJ369" t="s">
        <v>164</v>
      </c>
      <c r="BK369" t="s">
        <v>100</v>
      </c>
      <c r="BL369" t="s">
        <v>164</v>
      </c>
      <c r="BM369" t="s">
        <v>7062</v>
      </c>
      <c r="BN369" t="s">
        <v>74</v>
      </c>
      <c r="BO369" t="s">
        <v>7063</v>
      </c>
      <c r="BP369" t="s">
        <v>74</v>
      </c>
      <c r="BQ369" t="s">
        <v>74</v>
      </c>
      <c r="BR369" t="s">
        <v>102</v>
      </c>
      <c r="BS369" t="s">
        <v>7064</v>
      </c>
      <c r="BT369" t="str">
        <f>HYPERLINK("https%3A%2F%2Fwww.webofscience.com%2Fwos%2Fwoscc%2Ffull-record%2FWOS:000297677100001","View Full Record in Web of Science")</f>
        <v>View Full Record in Web of Science</v>
      </c>
    </row>
    <row r="370" spans="1:72" x14ac:dyDescent="0.15">
      <c r="A370" t="s">
        <v>72</v>
      </c>
      <c r="B370" t="s">
        <v>7065</v>
      </c>
      <c r="C370" t="s">
        <v>74</v>
      </c>
      <c r="D370" t="s">
        <v>74</v>
      </c>
      <c r="E370" t="s">
        <v>74</v>
      </c>
      <c r="F370" t="s">
        <v>7066</v>
      </c>
      <c r="G370" t="s">
        <v>74</v>
      </c>
      <c r="H370" t="s">
        <v>74</v>
      </c>
      <c r="I370" t="s">
        <v>7067</v>
      </c>
      <c r="J370" t="s">
        <v>6292</v>
      </c>
      <c r="K370" t="s">
        <v>74</v>
      </c>
      <c r="L370" t="s">
        <v>74</v>
      </c>
      <c r="M370" t="s">
        <v>78</v>
      </c>
      <c r="N370" t="s">
        <v>79</v>
      </c>
      <c r="O370" t="s">
        <v>74</v>
      </c>
      <c r="P370" t="s">
        <v>74</v>
      </c>
      <c r="Q370" t="s">
        <v>74</v>
      </c>
      <c r="R370" t="s">
        <v>74</v>
      </c>
      <c r="S370" t="s">
        <v>74</v>
      </c>
      <c r="T370" t="s">
        <v>74</v>
      </c>
      <c r="U370" t="s">
        <v>7068</v>
      </c>
      <c r="V370" t="s">
        <v>7069</v>
      </c>
      <c r="W370" t="s">
        <v>7070</v>
      </c>
      <c r="X370" t="s">
        <v>7071</v>
      </c>
      <c r="Y370" t="s">
        <v>7072</v>
      </c>
      <c r="Z370" t="s">
        <v>7073</v>
      </c>
      <c r="AA370" t="s">
        <v>7074</v>
      </c>
      <c r="AB370" t="s">
        <v>7075</v>
      </c>
      <c r="AC370" t="s">
        <v>7076</v>
      </c>
      <c r="AD370" t="s">
        <v>7077</v>
      </c>
      <c r="AE370" t="s">
        <v>7078</v>
      </c>
      <c r="AF370" t="s">
        <v>74</v>
      </c>
      <c r="AG370">
        <v>30</v>
      </c>
      <c r="AH370">
        <v>211</v>
      </c>
      <c r="AI370">
        <v>236</v>
      </c>
      <c r="AJ370">
        <v>0</v>
      </c>
      <c r="AK370">
        <v>152</v>
      </c>
      <c r="AL370" t="s">
        <v>6304</v>
      </c>
      <c r="AM370" t="s">
        <v>985</v>
      </c>
      <c r="AN370" t="s">
        <v>6305</v>
      </c>
      <c r="AO370" t="s">
        <v>6306</v>
      </c>
      <c r="AP370" t="s">
        <v>6307</v>
      </c>
      <c r="AQ370" t="s">
        <v>74</v>
      </c>
      <c r="AR370" t="s">
        <v>6292</v>
      </c>
      <c r="AS370" t="s">
        <v>6308</v>
      </c>
      <c r="AT370" t="s">
        <v>7023</v>
      </c>
      <c r="AU370">
        <v>2011</v>
      </c>
      <c r="AV370">
        <v>334</v>
      </c>
      <c r="AW370">
        <v>6060</v>
      </c>
      <c r="AX370" t="s">
        <v>74</v>
      </c>
      <c r="AY370" t="s">
        <v>74</v>
      </c>
      <c r="AZ370" t="s">
        <v>74</v>
      </c>
      <c r="BA370" t="s">
        <v>74</v>
      </c>
      <c r="BB370">
        <v>1261</v>
      </c>
      <c r="BC370">
        <v>1264</v>
      </c>
      <c r="BD370" t="s">
        <v>74</v>
      </c>
      <c r="BE370" t="s">
        <v>7079</v>
      </c>
      <c r="BF370" t="str">
        <f>HYPERLINK("http://dx.doi.org/10.1126/science.1203909","http://dx.doi.org/10.1126/science.1203909")</f>
        <v>http://dx.doi.org/10.1126/science.1203909</v>
      </c>
      <c r="BG370" t="s">
        <v>74</v>
      </c>
      <c r="BH370" t="s">
        <v>74</v>
      </c>
      <c r="BI370">
        <v>4</v>
      </c>
      <c r="BJ370" t="s">
        <v>6182</v>
      </c>
      <c r="BK370" t="s">
        <v>100</v>
      </c>
      <c r="BL370" t="s">
        <v>6183</v>
      </c>
      <c r="BM370" t="s">
        <v>7025</v>
      </c>
      <c r="BN370">
        <v>22144622</v>
      </c>
      <c r="BO370" t="s">
        <v>74</v>
      </c>
      <c r="BP370" t="s">
        <v>74</v>
      </c>
      <c r="BQ370" t="s">
        <v>74</v>
      </c>
      <c r="BR370" t="s">
        <v>102</v>
      </c>
      <c r="BS370" t="s">
        <v>7080</v>
      </c>
      <c r="BT370" t="str">
        <f>HYPERLINK("https%3A%2F%2Fwww.webofscience.com%2Fwos%2Fwoscc%2Ffull-record%2FWOS:000297553600046","View Full Record in Web of Science")</f>
        <v>View Full Record in Web of Science</v>
      </c>
    </row>
    <row r="371" spans="1:72" x14ac:dyDescent="0.15">
      <c r="A371" t="s">
        <v>72</v>
      </c>
      <c r="B371" t="s">
        <v>7081</v>
      </c>
      <c r="C371" t="s">
        <v>74</v>
      </c>
      <c r="D371" t="s">
        <v>74</v>
      </c>
      <c r="E371" t="s">
        <v>74</v>
      </c>
      <c r="F371" t="s">
        <v>7082</v>
      </c>
      <c r="G371" t="s">
        <v>74</v>
      </c>
      <c r="H371" t="s">
        <v>74</v>
      </c>
      <c r="I371" t="s">
        <v>7083</v>
      </c>
      <c r="J371" t="s">
        <v>7084</v>
      </c>
      <c r="K371" t="s">
        <v>74</v>
      </c>
      <c r="L371" t="s">
        <v>74</v>
      </c>
      <c r="M371" t="s">
        <v>78</v>
      </c>
      <c r="N371" t="s">
        <v>79</v>
      </c>
      <c r="O371" t="s">
        <v>74</v>
      </c>
      <c r="P371" t="s">
        <v>74</v>
      </c>
      <c r="Q371" t="s">
        <v>74</v>
      </c>
      <c r="R371" t="s">
        <v>74</v>
      </c>
      <c r="S371" t="s">
        <v>74</v>
      </c>
      <c r="T371" t="s">
        <v>7085</v>
      </c>
      <c r="U371" t="s">
        <v>7086</v>
      </c>
      <c r="V371" t="s">
        <v>7087</v>
      </c>
      <c r="W371" t="s">
        <v>7088</v>
      </c>
      <c r="X371" t="s">
        <v>7089</v>
      </c>
      <c r="Y371" t="s">
        <v>7090</v>
      </c>
      <c r="Z371" t="s">
        <v>7091</v>
      </c>
      <c r="AA371" t="s">
        <v>74</v>
      </c>
      <c r="AB371" t="s">
        <v>74</v>
      </c>
      <c r="AC371" t="s">
        <v>7092</v>
      </c>
      <c r="AD371" t="s">
        <v>7093</v>
      </c>
      <c r="AE371" t="s">
        <v>7094</v>
      </c>
      <c r="AF371" t="s">
        <v>74</v>
      </c>
      <c r="AG371">
        <v>42</v>
      </c>
      <c r="AH371">
        <v>4</v>
      </c>
      <c r="AI371">
        <v>4</v>
      </c>
      <c r="AJ371">
        <v>0</v>
      </c>
      <c r="AK371">
        <v>2</v>
      </c>
      <c r="AL371" t="s">
        <v>7095</v>
      </c>
      <c r="AM371" t="s">
        <v>7096</v>
      </c>
      <c r="AN371" t="s">
        <v>7097</v>
      </c>
      <c r="AO371" t="s">
        <v>7098</v>
      </c>
      <c r="AP371" t="s">
        <v>7099</v>
      </c>
      <c r="AQ371" t="s">
        <v>74</v>
      </c>
      <c r="AR371" t="s">
        <v>7084</v>
      </c>
      <c r="AS371" t="s">
        <v>7100</v>
      </c>
      <c r="AT371" t="s">
        <v>7023</v>
      </c>
      <c r="AU371">
        <v>2011</v>
      </c>
      <c r="AV371" t="s">
        <v>74</v>
      </c>
      <c r="AW371">
        <v>3117</v>
      </c>
      <c r="AX371" t="s">
        <v>74</v>
      </c>
      <c r="AY371" t="s">
        <v>74</v>
      </c>
      <c r="AZ371" t="s">
        <v>74</v>
      </c>
      <c r="BA371" t="s">
        <v>74</v>
      </c>
      <c r="BB371">
        <v>1</v>
      </c>
      <c r="BC371" t="s">
        <v>1503</v>
      </c>
      <c r="BD371" t="s">
        <v>74</v>
      </c>
      <c r="BE371" t="s">
        <v>74</v>
      </c>
      <c r="BF371" t="s">
        <v>74</v>
      </c>
      <c r="BG371" t="s">
        <v>74</v>
      </c>
      <c r="BH371" t="s">
        <v>74</v>
      </c>
      <c r="BI371">
        <v>67</v>
      </c>
      <c r="BJ371" t="s">
        <v>2881</v>
      </c>
      <c r="BK371" t="s">
        <v>100</v>
      </c>
      <c r="BL371" t="s">
        <v>2881</v>
      </c>
      <c r="BM371" t="s">
        <v>7101</v>
      </c>
      <c r="BN371" t="s">
        <v>74</v>
      </c>
      <c r="BO371" t="s">
        <v>74</v>
      </c>
      <c r="BP371" t="s">
        <v>74</v>
      </c>
      <c r="BQ371" t="s">
        <v>74</v>
      </c>
      <c r="BR371" t="s">
        <v>102</v>
      </c>
      <c r="BS371" t="s">
        <v>7102</v>
      </c>
      <c r="BT371" t="str">
        <f>HYPERLINK("https%3A%2F%2Fwww.webofscience.com%2Fwos%2Fwoscc%2Ffull-record%2FWOS:000298043400001","View Full Record in Web of Science")</f>
        <v>View Full Record in Web of Science</v>
      </c>
    </row>
    <row r="372" spans="1:72" x14ac:dyDescent="0.15">
      <c r="A372" t="s">
        <v>72</v>
      </c>
      <c r="B372" t="s">
        <v>7103</v>
      </c>
      <c r="C372" t="s">
        <v>74</v>
      </c>
      <c r="D372" t="s">
        <v>74</v>
      </c>
      <c r="E372" t="s">
        <v>74</v>
      </c>
      <c r="F372" t="s">
        <v>7104</v>
      </c>
      <c r="G372" t="s">
        <v>74</v>
      </c>
      <c r="H372" t="s">
        <v>74</v>
      </c>
      <c r="I372" t="s">
        <v>7105</v>
      </c>
      <c r="J372" t="s">
        <v>7106</v>
      </c>
      <c r="K372" t="s">
        <v>74</v>
      </c>
      <c r="L372" t="s">
        <v>74</v>
      </c>
      <c r="M372" t="s">
        <v>78</v>
      </c>
      <c r="N372" t="s">
        <v>79</v>
      </c>
      <c r="O372" t="s">
        <v>74</v>
      </c>
      <c r="P372" t="s">
        <v>74</v>
      </c>
      <c r="Q372" t="s">
        <v>74</v>
      </c>
      <c r="R372" t="s">
        <v>74</v>
      </c>
      <c r="S372" t="s">
        <v>74</v>
      </c>
      <c r="T372" t="s">
        <v>7107</v>
      </c>
      <c r="U372" t="s">
        <v>7108</v>
      </c>
      <c r="V372" t="s">
        <v>7109</v>
      </c>
      <c r="W372" t="s">
        <v>7110</v>
      </c>
      <c r="X372" t="s">
        <v>7111</v>
      </c>
      <c r="Y372" t="s">
        <v>7112</v>
      </c>
      <c r="Z372" t="s">
        <v>7113</v>
      </c>
      <c r="AA372" t="s">
        <v>7114</v>
      </c>
      <c r="AB372" t="s">
        <v>7115</v>
      </c>
      <c r="AC372" t="s">
        <v>74</v>
      </c>
      <c r="AD372" t="s">
        <v>74</v>
      </c>
      <c r="AE372" t="s">
        <v>74</v>
      </c>
      <c r="AF372" t="s">
        <v>74</v>
      </c>
      <c r="AG372">
        <v>39</v>
      </c>
      <c r="AH372">
        <v>19</v>
      </c>
      <c r="AI372">
        <v>20</v>
      </c>
      <c r="AJ372">
        <v>2</v>
      </c>
      <c r="AK372">
        <v>35</v>
      </c>
      <c r="AL372" t="s">
        <v>7116</v>
      </c>
      <c r="AM372" t="s">
        <v>7117</v>
      </c>
      <c r="AN372" t="s">
        <v>7118</v>
      </c>
      <c r="AO372" t="s">
        <v>7119</v>
      </c>
      <c r="AP372" t="s">
        <v>74</v>
      </c>
      <c r="AQ372" t="s">
        <v>74</v>
      </c>
      <c r="AR372" t="s">
        <v>7120</v>
      </c>
      <c r="AS372" t="s">
        <v>7121</v>
      </c>
      <c r="AT372" t="s">
        <v>7122</v>
      </c>
      <c r="AU372">
        <v>2011</v>
      </c>
      <c r="AV372">
        <v>133</v>
      </c>
      <c r="AW372" t="s">
        <v>74</v>
      </c>
      <c r="AX372" t="s">
        <v>74</v>
      </c>
      <c r="AY372" t="s">
        <v>74</v>
      </c>
      <c r="AZ372" t="s">
        <v>74</v>
      </c>
      <c r="BA372" t="s">
        <v>74</v>
      </c>
      <c r="BB372">
        <v>15</v>
      </c>
      <c r="BC372">
        <v>31</v>
      </c>
      <c r="BD372" t="s">
        <v>74</v>
      </c>
      <c r="BE372" t="s">
        <v>74</v>
      </c>
      <c r="BF372" t="s">
        <v>74</v>
      </c>
      <c r="BG372" t="s">
        <v>74</v>
      </c>
      <c r="BH372" t="s">
        <v>74</v>
      </c>
      <c r="BI372">
        <v>17</v>
      </c>
      <c r="BJ372" t="s">
        <v>5300</v>
      </c>
      <c r="BK372" t="s">
        <v>100</v>
      </c>
      <c r="BL372" t="s">
        <v>3505</v>
      </c>
      <c r="BM372" t="s">
        <v>7123</v>
      </c>
      <c r="BN372" t="s">
        <v>74</v>
      </c>
      <c r="BO372" t="s">
        <v>74</v>
      </c>
      <c r="BP372" t="s">
        <v>74</v>
      </c>
      <c r="BQ372" t="s">
        <v>74</v>
      </c>
      <c r="BR372" t="s">
        <v>102</v>
      </c>
      <c r="BS372" t="s">
        <v>7124</v>
      </c>
      <c r="BT372" t="str">
        <f>HYPERLINK("https%3A%2F%2Fwww.webofscience.com%2Fwos%2Fwoscc%2Ffull-record%2FWOS:000306997000003","View Full Record in Web of Science")</f>
        <v>View Full Record in Web of Science</v>
      </c>
    </row>
    <row r="373" spans="1:72" x14ac:dyDescent="0.15">
      <c r="A373" t="s">
        <v>72</v>
      </c>
      <c r="B373" t="s">
        <v>7125</v>
      </c>
      <c r="C373" t="s">
        <v>74</v>
      </c>
      <c r="D373" t="s">
        <v>74</v>
      </c>
      <c r="E373" t="s">
        <v>74</v>
      </c>
      <c r="F373" t="s">
        <v>7126</v>
      </c>
      <c r="G373" t="s">
        <v>74</v>
      </c>
      <c r="H373" t="s">
        <v>74</v>
      </c>
      <c r="I373" t="s">
        <v>7127</v>
      </c>
      <c r="J373" t="s">
        <v>7128</v>
      </c>
      <c r="K373" t="s">
        <v>74</v>
      </c>
      <c r="L373" t="s">
        <v>74</v>
      </c>
      <c r="M373" t="s">
        <v>78</v>
      </c>
      <c r="N373" t="s">
        <v>79</v>
      </c>
      <c r="O373" t="s">
        <v>74</v>
      </c>
      <c r="P373" t="s">
        <v>74</v>
      </c>
      <c r="Q373" t="s">
        <v>74</v>
      </c>
      <c r="R373" t="s">
        <v>74</v>
      </c>
      <c r="S373" t="s">
        <v>74</v>
      </c>
      <c r="T373" t="s">
        <v>7129</v>
      </c>
      <c r="U373" t="s">
        <v>7130</v>
      </c>
      <c r="V373" t="s">
        <v>7131</v>
      </c>
      <c r="W373" t="s">
        <v>7132</v>
      </c>
      <c r="X373" t="s">
        <v>7133</v>
      </c>
      <c r="Y373" t="s">
        <v>7134</v>
      </c>
      <c r="Z373" t="s">
        <v>7135</v>
      </c>
      <c r="AA373" t="s">
        <v>7136</v>
      </c>
      <c r="AB373" t="s">
        <v>74</v>
      </c>
      <c r="AC373" t="s">
        <v>7137</v>
      </c>
      <c r="AD373" t="s">
        <v>7138</v>
      </c>
      <c r="AE373" t="s">
        <v>7139</v>
      </c>
      <c r="AF373" t="s">
        <v>74</v>
      </c>
      <c r="AG373">
        <v>67</v>
      </c>
      <c r="AH373">
        <v>35</v>
      </c>
      <c r="AI373">
        <v>41</v>
      </c>
      <c r="AJ373">
        <v>0</v>
      </c>
      <c r="AK373">
        <v>100</v>
      </c>
      <c r="AL373" t="s">
        <v>250</v>
      </c>
      <c r="AM373" t="s">
        <v>251</v>
      </c>
      <c r="AN373" t="s">
        <v>252</v>
      </c>
      <c r="AO373" t="s">
        <v>7140</v>
      </c>
      <c r="AP373" t="s">
        <v>7141</v>
      </c>
      <c r="AQ373" t="s">
        <v>74</v>
      </c>
      <c r="AR373" t="s">
        <v>7128</v>
      </c>
      <c r="AS373" t="s">
        <v>7142</v>
      </c>
      <c r="AT373" t="s">
        <v>7122</v>
      </c>
      <c r="AU373">
        <v>2011</v>
      </c>
      <c r="AV373">
        <v>40</v>
      </c>
      <c r="AW373" t="s">
        <v>74</v>
      </c>
      <c r="AX373" t="s">
        <v>74</v>
      </c>
      <c r="AY373">
        <v>1</v>
      </c>
      <c r="AZ373" t="s">
        <v>74</v>
      </c>
      <c r="BA373" t="s">
        <v>74</v>
      </c>
      <c r="BB373">
        <v>75</v>
      </c>
      <c r="BC373">
        <v>86</v>
      </c>
      <c r="BD373" t="s">
        <v>74</v>
      </c>
      <c r="BE373" t="s">
        <v>7143</v>
      </c>
      <c r="BF373" t="str">
        <f>HYPERLINK("http://dx.doi.org/10.1007/s13280-011-0215-8","http://dx.doi.org/10.1007/s13280-011-0215-8")</f>
        <v>http://dx.doi.org/10.1007/s13280-011-0215-8</v>
      </c>
      <c r="BG373" t="s">
        <v>74</v>
      </c>
      <c r="BH373" t="s">
        <v>74</v>
      </c>
      <c r="BI373">
        <v>12</v>
      </c>
      <c r="BJ373" t="s">
        <v>3688</v>
      </c>
      <c r="BK373" t="s">
        <v>100</v>
      </c>
      <c r="BL373" t="s">
        <v>3689</v>
      </c>
      <c r="BM373" t="s">
        <v>7144</v>
      </c>
      <c r="BN373" t="s">
        <v>74</v>
      </c>
      <c r="BO373" t="s">
        <v>6262</v>
      </c>
      <c r="BP373" t="s">
        <v>74</v>
      </c>
      <c r="BQ373" t="s">
        <v>74</v>
      </c>
      <c r="BR373" t="s">
        <v>102</v>
      </c>
      <c r="BS373" t="s">
        <v>7145</v>
      </c>
      <c r="BT373" t="str">
        <f>HYPERLINK("https%3A%2F%2Fwww.webofscience.com%2Fwos%2Fwoscc%2Ffull-record%2FWOS:000305284800009","View Full Record in Web of Science")</f>
        <v>View Full Record in Web of Science</v>
      </c>
    </row>
    <row r="374" spans="1:72" x14ac:dyDescent="0.15">
      <c r="A374" t="s">
        <v>72</v>
      </c>
      <c r="B374" t="s">
        <v>7146</v>
      </c>
      <c r="C374" t="s">
        <v>74</v>
      </c>
      <c r="D374" t="s">
        <v>74</v>
      </c>
      <c r="E374" t="s">
        <v>74</v>
      </c>
      <c r="F374" t="s">
        <v>7147</v>
      </c>
      <c r="G374" t="s">
        <v>74</v>
      </c>
      <c r="H374" t="s">
        <v>74</v>
      </c>
      <c r="I374" t="s">
        <v>7148</v>
      </c>
      <c r="J374" t="s">
        <v>7149</v>
      </c>
      <c r="K374" t="s">
        <v>74</v>
      </c>
      <c r="L374" t="s">
        <v>74</v>
      </c>
      <c r="M374" t="s">
        <v>78</v>
      </c>
      <c r="N374" t="s">
        <v>79</v>
      </c>
      <c r="O374" t="s">
        <v>74</v>
      </c>
      <c r="P374" t="s">
        <v>74</v>
      </c>
      <c r="Q374" t="s">
        <v>74</v>
      </c>
      <c r="R374" t="s">
        <v>74</v>
      </c>
      <c r="S374" t="s">
        <v>74</v>
      </c>
      <c r="T374" t="s">
        <v>74</v>
      </c>
      <c r="U374" t="s">
        <v>7150</v>
      </c>
      <c r="V374" t="s">
        <v>7151</v>
      </c>
      <c r="W374" t="s">
        <v>7152</v>
      </c>
      <c r="X374" t="s">
        <v>7153</v>
      </c>
      <c r="Y374" t="s">
        <v>7154</v>
      </c>
      <c r="Z374" t="s">
        <v>7155</v>
      </c>
      <c r="AA374" t="s">
        <v>7156</v>
      </c>
      <c r="AB374" t="s">
        <v>7157</v>
      </c>
      <c r="AC374" t="s">
        <v>7158</v>
      </c>
      <c r="AD374" t="s">
        <v>7159</v>
      </c>
      <c r="AE374" t="s">
        <v>7160</v>
      </c>
      <c r="AF374" t="s">
        <v>74</v>
      </c>
      <c r="AG374">
        <v>50</v>
      </c>
      <c r="AH374">
        <v>18</v>
      </c>
      <c r="AI374">
        <v>18</v>
      </c>
      <c r="AJ374">
        <v>1</v>
      </c>
      <c r="AK374">
        <v>22</v>
      </c>
      <c r="AL374" t="s">
        <v>7161</v>
      </c>
      <c r="AM374" t="s">
        <v>2873</v>
      </c>
      <c r="AN374" t="s">
        <v>7162</v>
      </c>
      <c r="AO374" t="s">
        <v>7163</v>
      </c>
      <c r="AP374" t="s">
        <v>74</v>
      </c>
      <c r="AQ374" t="s">
        <v>74</v>
      </c>
      <c r="AR374" t="s">
        <v>7164</v>
      </c>
      <c r="AS374" t="s">
        <v>7165</v>
      </c>
      <c r="AT374" t="s">
        <v>7122</v>
      </c>
      <c r="AU374">
        <v>2011</v>
      </c>
      <c r="AV374">
        <v>61</v>
      </c>
      <c r="AW374">
        <v>4</v>
      </c>
      <c r="AX374" t="s">
        <v>74</v>
      </c>
      <c r="AY374" t="s">
        <v>74</v>
      </c>
      <c r="AZ374" t="s">
        <v>74</v>
      </c>
      <c r="BA374" t="s">
        <v>74</v>
      </c>
      <c r="BB374">
        <v>253</v>
      </c>
      <c r="BC374">
        <v>267</v>
      </c>
      <c r="BD374" t="s">
        <v>74</v>
      </c>
      <c r="BE374" t="s">
        <v>7166</v>
      </c>
      <c r="BF374" t="str">
        <f>HYPERLINK("http://dx.doi.org/10.22499/2.6104.006","http://dx.doi.org/10.22499/2.6104.006")</f>
        <v>http://dx.doi.org/10.22499/2.6104.006</v>
      </c>
      <c r="BG374" t="s">
        <v>74</v>
      </c>
      <c r="BH374" t="s">
        <v>74</v>
      </c>
      <c r="BI374">
        <v>15</v>
      </c>
      <c r="BJ374" t="s">
        <v>5044</v>
      </c>
      <c r="BK374" t="s">
        <v>100</v>
      </c>
      <c r="BL374" t="s">
        <v>5044</v>
      </c>
      <c r="BM374" t="s">
        <v>7167</v>
      </c>
      <c r="BN374" t="s">
        <v>74</v>
      </c>
      <c r="BO374" t="s">
        <v>4483</v>
      </c>
      <c r="BP374" t="s">
        <v>74</v>
      </c>
      <c r="BQ374" t="s">
        <v>74</v>
      </c>
      <c r="BR374" t="s">
        <v>102</v>
      </c>
      <c r="BS374" t="s">
        <v>7168</v>
      </c>
      <c r="BT374" t="str">
        <f>HYPERLINK("https%3A%2F%2Fwww.webofscience.com%2Fwos%2Fwoscc%2Ffull-record%2FWOS:000303557800006","View Full Record in Web of Science")</f>
        <v>View Full Record in Web of Science</v>
      </c>
    </row>
    <row r="375" spans="1:72" x14ac:dyDescent="0.15">
      <c r="A375" t="s">
        <v>72</v>
      </c>
      <c r="B375" t="s">
        <v>7169</v>
      </c>
      <c r="C375" t="s">
        <v>74</v>
      </c>
      <c r="D375" t="s">
        <v>74</v>
      </c>
      <c r="E375" t="s">
        <v>74</v>
      </c>
      <c r="F375" t="s">
        <v>7170</v>
      </c>
      <c r="G375" t="s">
        <v>74</v>
      </c>
      <c r="H375" t="s">
        <v>74</v>
      </c>
      <c r="I375" t="s">
        <v>7171</v>
      </c>
      <c r="J375" t="s">
        <v>7172</v>
      </c>
      <c r="K375" t="s">
        <v>74</v>
      </c>
      <c r="L375" t="s">
        <v>74</v>
      </c>
      <c r="M375" t="s">
        <v>3199</v>
      </c>
      <c r="N375" t="s">
        <v>79</v>
      </c>
      <c r="O375" t="s">
        <v>74</v>
      </c>
      <c r="P375" t="s">
        <v>74</v>
      </c>
      <c r="Q375" t="s">
        <v>74</v>
      </c>
      <c r="R375" t="s">
        <v>74</v>
      </c>
      <c r="S375" t="s">
        <v>74</v>
      </c>
      <c r="T375" t="s">
        <v>7173</v>
      </c>
      <c r="U375" t="s">
        <v>7174</v>
      </c>
      <c r="V375" t="s">
        <v>7175</v>
      </c>
      <c r="W375" t="s">
        <v>7176</v>
      </c>
      <c r="X375" t="s">
        <v>7177</v>
      </c>
      <c r="Y375" t="s">
        <v>7178</v>
      </c>
      <c r="Z375" t="s">
        <v>7179</v>
      </c>
      <c r="AA375" t="s">
        <v>7180</v>
      </c>
      <c r="AB375" t="s">
        <v>7181</v>
      </c>
      <c r="AC375" t="s">
        <v>74</v>
      </c>
      <c r="AD375" t="s">
        <v>74</v>
      </c>
      <c r="AE375" t="s">
        <v>74</v>
      </c>
      <c r="AF375" t="s">
        <v>74</v>
      </c>
      <c r="AG375">
        <v>48</v>
      </c>
      <c r="AH375">
        <v>4</v>
      </c>
      <c r="AI375">
        <v>5</v>
      </c>
      <c r="AJ375">
        <v>0</v>
      </c>
      <c r="AK375">
        <v>13</v>
      </c>
      <c r="AL375" t="s">
        <v>7182</v>
      </c>
      <c r="AM375" t="s">
        <v>7183</v>
      </c>
      <c r="AN375" t="s">
        <v>7184</v>
      </c>
      <c r="AO375" t="s">
        <v>7185</v>
      </c>
      <c r="AP375" t="s">
        <v>7186</v>
      </c>
      <c r="AQ375" t="s">
        <v>74</v>
      </c>
      <c r="AR375" t="s">
        <v>7187</v>
      </c>
      <c r="AS375" t="s">
        <v>7188</v>
      </c>
      <c r="AT375" t="s">
        <v>7122</v>
      </c>
      <c r="AU375">
        <v>2011</v>
      </c>
      <c r="AV375">
        <v>46</v>
      </c>
      <c r="AW375">
        <v>3</v>
      </c>
      <c r="AX375" t="s">
        <v>74</v>
      </c>
      <c r="AY375" t="s">
        <v>74</v>
      </c>
      <c r="AZ375" t="s">
        <v>74</v>
      </c>
      <c r="BA375" t="s">
        <v>74</v>
      </c>
      <c r="BB375">
        <v>443</v>
      </c>
      <c r="BC375">
        <v>451</v>
      </c>
      <c r="BD375" t="s">
        <v>74</v>
      </c>
      <c r="BE375" t="s">
        <v>7189</v>
      </c>
      <c r="BF375" t="str">
        <f>HYPERLINK("http://dx.doi.org/10.4067/S0718-19572011000300013","http://dx.doi.org/10.4067/S0718-19572011000300013")</f>
        <v>http://dx.doi.org/10.4067/S0718-19572011000300013</v>
      </c>
      <c r="BG375" t="s">
        <v>74</v>
      </c>
      <c r="BH375" t="s">
        <v>74</v>
      </c>
      <c r="BI375">
        <v>9</v>
      </c>
      <c r="BJ375" t="s">
        <v>4141</v>
      </c>
      <c r="BK375" t="s">
        <v>100</v>
      </c>
      <c r="BL375" t="s">
        <v>4141</v>
      </c>
      <c r="BM375" t="s">
        <v>7190</v>
      </c>
      <c r="BN375" t="s">
        <v>74</v>
      </c>
      <c r="BO375" t="s">
        <v>1108</v>
      </c>
      <c r="BP375" t="s">
        <v>74</v>
      </c>
      <c r="BQ375" t="s">
        <v>74</v>
      </c>
      <c r="BR375" t="s">
        <v>102</v>
      </c>
      <c r="BS375" t="s">
        <v>7191</v>
      </c>
      <c r="BT375" t="str">
        <f>HYPERLINK("https%3A%2F%2Fwww.webofscience.com%2Fwos%2Fwoscc%2Ffull-record%2FWOS:000301054900013","View Full Record in Web of Science")</f>
        <v>View Full Record in Web of Science</v>
      </c>
    </row>
    <row r="376" spans="1:72" x14ac:dyDescent="0.15">
      <c r="A376" t="s">
        <v>72</v>
      </c>
      <c r="B376" t="s">
        <v>7192</v>
      </c>
      <c r="C376" t="s">
        <v>74</v>
      </c>
      <c r="D376" t="s">
        <v>74</v>
      </c>
      <c r="E376" t="s">
        <v>74</v>
      </c>
      <c r="F376" t="s">
        <v>7193</v>
      </c>
      <c r="G376" t="s">
        <v>74</v>
      </c>
      <c r="H376" t="s">
        <v>74</v>
      </c>
      <c r="I376" t="s">
        <v>7194</v>
      </c>
      <c r="J376" t="s">
        <v>7195</v>
      </c>
      <c r="K376" t="s">
        <v>74</v>
      </c>
      <c r="L376" t="s">
        <v>74</v>
      </c>
      <c r="M376" t="s">
        <v>78</v>
      </c>
      <c r="N376" t="s">
        <v>79</v>
      </c>
      <c r="O376" t="s">
        <v>74</v>
      </c>
      <c r="P376" t="s">
        <v>74</v>
      </c>
      <c r="Q376" t="s">
        <v>74</v>
      </c>
      <c r="R376" t="s">
        <v>74</v>
      </c>
      <c r="S376" t="s">
        <v>74</v>
      </c>
      <c r="T376" t="s">
        <v>7196</v>
      </c>
      <c r="U376" t="s">
        <v>7197</v>
      </c>
      <c r="V376" t="s">
        <v>7198</v>
      </c>
      <c r="W376" t="s">
        <v>7199</v>
      </c>
      <c r="X376" t="s">
        <v>7200</v>
      </c>
      <c r="Y376" t="s">
        <v>7201</v>
      </c>
      <c r="Z376" t="s">
        <v>7202</v>
      </c>
      <c r="AA376" t="s">
        <v>7203</v>
      </c>
      <c r="AB376" t="s">
        <v>7204</v>
      </c>
      <c r="AC376" t="s">
        <v>7205</v>
      </c>
      <c r="AD376" t="s">
        <v>7206</v>
      </c>
      <c r="AE376" t="s">
        <v>7207</v>
      </c>
      <c r="AF376" t="s">
        <v>74</v>
      </c>
      <c r="AG376">
        <v>94</v>
      </c>
      <c r="AH376">
        <v>19</v>
      </c>
      <c r="AI376">
        <v>21</v>
      </c>
      <c r="AJ376">
        <v>1</v>
      </c>
      <c r="AK376">
        <v>19</v>
      </c>
      <c r="AL376" t="s">
        <v>333</v>
      </c>
      <c r="AM376" t="s">
        <v>334</v>
      </c>
      <c r="AN376" t="s">
        <v>335</v>
      </c>
      <c r="AO376" t="s">
        <v>7208</v>
      </c>
      <c r="AP376" t="s">
        <v>7209</v>
      </c>
      <c r="AQ376" t="s">
        <v>74</v>
      </c>
      <c r="AR376" t="s">
        <v>7210</v>
      </c>
      <c r="AS376" t="s">
        <v>7211</v>
      </c>
      <c r="AT376" t="s">
        <v>7212</v>
      </c>
      <c r="AU376">
        <v>2011</v>
      </c>
      <c r="AV376">
        <v>290</v>
      </c>
      <c r="AW376" t="s">
        <v>6483</v>
      </c>
      <c r="AX376" t="s">
        <v>74</v>
      </c>
      <c r="AY376" t="s">
        <v>74</v>
      </c>
      <c r="AZ376" t="s">
        <v>74</v>
      </c>
      <c r="BA376" t="s">
        <v>74</v>
      </c>
      <c r="BB376">
        <v>1</v>
      </c>
      <c r="BC376">
        <v>16</v>
      </c>
      <c r="BD376" t="s">
        <v>74</v>
      </c>
      <c r="BE376" t="s">
        <v>7213</v>
      </c>
      <c r="BF376" t="str">
        <f>HYPERLINK("http://dx.doi.org/10.1016/j.margeo.2011.10.006","http://dx.doi.org/10.1016/j.margeo.2011.10.006")</f>
        <v>http://dx.doi.org/10.1016/j.margeo.2011.10.006</v>
      </c>
      <c r="BG376" t="s">
        <v>74</v>
      </c>
      <c r="BH376" t="s">
        <v>74</v>
      </c>
      <c r="BI376">
        <v>16</v>
      </c>
      <c r="BJ376" t="s">
        <v>7214</v>
      </c>
      <c r="BK376" t="s">
        <v>100</v>
      </c>
      <c r="BL376" t="s">
        <v>7215</v>
      </c>
      <c r="BM376" t="s">
        <v>7216</v>
      </c>
      <c r="BN376" t="s">
        <v>74</v>
      </c>
      <c r="BO376" t="s">
        <v>74</v>
      </c>
      <c r="BP376" t="s">
        <v>74</v>
      </c>
      <c r="BQ376" t="s">
        <v>74</v>
      </c>
      <c r="BR376" t="s">
        <v>102</v>
      </c>
      <c r="BS376" t="s">
        <v>7217</v>
      </c>
      <c r="BT376" t="str">
        <f>HYPERLINK("https%3A%2F%2Fwww.webofscience.com%2Fwos%2Fwoscc%2Ffull-record%2FWOS:000300965300001","View Full Record in Web of Science")</f>
        <v>View Full Record in Web of Science</v>
      </c>
    </row>
    <row r="377" spans="1:72" x14ac:dyDescent="0.15">
      <c r="A377" t="s">
        <v>72</v>
      </c>
      <c r="B377" t="s">
        <v>7218</v>
      </c>
      <c r="C377" t="s">
        <v>74</v>
      </c>
      <c r="D377" t="s">
        <v>74</v>
      </c>
      <c r="E377" t="s">
        <v>74</v>
      </c>
      <c r="F377" t="s">
        <v>7219</v>
      </c>
      <c r="G377" t="s">
        <v>74</v>
      </c>
      <c r="H377" t="s">
        <v>74</v>
      </c>
      <c r="I377" t="s">
        <v>7220</v>
      </c>
      <c r="J377" t="s">
        <v>7221</v>
      </c>
      <c r="K377" t="s">
        <v>74</v>
      </c>
      <c r="L377" t="s">
        <v>74</v>
      </c>
      <c r="M377" t="s">
        <v>78</v>
      </c>
      <c r="N377" t="s">
        <v>79</v>
      </c>
      <c r="O377" t="s">
        <v>74</v>
      </c>
      <c r="P377" t="s">
        <v>74</v>
      </c>
      <c r="Q377" t="s">
        <v>74</v>
      </c>
      <c r="R377" t="s">
        <v>74</v>
      </c>
      <c r="S377" t="s">
        <v>74</v>
      </c>
      <c r="T377" t="s">
        <v>74</v>
      </c>
      <c r="U377" t="s">
        <v>7222</v>
      </c>
      <c r="V377" t="s">
        <v>7223</v>
      </c>
      <c r="W377" t="s">
        <v>7224</v>
      </c>
      <c r="X377" t="s">
        <v>7225</v>
      </c>
      <c r="Y377" t="s">
        <v>7226</v>
      </c>
      <c r="Z377" t="s">
        <v>7227</v>
      </c>
      <c r="AA377" t="s">
        <v>7228</v>
      </c>
      <c r="AB377" t="s">
        <v>7229</v>
      </c>
      <c r="AC377" t="s">
        <v>7230</v>
      </c>
      <c r="AD377" t="s">
        <v>7231</v>
      </c>
      <c r="AE377" t="s">
        <v>7232</v>
      </c>
      <c r="AF377" t="s">
        <v>74</v>
      </c>
      <c r="AG377">
        <v>48</v>
      </c>
      <c r="AH377">
        <v>9</v>
      </c>
      <c r="AI377">
        <v>10</v>
      </c>
      <c r="AJ377">
        <v>0</v>
      </c>
      <c r="AK377">
        <v>7</v>
      </c>
      <c r="AL377" t="s">
        <v>7233</v>
      </c>
      <c r="AM377" t="s">
        <v>7234</v>
      </c>
      <c r="AN377" t="s">
        <v>7235</v>
      </c>
      <c r="AO377" t="s">
        <v>7236</v>
      </c>
      <c r="AP377" t="s">
        <v>7237</v>
      </c>
      <c r="AQ377" t="s">
        <v>74</v>
      </c>
      <c r="AR377" t="s">
        <v>7238</v>
      </c>
      <c r="AS377" t="s">
        <v>7239</v>
      </c>
      <c r="AT377" t="s">
        <v>7122</v>
      </c>
      <c r="AU377">
        <v>2011</v>
      </c>
      <c r="AV377">
        <v>114</v>
      </c>
      <c r="AW377" t="s">
        <v>6679</v>
      </c>
      <c r="AX377" t="s">
        <v>74</v>
      </c>
      <c r="AY377" t="s">
        <v>74</v>
      </c>
      <c r="AZ377" t="s">
        <v>74</v>
      </c>
      <c r="BA377" t="s">
        <v>74</v>
      </c>
      <c r="BB377">
        <v>449</v>
      </c>
      <c r="BC377">
        <v>458</v>
      </c>
      <c r="BD377" t="s">
        <v>74</v>
      </c>
      <c r="BE377" t="s">
        <v>7240</v>
      </c>
      <c r="BF377" t="str">
        <f>HYPERLINK("http://dx.doi.org/10.2113/gssajg.114.3-4.449","http://dx.doi.org/10.2113/gssajg.114.3-4.449")</f>
        <v>http://dx.doi.org/10.2113/gssajg.114.3-4.449</v>
      </c>
      <c r="BG377" t="s">
        <v>74</v>
      </c>
      <c r="BH377" t="s">
        <v>74</v>
      </c>
      <c r="BI377">
        <v>10</v>
      </c>
      <c r="BJ377" t="s">
        <v>288</v>
      </c>
      <c r="BK377" t="s">
        <v>100</v>
      </c>
      <c r="BL377" t="s">
        <v>288</v>
      </c>
      <c r="BM377" t="s">
        <v>7241</v>
      </c>
      <c r="BN377" t="s">
        <v>74</v>
      </c>
      <c r="BO377" t="s">
        <v>74</v>
      </c>
      <c r="BP377" t="s">
        <v>74</v>
      </c>
      <c r="BQ377" t="s">
        <v>74</v>
      </c>
      <c r="BR377" t="s">
        <v>102</v>
      </c>
      <c r="BS377" t="s">
        <v>7242</v>
      </c>
      <c r="BT377" t="str">
        <f>HYPERLINK("https%3A%2F%2Fwww.webofscience.com%2Fwos%2Fwoscc%2Ffull-record%2FWOS:000300138700015","View Full Record in Web of Science")</f>
        <v>View Full Record in Web of Science</v>
      </c>
    </row>
    <row r="378" spans="1:72" x14ac:dyDescent="0.15">
      <c r="A378" t="s">
        <v>72</v>
      </c>
      <c r="B378" t="s">
        <v>7243</v>
      </c>
      <c r="C378" t="s">
        <v>74</v>
      </c>
      <c r="D378" t="s">
        <v>74</v>
      </c>
      <c r="E378" t="s">
        <v>74</v>
      </c>
      <c r="F378" t="s">
        <v>7244</v>
      </c>
      <c r="G378" t="s">
        <v>74</v>
      </c>
      <c r="H378" t="s">
        <v>74</v>
      </c>
      <c r="I378" t="s">
        <v>7245</v>
      </c>
      <c r="J378" t="s">
        <v>7246</v>
      </c>
      <c r="K378" t="s">
        <v>74</v>
      </c>
      <c r="L378" t="s">
        <v>74</v>
      </c>
      <c r="M378" t="s">
        <v>78</v>
      </c>
      <c r="N378" t="s">
        <v>79</v>
      </c>
      <c r="O378" t="s">
        <v>74</v>
      </c>
      <c r="P378" t="s">
        <v>74</v>
      </c>
      <c r="Q378" t="s">
        <v>74</v>
      </c>
      <c r="R378" t="s">
        <v>74</v>
      </c>
      <c r="S378" t="s">
        <v>74</v>
      </c>
      <c r="T378" t="s">
        <v>7247</v>
      </c>
      <c r="U378" t="s">
        <v>7248</v>
      </c>
      <c r="V378" t="s">
        <v>7249</v>
      </c>
      <c r="W378" t="s">
        <v>7250</v>
      </c>
      <c r="X378" t="s">
        <v>7251</v>
      </c>
      <c r="Y378" t="s">
        <v>7252</v>
      </c>
      <c r="Z378" t="s">
        <v>7253</v>
      </c>
      <c r="AA378" t="s">
        <v>7254</v>
      </c>
      <c r="AB378" t="s">
        <v>74</v>
      </c>
      <c r="AC378" t="s">
        <v>7255</v>
      </c>
      <c r="AD378" t="s">
        <v>7256</v>
      </c>
      <c r="AE378" t="s">
        <v>7257</v>
      </c>
      <c r="AF378" t="s">
        <v>74</v>
      </c>
      <c r="AG378">
        <v>19</v>
      </c>
      <c r="AH378">
        <v>26</v>
      </c>
      <c r="AI378">
        <v>30</v>
      </c>
      <c r="AJ378">
        <v>1</v>
      </c>
      <c r="AK378">
        <v>25</v>
      </c>
      <c r="AL378" t="s">
        <v>7258</v>
      </c>
      <c r="AM378" t="s">
        <v>7259</v>
      </c>
      <c r="AN378" t="s">
        <v>7260</v>
      </c>
      <c r="AO378" t="s">
        <v>7261</v>
      </c>
      <c r="AP378" t="s">
        <v>74</v>
      </c>
      <c r="AQ378" t="s">
        <v>74</v>
      </c>
      <c r="AR378" t="s">
        <v>7262</v>
      </c>
      <c r="AS378" t="s">
        <v>7263</v>
      </c>
      <c r="AT378" t="s">
        <v>7122</v>
      </c>
      <c r="AU378">
        <v>2011</v>
      </c>
      <c r="AV378">
        <v>40</v>
      </c>
      <c r="AW378">
        <v>6</v>
      </c>
      <c r="AX378" t="s">
        <v>74</v>
      </c>
      <c r="AY378" t="s">
        <v>74</v>
      </c>
      <c r="AZ378" t="s">
        <v>74</v>
      </c>
      <c r="BA378" t="s">
        <v>74</v>
      </c>
      <c r="BB378">
        <v>821</v>
      </c>
      <c r="BC378">
        <v>825</v>
      </c>
      <c r="BD378" t="s">
        <v>74</v>
      </c>
      <c r="BE378" t="s">
        <v>74</v>
      </c>
      <c r="BF378" t="s">
        <v>74</v>
      </c>
      <c r="BG378" t="s">
        <v>74</v>
      </c>
      <c r="BH378" t="s">
        <v>74</v>
      </c>
      <c r="BI378">
        <v>5</v>
      </c>
      <c r="BJ378" t="s">
        <v>496</v>
      </c>
      <c r="BK378" t="s">
        <v>100</v>
      </c>
      <c r="BL378" t="s">
        <v>496</v>
      </c>
      <c r="BM378" t="s">
        <v>7264</v>
      </c>
      <c r="BN378" t="s">
        <v>74</v>
      </c>
      <c r="BO378" t="s">
        <v>74</v>
      </c>
      <c r="BP378" t="s">
        <v>74</v>
      </c>
      <c r="BQ378" t="s">
        <v>74</v>
      </c>
      <c r="BR378" t="s">
        <v>102</v>
      </c>
      <c r="BS378" t="s">
        <v>7265</v>
      </c>
      <c r="BT378" t="str">
        <f>HYPERLINK("https%3A%2F%2Fwww.webofscience.com%2Fwos%2Fwoscc%2Ffull-record%2FWOS:000300336800009","View Full Record in Web of Science")</f>
        <v>View Full Record in Web of Science</v>
      </c>
    </row>
    <row r="379" spans="1:72" x14ac:dyDescent="0.15">
      <c r="A379" t="s">
        <v>72</v>
      </c>
      <c r="B379" t="s">
        <v>7266</v>
      </c>
      <c r="C379" t="s">
        <v>74</v>
      </c>
      <c r="D379" t="s">
        <v>74</v>
      </c>
      <c r="E379" t="s">
        <v>74</v>
      </c>
      <c r="F379" t="s">
        <v>7267</v>
      </c>
      <c r="G379" t="s">
        <v>74</v>
      </c>
      <c r="H379" t="s">
        <v>74</v>
      </c>
      <c r="I379" t="s">
        <v>7268</v>
      </c>
      <c r="J379" t="s">
        <v>7269</v>
      </c>
      <c r="K379" t="s">
        <v>74</v>
      </c>
      <c r="L379" t="s">
        <v>74</v>
      </c>
      <c r="M379" t="s">
        <v>78</v>
      </c>
      <c r="N379" t="s">
        <v>79</v>
      </c>
      <c r="O379" t="s">
        <v>74</v>
      </c>
      <c r="P379" t="s">
        <v>74</v>
      </c>
      <c r="Q379" t="s">
        <v>74</v>
      </c>
      <c r="R379" t="s">
        <v>74</v>
      </c>
      <c r="S379" t="s">
        <v>74</v>
      </c>
      <c r="T379" t="s">
        <v>74</v>
      </c>
      <c r="U379" t="s">
        <v>74</v>
      </c>
      <c r="V379" t="s">
        <v>7270</v>
      </c>
      <c r="W379" t="s">
        <v>74</v>
      </c>
      <c r="X379" t="s">
        <v>74</v>
      </c>
      <c r="Y379" t="s">
        <v>74</v>
      </c>
      <c r="Z379" t="s">
        <v>74</v>
      </c>
      <c r="AA379" t="s">
        <v>74</v>
      </c>
      <c r="AB379" t="s">
        <v>74</v>
      </c>
      <c r="AC379" t="s">
        <v>74</v>
      </c>
      <c r="AD379" t="s">
        <v>74</v>
      </c>
      <c r="AE379" t="s">
        <v>74</v>
      </c>
      <c r="AF379" t="s">
        <v>74</v>
      </c>
      <c r="AG379">
        <v>0</v>
      </c>
      <c r="AH379">
        <v>0</v>
      </c>
      <c r="AI379">
        <v>0</v>
      </c>
      <c r="AJ379">
        <v>0</v>
      </c>
      <c r="AK379">
        <v>0</v>
      </c>
      <c r="AL379" t="s">
        <v>7269</v>
      </c>
      <c r="AM379" t="s">
        <v>7271</v>
      </c>
      <c r="AN379" t="s">
        <v>7272</v>
      </c>
      <c r="AO379" t="s">
        <v>7273</v>
      </c>
      <c r="AP379" t="s">
        <v>74</v>
      </c>
      <c r="AQ379" t="s">
        <v>74</v>
      </c>
      <c r="AR379" t="s">
        <v>7274</v>
      </c>
      <c r="AS379" t="s">
        <v>7275</v>
      </c>
      <c r="AT379" t="s">
        <v>7276</v>
      </c>
      <c r="AU379">
        <v>2011</v>
      </c>
      <c r="AV379">
        <v>118</v>
      </c>
      <c r="AW379">
        <v>4</v>
      </c>
      <c r="AX379" t="s">
        <v>74</v>
      </c>
      <c r="AY379" t="s">
        <v>74</v>
      </c>
      <c r="AZ379" t="s">
        <v>74</v>
      </c>
      <c r="BA379" t="s">
        <v>74</v>
      </c>
      <c r="BB379">
        <v>517</v>
      </c>
      <c r="BC379">
        <v>527</v>
      </c>
      <c r="BD379" t="s">
        <v>74</v>
      </c>
      <c r="BE379" t="s">
        <v>74</v>
      </c>
      <c r="BF379" t="s">
        <v>74</v>
      </c>
      <c r="BG379" t="s">
        <v>74</v>
      </c>
      <c r="BH379" t="s">
        <v>74</v>
      </c>
      <c r="BI379">
        <v>11</v>
      </c>
      <c r="BJ379" t="s">
        <v>7277</v>
      </c>
      <c r="BK379" t="s">
        <v>7005</v>
      </c>
      <c r="BL379" t="s">
        <v>7278</v>
      </c>
      <c r="BM379" t="s">
        <v>7279</v>
      </c>
      <c r="BN379" t="s">
        <v>74</v>
      </c>
      <c r="BO379" t="s">
        <v>74</v>
      </c>
      <c r="BP379" t="s">
        <v>74</v>
      </c>
      <c r="BQ379" t="s">
        <v>74</v>
      </c>
      <c r="BR379" t="s">
        <v>102</v>
      </c>
      <c r="BS379" t="s">
        <v>7280</v>
      </c>
      <c r="BT379" t="str">
        <f>HYPERLINK("https%3A%2F%2Fwww.webofscience.com%2Fwos%2Fwoscc%2Ffull-record%2FWOS:000299712300003","View Full Record in Web of Science")</f>
        <v>View Full Record in Web of Science</v>
      </c>
    </row>
    <row r="380" spans="1:72" x14ac:dyDescent="0.15">
      <c r="A380" t="s">
        <v>72</v>
      </c>
      <c r="B380" t="s">
        <v>7281</v>
      </c>
      <c r="C380" t="s">
        <v>74</v>
      </c>
      <c r="D380" t="s">
        <v>74</v>
      </c>
      <c r="E380" t="s">
        <v>74</v>
      </c>
      <c r="F380" t="s">
        <v>7282</v>
      </c>
      <c r="G380" t="s">
        <v>74</v>
      </c>
      <c r="H380" t="s">
        <v>74</v>
      </c>
      <c r="I380" t="s">
        <v>7283</v>
      </c>
      <c r="J380" t="s">
        <v>7284</v>
      </c>
      <c r="K380" t="s">
        <v>74</v>
      </c>
      <c r="L380" t="s">
        <v>74</v>
      </c>
      <c r="M380" t="s">
        <v>78</v>
      </c>
      <c r="N380" t="s">
        <v>79</v>
      </c>
      <c r="O380" t="s">
        <v>74</v>
      </c>
      <c r="P380" t="s">
        <v>74</v>
      </c>
      <c r="Q380" t="s">
        <v>74</v>
      </c>
      <c r="R380" t="s">
        <v>74</v>
      </c>
      <c r="S380" t="s">
        <v>74</v>
      </c>
      <c r="T380" t="s">
        <v>7285</v>
      </c>
      <c r="U380" t="s">
        <v>7286</v>
      </c>
      <c r="V380" t="s">
        <v>7287</v>
      </c>
      <c r="W380" t="s">
        <v>7288</v>
      </c>
      <c r="X380" t="s">
        <v>7289</v>
      </c>
      <c r="Y380" t="s">
        <v>7290</v>
      </c>
      <c r="Z380" t="s">
        <v>7291</v>
      </c>
      <c r="AA380" t="s">
        <v>7292</v>
      </c>
      <c r="AB380" t="s">
        <v>7293</v>
      </c>
      <c r="AC380" t="s">
        <v>7294</v>
      </c>
      <c r="AD380" t="s">
        <v>7295</v>
      </c>
      <c r="AE380" t="s">
        <v>7296</v>
      </c>
      <c r="AF380" t="s">
        <v>74</v>
      </c>
      <c r="AG380">
        <v>43</v>
      </c>
      <c r="AH380">
        <v>40</v>
      </c>
      <c r="AI380">
        <v>46</v>
      </c>
      <c r="AJ380">
        <v>0</v>
      </c>
      <c r="AK380">
        <v>18</v>
      </c>
      <c r="AL380" t="s">
        <v>2832</v>
      </c>
      <c r="AM380" t="s">
        <v>796</v>
      </c>
      <c r="AN380" t="s">
        <v>797</v>
      </c>
      <c r="AO380" t="s">
        <v>7297</v>
      </c>
      <c r="AP380" t="s">
        <v>7298</v>
      </c>
      <c r="AQ380" t="s">
        <v>74</v>
      </c>
      <c r="AR380" t="s">
        <v>7284</v>
      </c>
      <c r="AS380" t="s">
        <v>7299</v>
      </c>
      <c r="AT380" t="s">
        <v>7122</v>
      </c>
      <c r="AU380">
        <v>2011</v>
      </c>
      <c r="AV380">
        <v>32</v>
      </c>
      <c r="AW380">
        <v>24</v>
      </c>
      <c r="AX380" t="s">
        <v>74</v>
      </c>
      <c r="AY380" t="s">
        <v>74</v>
      </c>
      <c r="AZ380" t="s">
        <v>339</v>
      </c>
      <c r="BA380" t="s">
        <v>74</v>
      </c>
      <c r="BB380">
        <v>3536</v>
      </c>
      <c r="BC380">
        <v>3545</v>
      </c>
      <c r="BD380" t="s">
        <v>74</v>
      </c>
      <c r="BE380" t="s">
        <v>7300</v>
      </c>
      <c r="BF380" t="str">
        <f>HYPERLINK("http://dx.doi.org/10.1002/elps.201100294","http://dx.doi.org/10.1002/elps.201100294")</f>
        <v>http://dx.doi.org/10.1002/elps.201100294</v>
      </c>
      <c r="BG380" t="s">
        <v>74</v>
      </c>
      <c r="BH380" t="s">
        <v>74</v>
      </c>
      <c r="BI380">
        <v>10</v>
      </c>
      <c r="BJ380" t="s">
        <v>7301</v>
      </c>
      <c r="BK380" t="s">
        <v>100</v>
      </c>
      <c r="BL380" t="s">
        <v>7302</v>
      </c>
      <c r="BM380" t="s">
        <v>7303</v>
      </c>
      <c r="BN380">
        <v>22180206</v>
      </c>
      <c r="BO380" t="s">
        <v>74</v>
      </c>
      <c r="BP380" t="s">
        <v>74</v>
      </c>
      <c r="BQ380" t="s">
        <v>74</v>
      </c>
      <c r="BR380" t="s">
        <v>102</v>
      </c>
      <c r="BS380" t="s">
        <v>7304</v>
      </c>
      <c r="BT380" t="str">
        <f>HYPERLINK("https%3A%2F%2Fwww.webofscience.com%2Fwos%2Fwoscc%2Ffull-record%2FWOS:000298587900010","View Full Record in Web of Science")</f>
        <v>View Full Record in Web of Science</v>
      </c>
    </row>
    <row r="381" spans="1:72" x14ac:dyDescent="0.15">
      <c r="A381" t="s">
        <v>72</v>
      </c>
      <c r="B381" t="s">
        <v>7305</v>
      </c>
      <c r="C381" t="s">
        <v>74</v>
      </c>
      <c r="D381" t="s">
        <v>74</v>
      </c>
      <c r="E381" t="s">
        <v>74</v>
      </c>
      <c r="F381" t="s">
        <v>7306</v>
      </c>
      <c r="G381" t="s">
        <v>74</v>
      </c>
      <c r="H381" t="s">
        <v>74</v>
      </c>
      <c r="I381" t="s">
        <v>7307</v>
      </c>
      <c r="J381" t="s">
        <v>7308</v>
      </c>
      <c r="K381" t="s">
        <v>74</v>
      </c>
      <c r="L381" t="s">
        <v>74</v>
      </c>
      <c r="M381" t="s">
        <v>78</v>
      </c>
      <c r="N381" t="s">
        <v>79</v>
      </c>
      <c r="O381" t="s">
        <v>74</v>
      </c>
      <c r="P381" t="s">
        <v>74</v>
      </c>
      <c r="Q381" t="s">
        <v>74</v>
      </c>
      <c r="R381" t="s">
        <v>74</v>
      </c>
      <c r="S381" t="s">
        <v>74</v>
      </c>
      <c r="T381" t="s">
        <v>7309</v>
      </c>
      <c r="U381" t="s">
        <v>74</v>
      </c>
      <c r="V381" t="s">
        <v>7310</v>
      </c>
      <c r="W381" t="s">
        <v>7311</v>
      </c>
      <c r="X381" t="s">
        <v>7312</v>
      </c>
      <c r="Y381" t="s">
        <v>7313</v>
      </c>
      <c r="Z381" t="s">
        <v>7314</v>
      </c>
      <c r="AA381" t="s">
        <v>7315</v>
      </c>
      <c r="AB381" t="s">
        <v>7316</v>
      </c>
      <c r="AC381" t="s">
        <v>7317</v>
      </c>
      <c r="AD381" t="s">
        <v>7318</v>
      </c>
      <c r="AE381" t="s">
        <v>7319</v>
      </c>
      <c r="AF381" t="s">
        <v>74</v>
      </c>
      <c r="AG381">
        <v>11</v>
      </c>
      <c r="AH381">
        <v>31</v>
      </c>
      <c r="AI381">
        <v>31</v>
      </c>
      <c r="AJ381">
        <v>0</v>
      </c>
      <c r="AK381">
        <v>13</v>
      </c>
      <c r="AL381" t="s">
        <v>1150</v>
      </c>
      <c r="AM381" t="s">
        <v>1151</v>
      </c>
      <c r="AN381" t="s">
        <v>1152</v>
      </c>
      <c r="AO381" t="s">
        <v>7320</v>
      </c>
      <c r="AP381" t="s">
        <v>7321</v>
      </c>
      <c r="AQ381" t="s">
        <v>74</v>
      </c>
      <c r="AR381" t="s">
        <v>7322</v>
      </c>
      <c r="AS381" t="s">
        <v>7323</v>
      </c>
      <c r="AT381" t="s">
        <v>7122</v>
      </c>
      <c r="AU381">
        <v>2011</v>
      </c>
      <c r="AV381">
        <v>45</v>
      </c>
      <c r="AW381">
        <v>4</v>
      </c>
      <c r="AX381" t="s">
        <v>74</v>
      </c>
      <c r="AY381" t="s">
        <v>74</v>
      </c>
      <c r="AZ381" t="s">
        <v>74</v>
      </c>
      <c r="BA381" t="s">
        <v>74</v>
      </c>
      <c r="BB381">
        <v>703</v>
      </c>
      <c r="BC381">
        <v>709</v>
      </c>
      <c r="BD381" t="s">
        <v>74</v>
      </c>
      <c r="BE381" t="s">
        <v>7324</v>
      </c>
      <c r="BF381" t="str">
        <f>HYPERLINK("http://dx.doi.org/10.1080/00288330.2011.586041","http://dx.doi.org/10.1080/00288330.2011.586041")</f>
        <v>http://dx.doi.org/10.1080/00288330.2011.586041</v>
      </c>
      <c r="BG381" t="s">
        <v>74</v>
      </c>
      <c r="BH381" t="s">
        <v>74</v>
      </c>
      <c r="BI381">
        <v>7</v>
      </c>
      <c r="BJ381" t="s">
        <v>363</v>
      </c>
      <c r="BK381" t="s">
        <v>100</v>
      </c>
      <c r="BL381" t="s">
        <v>363</v>
      </c>
      <c r="BM381" t="s">
        <v>7325</v>
      </c>
      <c r="BN381" t="s">
        <v>74</v>
      </c>
      <c r="BO381" t="s">
        <v>74</v>
      </c>
      <c r="BP381" t="s">
        <v>74</v>
      </c>
      <c r="BQ381" t="s">
        <v>74</v>
      </c>
      <c r="BR381" t="s">
        <v>102</v>
      </c>
      <c r="BS381" t="s">
        <v>7326</v>
      </c>
      <c r="BT381" t="str">
        <f>HYPERLINK("https%3A%2F%2Fwww.webofscience.com%2Fwos%2Fwoscc%2Ffull-record%2FWOS:000299424600011","View Full Record in Web of Science")</f>
        <v>View Full Record in Web of Science</v>
      </c>
    </row>
    <row r="382" spans="1:72" x14ac:dyDescent="0.15">
      <c r="A382" t="s">
        <v>72</v>
      </c>
      <c r="B382" t="s">
        <v>7327</v>
      </c>
      <c r="C382" t="s">
        <v>74</v>
      </c>
      <c r="D382" t="s">
        <v>74</v>
      </c>
      <c r="E382" t="s">
        <v>74</v>
      </c>
      <c r="F382" t="s">
        <v>7328</v>
      </c>
      <c r="G382" t="s">
        <v>74</v>
      </c>
      <c r="H382" t="s">
        <v>74</v>
      </c>
      <c r="I382" t="s">
        <v>7329</v>
      </c>
      <c r="J382" t="s">
        <v>7330</v>
      </c>
      <c r="K382" t="s">
        <v>74</v>
      </c>
      <c r="L382" t="s">
        <v>74</v>
      </c>
      <c r="M382" t="s">
        <v>78</v>
      </c>
      <c r="N382" t="s">
        <v>79</v>
      </c>
      <c r="O382" t="s">
        <v>74</v>
      </c>
      <c r="P382" t="s">
        <v>74</v>
      </c>
      <c r="Q382" t="s">
        <v>74</v>
      </c>
      <c r="R382" t="s">
        <v>74</v>
      </c>
      <c r="S382" t="s">
        <v>74</v>
      </c>
      <c r="T382" t="s">
        <v>7331</v>
      </c>
      <c r="U382" t="s">
        <v>7332</v>
      </c>
      <c r="V382" t="s">
        <v>7333</v>
      </c>
      <c r="W382" t="s">
        <v>7334</v>
      </c>
      <c r="X382" t="s">
        <v>7335</v>
      </c>
      <c r="Y382" t="s">
        <v>7336</v>
      </c>
      <c r="Z382" t="s">
        <v>7337</v>
      </c>
      <c r="AA382" t="s">
        <v>74</v>
      </c>
      <c r="AB382" t="s">
        <v>7338</v>
      </c>
      <c r="AC382" t="s">
        <v>7339</v>
      </c>
      <c r="AD382" t="s">
        <v>7340</v>
      </c>
      <c r="AE382" t="s">
        <v>7341</v>
      </c>
      <c r="AF382" t="s">
        <v>74</v>
      </c>
      <c r="AG382">
        <v>23</v>
      </c>
      <c r="AH382">
        <v>1</v>
      </c>
      <c r="AI382">
        <v>1</v>
      </c>
      <c r="AJ382">
        <v>0</v>
      </c>
      <c r="AK382">
        <v>1</v>
      </c>
      <c r="AL382" t="s">
        <v>7342</v>
      </c>
      <c r="AM382" t="s">
        <v>413</v>
      </c>
      <c r="AN382" t="s">
        <v>7343</v>
      </c>
      <c r="AO382" t="s">
        <v>7344</v>
      </c>
      <c r="AP382" t="s">
        <v>7345</v>
      </c>
      <c r="AQ382" t="s">
        <v>74</v>
      </c>
      <c r="AR382" t="s">
        <v>7346</v>
      </c>
      <c r="AS382" t="s">
        <v>7347</v>
      </c>
      <c r="AT382" t="s">
        <v>7122</v>
      </c>
      <c r="AU382">
        <v>2011</v>
      </c>
      <c r="AV382">
        <v>85</v>
      </c>
      <c r="AW382">
        <v>13</v>
      </c>
      <c r="AX382" t="s">
        <v>74</v>
      </c>
      <c r="AY382" t="s">
        <v>74</v>
      </c>
      <c r="AZ382" t="s">
        <v>74</v>
      </c>
      <c r="BA382" t="s">
        <v>74</v>
      </c>
      <c r="BB382">
        <v>2283</v>
      </c>
      <c r="BC382">
        <v>2287</v>
      </c>
      <c r="BD382" t="s">
        <v>74</v>
      </c>
      <c r="BE382" t="s">
        <v>7348</v>
      </c>
      <c r="BF382" t="str">
        <f>HYPERLINK("http://dx.doi.org/10.1134/S0036024411130048","http://dx.doi.org/10.1134/S0036024411130048")</f>
        <v>http://dx.doi.org/10.1134/S0036024411130048</v>
      </c>
      <c r="BG382" t="s">
        <v>74</v>
      </c>
      <c r="BH382" t="s">
        <v>74</v>
      </c>
      <c r="BI382">
        <v>5</v>
      </c>
      <c r="BJ382" t="s">
        <v>7349</v>
      </c>
      <c r="BK382" t="s">
        <v>100</v>
      </c>
      <c r="BL382" t="s">
        <v>722</v>
      </c>
      <c r="BM382" t="s">
        <v>7350</v>
      </c>
      <c r="BN382" t="s">
        <v>74</v>
      </c>
      <c r="BO382" t="s">
        <v>74</v>
      </c>
      <c r="BP382" t="s">
        <v>74</v>
      </c>
      <c r="BQ382" t="s">
        <v>74</v>
      </c>
      <c r="BR382" t="s">
        <v>102</v>
      </c>
      <c r="BS382" t="s">
        <v>7351</v>
      </c>
      <c r="BT382" t="str">
        <f>HYPERLINK("https%3A%2F%2Fwww.webofscience.com%2Fwos%2Fwoscc%2Ffull-record%2FWOS:000297922700008","View Full Record in Web of Science")</f>
        <v>View Full Record in Web of Science</v>
      </c>
    </row>
    <row r="383" spans="1:72" x14ac:dyDescent="0.15">
      <c r="A383" t="s">
        <v>72</v>
      </c>
      <c r="B383" t="s">
        <v>7352</v>
      </c>
      <c r="C383" t="s">
        <v>74</v>
      </c>
      <c r="D383" t="s">
        <v>74</v>
      </c>
      <c r="E383" t="s">
        <v>74</v>
      </c>
      <c r="F383" t="s">
        <v>7353</v>
      </c>
      <c r="G383" t="s">
        <v>74</v>
      </c>
      <c r="H383" t="s">
        <v>74</v>
      </c>
      <c r="I383" t="s">
        <v>7354</v>
      </c>
      <c r="J383" t="s">
        <v>7355</v>
      </c>
      <c r="K383" t="s">
        <v>74</v>
      </c>
      <c r="L383" t="s">
        <v>74</v>
      </c>
      <c r="M383" t="s">
        <v>78</v>
      </c>
      <c r="N383" t="s">
        <v>79</v>
      </c>
      <c r="O383" t="s">
        <v>74</v>
      </c>
      <c r="P383" t="s">
        <v>74</v>
      </c>
      <c r="Q383" t="s">
        <v>74</v>
      </c>
      <c r="R383" t="s">
        <v>74</v>
      </c>
      <c r="S383" t="s">
        <v>74</v>
      </c>
      <c r="T383" t="s">
        <v>7356</v>
      </c>
      <c r="U383" t="s">
        <v>7357</v>
      </c>
      <c r="V383" t="s">
        <v>7358</v>
      </c>
      <c r="W383" t="s">
        <v>7359</v>
      </c>
      <c r="X383" t="s">
        <v>7360</v>
      </c>
      <c r="Y383" t="s">
        <v>7361</v>
      </c>
      <c r="Z383" t="s">
        <v>7362</v>
      </c>
      <c r="AA383" t="s">
        <v>74</v>
      </c>
      <c r="AB383" t="s">
        <v>7363</v>
      </c>
      <c r="AC383" t="s">
        <v>7364</v>
      </c>
      <c r="AD383" t="s">
        <v>7364</v>
      </c>
      <c r="AE383" t="s">
        <v>7365</v>
      </c>
      <c r="AF383" t="s">
        <v>74</v>
      </c>
      <c r="AG383">
        <v>21</v>
      </c>
      <c r="AH383">
        <v>9</v>
      </c>
      <c r="AI383">
        <v>9</v>
      </c>
      <c r="AJ383">
        <v>1</v>
      </c>
      <c r="AK383">
        <v>22</v>
      </c>
      <c r="AL383" t="s">
        <v>7366</v>
      </c>
      <c r="AM383" t="s">
        <v>985</v>
      </c>
      <c r="AN383" t="s">
        <v>7367</v>
      </c>
      <c r="AO383" t="s">
        <v>7368</v>
      </c>
      <c r="AP383" t="s">
        <v>74</v>
      </c>
      <c r="AQ383" t="s">
        <v>74</v>
      </c>
      <c r="AR383" t="s">
        <v>7355</v>
      </c>
      <c r="AS383" t="s">
        <v>7369</v>
      </c>
      <c r="AT383" t="s">
        <v>7122</v>
      </c>
      <c r="AU383">
        <v>2011</v>
      </c>
      <c r="AV383">
        <v>34</v>
      </c>
      <c r="AW383">
        <v>4</v>
      </c>
      <c r="AX383" t="s">
        <v>74</v>
      </c>
      <c r="AY383" t="s">
        <v>74</v>
      </c>
      <c r="AZ383" t="s">
        <v>74</v>
      </c>
      <c r="BA383" t="s">
        <v>74</v>
      </c>
      <c r="BB383">
        <v>495</v>
      </c>
      <c r="BC383">
        <v>498</v>
      </c>
      <c r="BD383" t="s">
        <v>74</v>
      </c>
      <c r="BE383" t="s">
        <v>7370</v>
      </c>
      <c r="BF383" t="str">
        <f>HYPERLINK("http://dx.doi.org/10.1675/063.034.0412","http://dx.doi.org/10.1675/063.034.0412")</f>
        <v>http://dx.doi.org/10.1675/063.034.0412</v>
      </c>
      <c r="BG383" t="s">
        <v>74</v>
      </c>
      <c r="BH383" t="s">
        <v>74</v>
      </c>
      <c r="BI383">
        <v>4</v>
      </c>
      <c r="BJ383" t="s">
        <v>2880</v>
      </c>
      <c r="BK383" t="s">
        <v>100</v>
      </c>
      <c r="BL383" t="s">
        <v>2881</v>
      </c>
      <c r="BM383" t="s">
        <v>7371</v>
      </c>
      <c r="BN383" t="s">
        <v>74</v>
      </c>
      <c r="BO383" t="s">
        <v>342</v>
      </c>
      <c r="BP383" t="s">
        <v>74</v>
      </c>
      <c r="BQ383" t="s">
        <v>74</v>
      </c>
      <c r="BR383" t="s">
        <v>102</v>
      </c>
      <c r="BS383" t="s">
        <v>7372</v>
      </c>
      <c r="BT383" t="str">
        <f>HYPERLINK("https%3A%2F%2Fwww.webofscience.com%2Fwos%2Fwoscc%2Ffull-record%2FWOS:000299458500012","View Full Record in Web of Science")</f>
        <v>View Full Record in Web of Science</v>
      </c>
    </row>
    <row r="384" spans="1:72" x14ac:dyDescent="0.15">
      <c r="A384" t="s">
        <v>72</v>
      </c>
      <c r="B384" t="s">
        <v>7373</v>
      </c>
      <c r="C384" t="s">
        <v>74</v>
      </c>
      <c r="D384" t="s">
        <v>74</v>
      </c>
      <c r="E384" t="s">
        <v>74</v>
      </c>
      <c r="F384" t="s">
        <v>7374</v>
      </c>
      <c r="G384" t="s">
        <v>74</v>
      </c>
      <c r="H384" t="s">
        <v>74</v>
      </c>
      <c r="I384" t="s">
        <v>7375</v>
      </c>
      <c r="J384" t="s">
        <v>3444</v>
      </c>
      <c r="K384" t="s">
        <v>74</v>
      </c>
      <c r="L384" t="s">
        <v>74</v>
      </c>
      <c r="M384" t="s">
        <v>78</v>
      </c>
      <c r="N384" t="s">
        <v>79</v>
      </c>
      <c r="O384" t="s">
        <v>74</v>
      </c>
      <c r="P384" t="s">
        <v>74</v>
      </c>
      <c r="Q384" t="s">
        <v>74</v>
      </c>
      <c r="R384" t="s">
        <v>74</v>
      </c>
      <c r="S384" t="s">
        <v>74</v>
      </c>
      <c r="T384" t="s">
        <v>7376</v>
      </c>
      <c r="U384" t="s">
        <v>7377</v>
      </c>
      <c r="V384" t="s">
        <v>7378</v>
      </c>
      <c r="W384" t="s">
        <v>7379</v>
      </c>
      <c r="X384" t="s">
        <v>7380</v>
      </c>
      <c r="Y384" t="s">
        <v>7381</v>
      </c>
      <c r="Z384" t="s">
        <v>7382</v>
      </c>
      <c r="AA384" t="s">
        <v>74</v>
      </c>
      <c r="AB384" t="s">
        <v>74</v>
      </c>
      <c r="AC384" t="s">
        <v>7383</v>
      </c>
      <c r="AD384" t="s">
        <v>7384</v>
      </c>
      <c r="AE384" t="s">
        <v>7385</v>
      </c>
      <c r="AF384" t="s">
        <v>74</v>
      </c>
      <c r="AG384">
        <v>43</v>
      </c>
      <c r="AH384">
        <v>3</v>
      </c>
      <c r="AI384">
        <v>4</v>
      </c>
      <c r="AJ384">
        <v>2</v>
      </c>
      <c r="AK384">
        <v>25</v>
      </c>
      <c r="AL384" t="s">
        <v>3479</v>
      </c>
      <c r="AM384" t="s">
        <v>334</v>
      </c>
      <c r="AN384" t="s">
        <v>3480</v>
      </c>
      <c r="AO384" t="s">
        <v>3457</v>
      </c>
      <c r="AP384" t="s">
        <v>3458</v>
      </c>
      <c r="AQ384" t="s">
        <v>74</v>
      </c>
      <c r="AR384" t="s">
        <v>3459</v>
      </c>
      <c r="AS384" t="s">
        <v>3460</v>
      </c>
      <c r="AT384" t="s">
        <v>7122</v>
      </c>
      <c r="AU384">
        <v>2011</v>
      </c>
      <c r="AV384">
        <v>79</v>
      </c>
      <c r="AW384" t="s">
        <v>6679</v>
      </c>
      <c r="AX384" t="s">
        <v>74</v>
      </c>
      <c r="AY384" t="s">
        <v>74</v>
      </c>
      <c r="AZ384" t="s">
        <v>339</v>
      </c>
      <c r="BA384" t="s">
        <v>74</v>
      </c>
      <c r="BB384">
        <v>204</v>
      </c>
      <c r="BC384">
        <v>213</v>
      </c>
      <c r="BD384" t="s">
        <v>74</v>
      </c>
      <c r="BE384" t="s">
        <v>7386</v>
      </c>
      <c r="BF384" t="str">
        <f>HYPERLINK("http://dx.doi.org/10.1016/j.gloplacha.2010.11.004","http://dx.doi.org/10.1016/j.gloplacha.2010.11.004")</f>
        <v>http://dx.doi.org/10.1016/j.gloplacha.2010.11.004</v>
      </c>
      <c r="BG384" t="s">
        <v>74</v>
      </c>
      <c r="BH384" t="s">
        <v>74</v>
      </c>
      <c r="BI384">
        <v>10</v>
      </c>
      <c r="BJ384" t="s">
        <v>226</v>
      </c>
      <c r="BK384" t="s">
        <v>100</v>
      </c>
      <c r="BL384" t="s">
        <v>227</v>
      </c>
      <c r="BM384" t="s">
        <v>7387</v>
      </c>
      <c r="BN384" t="s">
        <v>74</v>
      </c>
      <c r="BO384" t="s">
        <v>74</v>
      </c>
      <c r="BP384" t="s">
        <v>74</v>
      </c>
      <c r="BQ384" t="s">
        <v>74</v>
      </c>
      <c r="BR384" t="s">
        <v>102</v>
      </c>
      <c r="BS384" t="s">
        <v>7388</v>
      </c>
      <c r="BT384" t="str">
        <f>HYPERLINK("https%3A%2F%2Fwww.webofscience.com%2Fwos%2Fwoscc%2Ffull-record%2FWOS:000297886500005","View Full Record in Web of Science")</f>
        <v>View Full Record in Web of Science</v>
      </c>
    </row>
    <row r="385" spans="1:72" x14ac:dyDescent="0.15">
      <c r="A385" t="s">
        <v>72</v>
      </c>
      <c r="B385" t="s">
        <v>7389</v>
      </c>
      <c r="C385" t="s">
        <v>74</v>
      </c>
      <c r="D385" t="s">
        <v>74</v>
      </c>
      <c r="E385" t="s">
        <v>74</v>
      </c>
      <c r="F385" t="s">
        <v>7390</v>
      </c>
      <c r="G385" t="s">
        <v>74</v>
      </c>
      <c r="H385" t="s">
        <v>74</v>
      </c>
      <c r="I385" t="s">
        <v>7391</v>
      </c>
      <c r="J385" t="s">
        <v>7392</v>
      </c>
      <c r="K385" t="s">
        <v>74</v>
      </c>
      <c r="L385" t="s">
        <v>74</v>
      </c>
      <c r="M385" t="s">
        <v>78</v>
      </c>
      <c r="N385" t="s">
        <v>79</v>
      </c>
      <c r="O385" t="s">
        <v>74</v>
      </c>
      <c r="P385" t="s">
        <v>74</v>
      </c>
      <c r="Q385" t="s">
        <v>74</v>
      </c>
      <c r="R385" t="s">
        <v>74</v>
      </c>
      <c r="S385" t="s">
        <v>74</v>
      </c>
      <c r="T385" t="s">
        <v>74</v>
      </c>
      <c r="U385" t="s">
        <v>7393</v>
      </c>
      <c r="V385" t="s">
        <v>7394</v>
      </c>
      <c r="W385" t="s">
        <v>7395</v>
      </c>
      <c r="X385" t="s">
        <v>7396</v>
      </c>
      <c r="Y385" t="s">
        <v>7397</v>
      </c>
      <c r="Z385" t="s">
        <v>7398</v>
      </c>
      <c r="AA385" t="s">
        <v>7399</v>
      </c>
      <c r="AB385" t="s">
        <v>7400</v>
      </c>
      <c r="AC385" t="s">
        <v>7401</v>
      </c>
      <c r="AD385" t="s">
        <v>7402</v>
      </c>
      <c r="AE385" t="s">
        <v>7403</v>
      </c>
      <c r="AF385" t="s">
        <v>74</v>
      </c>
      <c r="AG385">
        <v>71</v>
      </c>
      <c r="AH385">
        <v>13</v>
      </c>
      <c r="AI385">
        <v>14</v>
      </c>
      <c r="AJ385">
        <v>0</v>
      </c>
      <c r="AK385">
        <v>11</v>
      </c>
      <c r="AL385" t="s">
        <v>7404</v>
      </c>
      <c r="AM385" t="s">
        <v>7405</v>
      </c>
      <c r="AN385" t="s">
        <v>7406</v>
      </c>
      <c r="AO385" t="s">
        <v>7407</v>
      </c>
      <c r="AP385" t="s">
        <v>7408</v>
      </c>
      <c r="AQ385" t="s">
        <v>74</v>
      </c>
      <c r="AR385" t="s">
        <v>7409</v>
      </c>
      <c r="AS385" t="s">
        <v>7410</v>
      </c>
      <c r="AT385" t="s">
        <v>7122</v>
      </c>
      <c r="AU385">
        <v>2011</v>
      </c>
      <c r="AV385">
        <v>158</v>
      </c>
      <c r="AW385">
        <v>12</v>
      </c>
      <c r="AX385" t="s">
        <v>74</v>
      </c>
      <c r="AY385" t="s">
        <v>74</v>
      </c>
      <c r="AZ385" t="s">
        <v>74</v>
      </c>
      <c r="BA385" t="s">
        <v>74</v>
      </c>
      <c r="BB385">
        <v>2661</v>
      </c>
      <c r="BC385">
        <v>2671</v>
      </c>
      <c r="BD385" t="s">
        <v>74</v>
      </c>
      <c r="BE385" t="s">
        <v>7411</v>
      </c>
      <c r="BF385" t="str">
        <f>HYPERLINK("http://dx.doi.org/10.1007/s00227-011-1764-x","http://dx.doi.org/10.1007/s00227-011-1764-x")</f>
        <v>http://dx.doi.org/10.1007/s00227-011-1764-x</v>
      </c>
      <c r="BG385" t="s">
        <v>74</v>
      </c>
      <c r="BH385" t="s">
        <v>74</v>
      </c>
      <c r="BI385">
        <v>11</v>
      </c>
      <c r="BJ385" t="s">
        <v>1015</v>
      </c>
      <c r="BK385" t="s">
        <v>100</v>
      </c>
      <c r="BL385" t="s">
        <v>1015</v>
      </c>
      <c r="BM385" t="s">
        <v>7412</v>
      </c>
      <c r="BN385" t="s">
        <v>74</v>
      </c>
      <c r="BO385" t="s">
        <v>74</v>
      </c>
      <c r="BP385" t="s">
        <v>74</v>
      </c>
      <c r="BQ385" t="s">
        <v>74</v>
      </c>
      <c r="BR385" t="s">
        <v>102</v>
      </c>
      <c r="BS385" t="s">
        <v>7413</v>
      </c>
      <c r="BT385" t="str">
        <f>HYPERLINK("https%3A%2F%2Fwww.webofscience.com%2Fwos%2Fwoscc%2Ffull-record%2FWOS:000299182500005","View Full Record in Web of Science")</f>
        <v>View Full Record in Web of Science</v>
      </c>
    </row>
    <row r="386" spans="1:72" x14ac:dyDescent="0.15">
      <c r="A386" t="s">
        <v>72</v>
      </c>
      <c r="B386" t="s">
        <v>7414</v>
      </c>
      <c r="C386" t="s">
        <v>74</v>
      </c>
      <c r="D386" t="s">
        <v>74</v>
      </c>
      <c r="E386" t="s">
        <v>74</v>
      </c>
      <c r="F386" t="s">
        <v>7415</v>
      </c>
      <c r="G386" t="s">
        <v>74</v>
      </c>
      <c r="H386" t="s">
        <v>74</v>
      </c>
      <c r="I386" t="s">
        <v>7416</v>
      </c>
      <c r="J386" t="s">
        <v>7417</v>
      </c>
      <c r="K386" t="s">
        <v>74</v>
      </c>
      <c r="L386" t="s">
        <v>74</v>
      </c>
      <c r="M386" t="s">
        <v>78</v>
      </c>
      <c r="N386" t="s">
        <v>1513</v>
      </c>
      <c r="O386" t="s">
        <v>74</v>
      </c>
      <c r="P386" t="s">
        <v>74</v>
      </c>
      <c r="Q386" t="s">
        <v>74</v>
      </c>
      <c r="R386" t="s">
        <v>74</v>
      </c>
      <c r="S386" t="s">
        <v>74</v>
      </c>
      <c r="T386" t="s">
        <v>7418</v>
      </c>
      <c r="U386" t="s">
        <v>7419</v>
      </c>
      <c r="V386" t="s">
        <v>7420</v>
      </c>
      <c r="W386" t="s">
        <v>7421</v>
      </c>
      <c r="X386" t="s">
        <v>7422</v>
      </c>
      <c r="Y386" t="s">
        <v>7423</v>
      </c>
      <c r="Z386" t="s">
        <v>7424</v>
      </c>
      <c r="AA386" t="s">
        <v>74</v>
      </c>
      <c r="AB386" t="s">
        <v>7425</v>
      </c>
      <c r="AC386" t="s">
        <v>74</v>
      </c>
      <c r="AD386" t="s">
        <v>74</v>
      </c>
      <c r="AE386" t="s">
        <v>74</v>
      </c>
      <c r="AF386" t="s">
        <v>74</v>
      </c>
      <c r="AG386">
        <v>143</v>
      </c>
      <c r="AH386">
        <v>37</v>
      </c>
      <c r="AI386">
        <v>42</v>
      </c>
      <c r="AJ386">
        <v>2</v>
      </c>
      <c r="AK386">
        <v>89</v>
      </c>
      <c r="AL386" t="s">
        <v>813</v>
      </c>
      <c r="AM386" t="s">
        <v>413</v>
      </c>
      <c r="AN386" t="s">
        <v>7426</v>
      </c>
      <c r="AO386" t="s">
        <v>7427</v>
      </c>
      <c r="AP386" t="s">
        <v>7428</v>
      </c>
      <c r="AQ386" t="s">
        <v>74</v>
      </c>
      <c r="AR386" t="s">
        <v>7429</v>
      </c>
      <c r="AS386" t="s">
        <v>7430</v>
      </c>
      <c r="AT386" t="s">
        <v>7122</v>
      </c>
      <c r="AU386">
        <v>2011</v>
      </c>
      <c r="AV386">
        <v>23</v>
      </c>
      <c r="AW386">
        <v>6</v>
      </c>
      <c r="AX386" t="s">
        <v>74</v>
      </c>
      <c r="AY386" t="s">
        <v>74</v>
      </c>
      <c r="AZ386" t="s">
        <v>74</v>
      </c>
      <c r="BA386" t="s">
        <v>74</v>
      </c>
      <c r="BB386">
        <v>503</v>
      </c>
      <c r="BC386">
        <v>529</v>
      </c>
      <c r="BD386" t="s">
        <v>74</v>
      </c>
      <c r="BE386" t="s">
        <v>7431</v>
      </c>
      <c r="BF386" t="str">
        <f>HYPERLINK("http://dx.doi.org/10.1017/S0954102011000708","http://dx.doi.org/10.1017/S0954102011000708")</f>
        <v>http://dx.doi.org/10.1017/S0954102011000708</v>
      </c>
      <c r="BG386" t="s">
        <v>74</v>
      </c>
      <c r="BH386" t="s">
        <v>74</v>
      </c>
      <c r="BI386">
        <v>27</v>
      </c>
      <c r="BJ386" t="s">
        <v>7432</v>
      </c>
      <c r="BK386" t="s">
        <v>100</v>
      </c>
      <c r="BL386" t="s">
        <v>2855</v>
      </c>
      <c r="BM386" t="s">
        <v>7433</v>
      </c>
      <c r="BN386" t="s">
        <v>74</v>
      </c>
      <c r="BO386" t="s">
        <v>74</v>
      </c>
      <c r="BP386" t="s">
        <v>74</v>
      </c>
      <c r="BQ386" t="s">
        <v>74</v>
      </c>
      <c r="BR386" t="s">
        <v>102</v>
      </c>
      <c r="BS386" t="s">
        <v>7434</v>
      </c>
      <c r="BT386" t="str">
        <f>HYPERLINK("https%3A%2F%2Fwww.webofscience.com%2Fwos%2Fwoscc%2Ffull-record%2FWOS:000298286200002","View Full Record in Web of Science")</f>
        <v>View Full Record in Web of Science</v>
      </c>
    </row>
    <row r="387" spans="1:72" x14ac:dyDescent="0.15">
      <c r="A387" t="s">
        <v>72</v>
      </c>
      <c r="B387" t="s">
        <v>7435</v>
      </c>
      <c r="C387" t="s">
        <v>74</v>
      </c>
      <c r="D387" t="s">
        <v>74</v>
      </c>
      <c r="E387" t="s">
        <v>74</v>
      </c>
      <c r="F387" t="s">
        <v>7436</v>
      </c>
      <c r="G387" t="s">
        <v>74</v>
      </c>
      <c r="H387" t="s">
        <v>74</v>
      </c>
      <c r="I387" t="s">
        <v>7437</v>
      </c>
      <c r="J387" t="s">
        <v>7417</v>
      </c>
      <c r="K387" t="s">
        <v>74</v>
      </c>
      <c r="L387" t="s">
        <v>74</v>
      </c>
      <c r="M387" t="s">
        <v>78</v>
      </c>
      <c r="N387" t="s">
        <v>79</v>
      </c>
      <c r="O387" t="s">
        <v>74</v>
      </c>
      <c r="P387" t="s">
        <v>74</v>
      </c>
      <c r="Q387" t="s">
        <v>74</v>
      </c>
      <c r="R387" t="s">
        <v>74</v>
      </c>
      <c r="S387" t="s">
        <v>74</v>
      </c>
      <c r="T387" t="s">
        <v>7438</v>
      </c>
      <c r="U387" t="s">
        <v>7439</v>
      </c>
      <c r="V387" t="s">
        <v>7440</v>
      </c>
      <c r="W387" t="s">
        <v>7441</v>
      </c>
      <c r="X387" t="s">
        <v>7442</v>
      </c>
      <c r="Y387" t="s">
        <v>7443</v>
      </c>
      <c r="Z387" t="s">
        <v>7444</v>
      </c>
      <c r="AA387" t="s">
        <v>7445</v>
      </c>
      <c r="AB387" t="s">
        <v>7446</v>
      </c>
      <c r="AC387" t="s">
        <v>7447</v>
      </c>
      <c r="AD387" t="s">
        <v>7448</v>
      </c>
      <c r="AE387" t="s">
        <v>7449</v>
      </c>
      <c r="AF387" t="s">
        <v>74</v>
      </c>
      <c r="AG387">
        <v>48</v>
      </c>
      <c r="AH387">
        <v>23</v>
      </c>
      <c r="AI387">
        <v>28</v>
      </c>
      <c r="AJ387">
        <v>2</v>
      </c>
      <c r="AK387">
        <v>32</v>
      </c>
      <c r="AL387" t="s">
        <v>813</v>
      </c>
      <c r="AM387" t="s">
        <v>413</v>
      </c>
      <c r="AN387" t="s">
        <v>7426</v>
      </c>
      <c r="AO387" t="s">
        <v>7427</v>
      </c>
      <c r="AP387" t="s">
        <v>7428</v>
      </c>
      <c r="AQ387" t="s">
        <v>74</v>
      </c>
      <c r="AR387" t="s">
        <v>7429</v>
      </c>
      <c r="AS387" t="s">
        <v>7430</v>
      </c>
      <c r="AT387" t="s">
        <v>7122</v>
      </c>
      <c r="AU387">
        <v>2011</v>
      </c>
      <c r="AV387">
        <v>23</v>
      </c>
      <c r="AW387">
        <v>6</v>
      </c>
      <c r="AX387" t="s">
        <v>74</v>
      </c>
      <c r="AY387" t="s">
        <v>74</v>
      </c>
      <c r="AZ387" t="s">
        <v>74</v>
      </c>
      <c r="BA387" t="s">
        <v>74</v>
      </c>
      <c r="BB387">
        <v>531</v>
      </c>
      <c r="BC387">
        <v>536</v>
      </c>
      <c r="BD387" t="s">
        <v>74</v>
      </c>
      <c r="BE387" t="s">
        <v>7450</v>
      </c>
      <c r="BF387" t="str">
        <f>HYPERLINK("http://dx.doi.org/10.1017/S0954102011000368","http://dx.doi.org/10.1017/S0954102011000368")</f>
        <v>http://dx.doi.org/10.1017/S0954102011000368</v>
      </c>
      <c r="BG387" t="s">
        <v>74</v>
      </c>
      <c r="BH387" t="s">
        <v>74</v>
      </c>
      <c r="BI387">
        <v>6</v>
      </c>
      <c r="BJ387" t="s">
        <v>7432</v>
      </c>
      <c r="BK387" t="s">
        <v>100</v>
      </c>
      <c r="BL387" t="s">
        <v>2855</v>
      </c>
      <c r="BM387" t="s">
        <v>7433</v>
      </c>
      <c r="BN387" t="s">
        <v>74</v>
      </c>
      <c r="BO387" t="s">
        <v>74</v>
      </c>
      <c r="BP387" t="s">
        <v>74</v>
      </c>
      <c r="BQ387" t="s">
        <v>74</v>
      </c>
      <c r="BR387" t="s">
        <v>102</v>
      </c>
      <c r="BS387" t="s">
        <v>7451</v>
      </c>
      <c r="BT387" t="str">
        <f>HYPERLINK("https%3A%2F%2Fwww.webofscience.com%2Fwos%2Fwoscc%2Ffull-record%2FWOS:000298286200003","View Full Record in Web of Science")</f>
        <v>View Full Record in Web of Science</v>
      </c>
    </row>
    <row r="388" spans="1:72" x14ac:dyDescent="0.15">
      <c r="A388" t="s">
        <v>72</v>
      </c>
      <c r="B388" t="s">
        <v>7452</v>
      </c>
      <c r="C388" t="s">
        <v>74</v>
      </c>
      <c r="D388" t="s">
        <v>74</v>
      </c>
      <c r="E388" t="s">
        <v>74</v>
      </c>
      <c r="F388" t="s">
        <v>7453</v>
      </c>
      <c r="G388" t="s">
        <v>74</v>
      </c>
      <c r="H388" t="s">
        <v>74</v>
      </c>
      <c r="I388" t="s">
        <v>7454</v>
      </c>
      <c r="J388" t="s">
        <v>7417</v>
      </c>
      <c r="K388" t="s">
        <v>74</v>
      </c>
      <c r="L388" t="s">
        <v>74</v>
      </c>
      <c r="M388" t="s">
        <v>78</v>
      </c>
      <c r="N388" t="s">
        <v>79</v>
      </c>
      <c r="O388" t="s">
        <v>74</v>
      </c>
      <c r="P388" t="s">
        <v>74</v>
      </c>
      <c r="Q388" t="s">
        <v>74</v>
      </c>
      <c r="R388" t="s">
        <v>74</v>
      </c>
      <c r="S388" t="s">
        <v>74</v>
      </c>
      <c r="T388" t="s">
        <v>7455</v>
      </c>
      <c r="U388" t="s">
        <v>7456</v>
      </c>
      <c r="V388" t="s">
        <v>7457</v>
      </c>
      <c r="W388" t="s">
        <v>7458</v>
      </c>
      <c r="X388" t="s">
        <v>7459</v>
      </c>
      <c r="Y388" t="s">
        <v>7460</v>
      </c>
      <c r="Z388" t="s">
        <v>7461</v>
      </c>
      <c r="AA388" t="s">
        <v>7462</v>
      </c>
      <c r="AB388" t="s">
        <v>7463</v>
      </c>
      <c r="AC388" t="s">
        <v>7464</v>
      </c>
      <c r="AD388" t="s">
        <v>7465</v>
      </c>
      <c r="AE388" t="s">
        <v>7466</v>
      </c>
      <c r="AF388" t="s">
        <v>74</v>
      </c>
      <c r="AG388">
        <v>32</v>
      </c>
      <c r="AH388">
        <v>26</v>
      </c>
      <c r="AI388">
        <v>28</v>
      </c>
      <c r="AJ388">
        <v>2</v>
      </c>
      <c r="AK388">
        <v>22</v>
      </c>
      <c r="AL388" t="s">
        <v>813</v>
      </c>
      <c r="AM388" t="s">
        <v>413</v>
      </c>
      <c r="AN388" t="s">
        <v>7426</v>
      </c>
      <c r="AO388" t="s">
        <v>7427</v>
      </c>
      <c r="AP388" t="s">
        <v>7428</v>
      </c>
      <c r="AQ388" t="s">
        <v>74</v>
      </c>
      <c r="AR388" t="s">
        <v>7429</v>
      </c>
      <c r="AS388" t="s">
        <v>7430</v>
      </c>
      <c r="AT388" t="s">
        <v>7122</v>
      </c>
      <c r="AU388">
        <v>2011</v>
      </c>
      <c r="AV388">
        <v>23</v>
      </c>
      <c r="AW388">
        <v>6</v>
      </c>
      <c r="AX388" t="s">
        <v>74</v>
      </c>
      <c r="AY388" t="s">
        <v>74</v>
      </c>
      <c r="AZ388" t="s">
        <v>74</v>
      </c>
      <c r="BA388" t="s">
        <v>74</v>
      </c>
      <c r="BB388">
        <v>549</v>
      </c>
      <c r="BC388">
        <v>555</v>
      </c>
      <c r="BD388" t="s">
        <v>74</v>
      </c>
      <c r="BE388" t="s">
        <v>7467</v>
      </c>
      <c r="BF388" t="str">
        <f>HYPERLINK("http://dx.doi.org/10.1017/S0954102011000393","http://dx.doi.org/10.1017/S0954102011000393")</f>
        <v>http://dx.doi.org/10.1017/S0954102011000393</v>
      </c>
      <c r="BG388" t="s">
        <v>74</v>
      </c>
      <c r="BH388" t="s">
        <v>74</v>
      </c>
      <c r="BI388">
        <v>7</v>
      </c>
      <c r="BJ388" t="s">
        <v>7432</v>
      </c>
      <c r="BK388" t="s">
        <v>100</v>
      </c>
      <c r="BL388" t="s">
        <v>2855</v>
      </c>
      <c r="BM388" t="s">
        <v>7433</v>
      </c>
      <c r="BN388" t="s">
        <v>74</v>
      </c>
      <c r="BO388" t="s">
        <v>74</v>
      </c>
      <c r="BP388" t="s">
        <v>74</v>
      </c>
      <c r="BQ388" t="s">
        <v>74</v>
      </c>
      <c r="BR388" t="s">
        <v>102</v>
      </c>
      <c r="BS388" t="s">
        <v>7468</v>
      </c>
      <c r="BT388" t="str">
        <f>HYPERLINK("https%3A%2F%2Fwww.webofscience.com%2Fwos%2Fwoscc%2Ffull-record%2FWOS:000298286200005","View Full Record in Web of Science")</f>
        <v>View Full Record in Web of Science</v>
      </c>
    </row>
    <row r="389" spans="1:72" x14ac:dyDescent="0.15">
      <c r="A389" t="s">
        <v>72</v>
      </c>
      <c r="B389" t="s">
        <v>7469</v>
      </c>
      <c r="C389" t="s">
        <v>74</v>
      </c>
      <c r="D389" t="s">
        <v>74</v>
      </c>
      <c r="E389" t="s">
        <v>74</v>
      </c>
      <c r="F389" t="s">
        <v>7470</v>
      </c>
      <c r="G389" t="s">
        <v>74</v>
      </c>
      <c r="H389" t="s">
        <v>74</v>
      </c>
      <c r="I389" t="s">
        <v>7471</v>
      </c>
      <c r="J389" t="s">
        <v>7417</v>
      </c>
      <c r="K389" t="s">
        <v>74</v>
      </c>
      <c r="L389" t="s">
        <v>74</v>
      </c>
      <c r="M389" t="s">
        <v>78</v>
      </c>
      <c r="N389" t="s">
        <v>79</v>
      </c>
      <c r="O389" t="s">
        <v>74</v>
      </c>
      <c r="P389" t="s">
        <v>74</v>
      </c>
      <c r="Q389" t="s">
        <v>74</v>
      </c>
      <c r="R389" t="s">
        <v>74</v>
      </c>
      <c r="S389" t="s">
        <v>74</v>
      </c>
      <c r="T389" t="s">
        <v>7472</v>
      </c>
      <c r="U389" t="s">
        <v>7473</v>
      </c>
      <c r="V389" t="s">
        <v>7474</v>
      </c>
      <c r="W389" t="s">
        <v>7475</v>
      </c>
      <c r="X389" t="s">
        <v>7476</v>
      </c>
      <c r="Y389" t="s">
        <v>7477</v>
      </c>
      <c r="Z389" t="s">
        <v>7478</v>
      </c>
      <c r="AA389" t="s">
        <v>74</v>
      </c>
      <c r="AB389" t="s">
        <v>7479</v>
      </c>
      <c r="AC389" t="s">
        <v>7480</v>
      </c>
      <c r="AD389" t="s">
        <v>7481</v>
      </c>
      <c r="AE389" t="s">
        <v>7482</v>
      </c>
      <c r="AF389" t="s">
        <v>74</v>
      </c>
      <c r="AG389">
        <v>38</v>
      </c>
      <c r="AH389">
        <v>14</v>
      </c>
      <c r="AI389">
        <v>15</v>
      </c>
      <c r="AJ389">
        <v>2</v>
      </c>
      <c r="AK389">
        <v>38</v>
      </c>
      <c r="AL389" t="s">
        <v>813</v>
      </c>
      <c r="AM389" t="s">
        <v>413</v>
      </c>
      <c r="AN389" t="s">
        <v>7426</v>
      </c>
      <c r="AO389" t="s">
        <v>7427</v>
      </c>
      <c r="AP389" t="s">
        <v>74</v>
      </c>
      <c r="AQ389" t="s">
        <v>74</v>
      </c>
      <c r="AR389" t="s">
        <v>7429</v>
      </c>
      <c r="AS389" t="s">
        <v>7430</v>
      </c>
      <c r="AT389" t="s">
        <v>7122</v>
      </c>
      <c r="AU389">
        <v>2011</v>
      </c>
      <c r="AV389">
        <v>23</v>
      </c>
      <c r="AW389">
        <v>6</v>
      </c>
      <c r="AX389" t="s">
        <v>74</v>
      </c>
      <c r="AY389" t="s">
        <v>74</v>
      </c>
      <c r="AZ389" t="s">
        <v>74</v>
      </c>
      <c r="BA389" t="s">
        <v>74</v>
      </c>
      <c r="BB389">
        <v>578</v>
      </c>
      <c r="BC389">
        <v>588</v>
      </c>
      <c r="BD389" t="s">
        <v>74</v>
      </c>
      <c r="BE389" t="s">
        <v>7483</v>
      </c>
      <c r="BF389" t="str">
        <f>HYPERLINK("http://dx.doi.org/10.1017/S0954102011000563","http://dx.doi.org/10.1017/S0954102011000563")</f>
        <v>http://dx.doi.org/10.1017/S0954102011000563</v>
      </c>
      <c r="BG389" t="s">
        <v>74</v>
      </c>
      <c r="BH389" t="s">
        <v>74</v>
      </c>
      <c r="BI389">
        <v>11</v>
      </c>
      <c r="BJ389" t="s">
        <v>7432</v>
      </c>
      <c r="BK389" t="s">
        <v>100</v>
      </c>
      <c r="BL389" t="s">
        <v>2855</v>
      </c>
      <c r="BM389" t="s">
        <v>7433</v>
      </c>
      <c r="BN389" t="s">
        <v>74</v>
      </c>
      <c r="BO389" t="s">
        <v>74</v>
      </c>
      <c r="BP389" t="s">
        <v>74</v>
      </c>
      <c r="BQ389" t="s">
        <v>74</v>
      </c>
      <c r="BR389" t="s">
        <v>102</v>
      </c>
      <c r="BS389" t="s">
        <v>7484</v>
      </c>
      <c r="BT389" t="str">
        <f>HYPERLINK("https%3A%2F%2Fwww.webofscience.com%2Fwos%2Fwoscc%2Ffull-record%2FWOS:000298286200008","View Full Record in Web of Science")</f>
        <v>View Full Record in Web of Science</v>
      </c>
    </row>
    <row r="390" spans="1:72" x14ac:dyDescent="0.15">
      <c r="A390" t="s">
        <v>72</v>
      </c>
      <c r="B390" t="s">
        <v>7485</v>
      </c>
      <c r="C390" t="s">
        <v>74</v>
      </c>
      <c r="D390" t="s">
        <v>74</v>
      </c>
      <c r="E390" t="s">
        <v>74</v>
      </c>
      <c r="F390" t="s">
        <v>7486</v>
      </c>
      <c r="G390" t="s">
        <v>74</v>
      </c>
      <c r="H390" t="s">
        <v>74</v>
      </c>
      <c r="I390" t="s">
        <v>7487</v>
      </c>
      <c r="J390" t="s">
        <v>7417</v>
      </c>
      <c r="K390" t="s">
        <v>74</v>
      </c>
      <c r="L390" t="s">
        <v>74</v>
      </c>
      <c r="M390" t="s">
        <v>78</v>
      </c>
      <c r="N390" t="s">
        <v>79</v>
      </c>
      <c r="O390" t="s">
        <v>74</v>
      </c>
      <c r="P390" t="s">
        <v>74</v>
      </c>
      <c r="Q390" t="s">
        <v>74</v>
      </c>
      <c r="R390" t="s">
        <v>74</v>
      </c>
      <c r="S390" t="s">
        <v>74</v>
      </c>
      <c r="T390" t="s">
        <v>7488</v>
      </c>
      <c r="U390" t="s">
        <v>7489</v>
      </c>
      <c r="V390" t="s">
        <v>7490</v>
      </c>
      <c r="W390" t="s">
        <v>7491</v>
      </c>
      <c r="X390" t="s">
        <v>7492</v>
      </c>
      <c r="Y390" t="s">
        <v>7493</v>
      </c>
      <c r="Z390" t="s">
        <v>7494</v>
      </c>
      <c r="AA390" t="s">
        <v>7495</v>
      </c>
      <c r="AB390" t="s">
        <v>7496</v>
      </c>
      <c r="AC390" t="s">
        <v>7497</v>
      </c>
      <c r="AD390" t="s">
        <v>7498</v>
      </c>
      <c r="AE390" t="s">
        <v>7499</v>
      </c>
      <c r="AF390" t="s">
        <v>74</v>
      </c>
      <c r="AG390">
        <v>29</v>
      </c>
      <c r="AH390">
        <v>3</v>
      </c>
      <c r="AI390">
        <v>5</v>
      </c>
      <c r="AJ390">
        <v>1</v>
      </c>
      <c r="AK390">
        <v>16</v>
      </c>
      <c r="AL390" t="s">
        <v>813</v>
      </c>
      <c r="AM390" t="s">
        <v>413</v>
      </c>
      <c r="AN390" t="s">
        <v>7426</v>
      </c>
      <c r="AO390" t="s">
        <v>7427</v>
      </c>
      <c r="AP390" t="s">
        <v>7428</v>
      </c>
      <c r="AQ390" t="s">
        <v>74</v>
      </c>
      <c r="AR390" t="s">
        <v>7429</v>
      </c>
      <c r="AS390" t="s">
        <v>7430</v>
      </c>
      <c r="AT390" t="s">
        <v>7122</v>
      </c>
      <c r="AU390">
        <v>2011</v>
      </c>
      <c r="AV390">
        <v>23</v>
      </c>
      <c r="AW390">
        <v>6</v>
      </c>
      <c r="AX390" t="s">
        <v>74</v>
      </c>
      <c r="AY390" t="s">
        <v>74</v>
      </c>
      <c r="AZ390" t="s">
        <v>74</v>
      </c>
      <c r="BA390" t="s">
        <v>74</v>
      </c>
      <c r="BB390">
        <v>589</v>
      </c>
      <c r="BC390">
        <v>596</v>
      </c>
      <c r="BD390" t="s">
        <v>74</v>
      </c>
      <c r="BE390" t="s">
        <v>7500</v>
      </c>
      <c r="BF390" t="str">
        <f>HYPERLINK("http://dx.doi.org/10.1017/S0954102011000411","http://dx.doi.org/10.1017/S0954102011000411")</f>
        <v>http://dx.doi.org/10.1017/S0954102011000411</v>
      </c>
      <c r="BG390" t="s">
        <v>74</v>
      </c>
      <c r="BH390" t="s">
        <v>74</v>
      </c>
      <c r="BI390">
        <v>8</v>
      </c>
      <c r="BJ390" t="s">
        <v>7432</v>
      </c>
      <c r="BK390" t="s">
        <v>100</v>
      </c>
      <c r="BL390" t="s">
        <v>2855</v>
      </c>
      <c r="BM390" t="s">
        <v>7433</v>
      </c>
      <c r="BN390" t="s">
        <v>74</v>
      </c>
      <c r="BO390" t="s">
        <v>74</v>
      </c>
      <c r="BP390" t="s">
        <v>74</v>
      </c>
      <c r="BQ390" t="s">
        <v>74</v>
      </c>
      <c r="BR390" t="s">
        <v>102</v>
      </c>
      <c r="BS390" t="s">
        <v>7501</v>
      </c>
      <c r="BT390" t="str">
        <f>HYPERLINK("https%3A%2F%2Fwww.webofscience.com%2Fwos%2Fwoscc%2Ffull-record%2FWOS:000298286200009","View Full Record in Web of Science")</f>
        <v>View Full Record in Web of Science</v>
      </c>
    </row>
    <row r="391" spans="1:72" x14ac:dyDescent="0.15">
      <c r="A391" t="s">
        <v>72</v>
      </c>
      <c r="B391" t="s">
        <v>7502</v>
      </c>
      <c r="C391" t="s">
        <v>74</v>
      </c>
      <c r="D391" t="s">
        <v>74</v>
      </c>
      <c r="E391" t="s">
        <v>74</v>
      </c>
      <c r="F391" t="s">
        <v>7503</v>
      </c>
      <c r="G391" t="s">
        <v>74</v>
      </c>
      <c r="H391" t="s">
        <v>74</v>
      </c>
      <c r="I391" t="s">
        <v>7504</v>
      </c>
      <c r="J391" t="s">
        <v>7417</v>
      </c>
      <c r="K391" t="s">
        <v>74</v>
      </c>
      <c r="L391" t="s">
        <v>74</v>
      </c>
      <c r="M391" t="s">
        <v>78</v>
      </c>
      <c r="N391" t="s">
        <v>79</v>
      </c>
      <c r="O391" t="s">
        <v>74</v>
      </c>
      <c r="P391" t="s">
        <v>74</v>
      </c>
      <c r="Q391" t="s">
        <v>74</v>
      </c>
      <c r="R391" t="s">
        <v>74</v>
      </c>
      <c r="S391" t="s">
        <v>74</v>
      </c>
      <c r="T391" t="s">
        <v>7505</v>
      </c>
      <c r="U391" t="s">
        <v>7506</v>
      </c>
      <c r="V391" t="s">
        <v>7507</v>
      </c>
      <c r="W391" t="s">
        <v>7508</v>
      </c>
      <c r="X391" t="s">
        <v>7509</v>
      </c>
      <c r="Y391" t="s">
        <v>7510</v>
      </c>
      <c r="Z391" t="s">
        <v>7511</v>
      </c>
      <c r="AA391" t="s">
        <v>74</v>
      </c>
      <c r="AB391" t="s">
        <v>7512</v>
      </c>
      <c r="AC391" t="s">
        <v>7513</v>
      </c>
      <c r="AD391" t="s">
        <v>7514</v>
      </c>
      <c r="AE391" t="s">
        <v>7515</v>
      </c>
      <c r="AF391" t="s">
        <v>74</v>
      </c>
      <c r="AG391">
        <v>28</v>
      </c>
      <c r="AH391">
        <v>3</v>
      </c>
      <c r="AI391">
        <v>4</v>
      </c>
      <c r="AJ391">
        <v>0</v>
      </c>
      <c r="AK391">
        <v>22</v>
      </c>
      <c r="AL391" t="s">
        <v>813</v>
      </c>
      <c r="AM391" t="s">
        <v>413</v>
      </c>
      <c r="AN391" t="s">
        <v>7426</v>
      </c>
      <c r="AO391" t="s">
        <v>7427</v>
      </c>
      <c r="AP391" t="s">
        <v>7428</v>
      </c>
      <c r="AQ391" t="s">
        <v>74</v>
      </c>
      <c r="AR391" t="s">
        <v>7429</v>
      </c>
      <c r="AS391" t="s">
        <v>7430</v>
      </c>
      <c r="AT391" t="s">
        <v>7122</v>
      </c>
      <c r="AU391">
        <v>2011</v>
      </c>
      <c r="AV391">
        <v>23</v>
      </c>
      <c r="AW391">
        <v>6</v>
      </c>
      <c r="AX391" t="s">
        <v>74</v>
      </c>
      <c r="AY391" t="s">
        <v>74</v>
      </c>
      <c r="AZ391" t="s">
        <v>74</v>
      </c>
      <c r="BA391" t="s">
        <v>74</v>
      </c>
      <c r="BB391">
        <v>597</v>
      </c>
      <c r="BC391">
        <v>604</v>
      </c>
      <c r="BD391" t="s">
        <v>74</v>
      </c>
      <c r="BE391" t="s">
        <v>7516</v>
      </c>
      <c r="BF391" t="str">
        <f>HYPERLINK("http://dx.doi.org/10.1017/S0954102011000605","http://dx.doi.org/10.1017/S0954102011000605")</f>
        <v>http://dx.doi.org/10.1017/S0954102011000605</v>
      </c>
      <c r="BG391" t="s">
        <v>74</v>
      </c>
      <c r="BH391" t="s">
        <v>74</v>
      </c>
      <c r="BI391">
        <v>8</v>
      </c>
      <c r="BJ391" t="s">
        <v>7432</v>
      </c>
      <c r="BK391" t="s">
        <v>100</v>
      </c>
      <c r="BL391" t="s">
        <v>2855</v>
      </c>
      <c r="BM391" t="s">
        <v>7433</v>
      </c>
      <c r="BN391" t="s">
        <v>74</v>
      </c>
      <c r="BO391" t="s">
        <v>74</v>
      </c>
      <c r="BP391" t="s">
        <v>74</v>
      </c>
      <c r="BQ391" t="s">
        <v>74</v>
      </c>
      <c r="BR391" t="s">
        <v>102</v>
      </c>
      <c r="BS391" t="s">
        <v>7517</v>
      </c>
      <c r="BT391" t="str">
        <f>HYPERLINK("https%3A%2F%2Fwww.webofscience.com%2Fwos%2Fwoscc%2Ffull-record%2FWOS:000298286200010","View Full Record in Web of Science")</f>
        <v>View Full Record in Web of Science</v>
      </c>
    </row>
    <row r="392" spans="1:72" x14ac:dyDescent="0.15">
      <c r="A392" t="s">
        <v>72</v>
      </c>
      <c r="B392" t="s">
        <v>7518</v>
      </c>
      <c r="C392" t="s">
        <v>74</v>
      </c>
      <c r="D392" t="s">
        <v>74</v>
      </c>
      <c r="E392" t="s">
        <v>74</v>
      </c>
      <c r="F392" t="s">
        <v>7519</v>
      </c>
      <c r="G392" t="s">
        <v>74</v>
      </c>
      <c r="H392" t="s">
        <v>74</v>
      </c>
      <c r="I392" t="s">
        <v>7520</v>
      </c>
      <c r="J392" t="s">
        <v>7417</v>
      </c>
      <c r="K392" t="s">
        <v>74</v>
      </c>
      <c r="L392" t="s">
        <v>74</v>
      </c>
      <c r="M392" t="s">
        <v>78</v>
      </c>
      <c r="N392" t="s">
        <v>79</v>
      </c>
      <c r="O392" t="s">
        <v>74</v>
      </c>
      <c r="P392" t="s">
        <v>74</v>
      </c>
      <c r="Q392" t="s">
        <v>74</v>
      </c>
      <c r="R392" t="s">
        <v>74</v>
      </c>
      <c r="S392" t="s">
        <v>74</v>
      </c>
      <c r="T392" t="s">
        <v>74</v>
      </c>
      <c r="U392" t="s">
        <v>7521</v>
      </c>
      <c r="V392" t="s">
        <v>74</v>
      </c>
      <c r="W392" t="s">
        <v>7522</v>
      </c>
      <c r="X392" t="s">
        <v>7523</v>
      </c>
      <c r="Y392" t="s">
        <v>7524</v>
      </c>
      <c r="Z392" t="s">
        <v>7525</v>
      </c>
      <c r="AA392" t="s">
        <v>7526</v>
      </c>
      <c r="AB392" t="s">
        <v>7527</v>
      </c>
      <c r="AC392" t="s">
        <v>74</v>
      </c>
      <c r="AD392" t="s">
        <v>74</v>
      </c>
      <c r="AE392" t="s">
        <v>74</v>
      </c>
      <c r="AF392" t="s">
        <v>74</v>
      </c>
      <c r="AG392">
        <v>10</v>
      </c>
      <c r="AH392">
        <v>11</v>
      </c>
      <c r="AI392">
        <v>12</v>
      </c>
      <c r="AJ392">
        <v>0</v>
      </c>
      <c r="AK392">
        <v>12</v>
      </c>
      <c r="AL392" t="s">
        <v>813</v>
      </c>
      <c r="AM392" t="s">
        <v>413</v>
      </c>
      <c r="AN392" t="s">
        <v>7426</v>
      </c>
      <c r="AO392" t="s">
        <v>7427</v>
      </c>
      <c r="AP392" t="s">
        <v>7428</v>
      </c>
      <c r="AQ392" t="s">
        <v>74</v>
      </c>
      <c r="AR392" t="s">
        <v>7429</v>
      </c>
      <c r="AS392" t="s">
        <v>7430</v>
      </c>
      <c r="AT392" t="s">
        <v>7122</v>
      </c>
      <c r="AU392">
        <v>2011</v>
      </c>
      <c r="AV392">
        <v>23</v>
      </c>
      <c r="AW392">
        <v>6</v>
      </c>
      <c r="AX392" t="s">
        <v>74</v>
      </c>
      <c r="AY392" t="s">
        <v>74</v>
      </c>
      <c r="AZ392" t="s">
        <v>74</v>
      </c>
      <c r="BA392" t="s">
        <v>74</v>
      </c>
      <c r="BB392">
        <v>605</v>
      </c>
      <c r="BC392">
        <v>606</v>
      </c>
      <c r="BD392" t="s">
        <v>74</v>
      </c>
      <c r="BE392" t="s">
        <v>7528</v>
      </c>
      <c r="BF392" t="str">
        <f>HYPERLINK("http://dx.doi.org/10.1017/S0954102011000526","http://dx.doi.org/10.1017/S0954102011000526")</f>
        <v>http://dx.doi.org/10.1017/S0954102011000526</v>
      </c>
      <c r="BG392" t="s">
        <v>74</v>
      </c>
      <c r="BH392" t="s">
        <v>74</v>
      </c>
      <c r="BI392">
        <v>2</v>
      </c>
      <c r="BJ392" t="s">
        <v>7432</v>
      </c>
      <c r="BK392" t="s">
        <v>100</v>
      </c>
      <c r="BL392" t="s">
        <v>2855</v>
      </c>
      <c r="BM392" t="s">
        <v>7433</v>
      </c>
      <c r="BN392" t="s">
        <v>74</v>
      </c>
      <c r="BO392" t="s">
        <v>74</v>
      </c>
      <c r="BP392" t="s">
        <v>74</v>
      </c>
      <c r="BQ392" t="s">
        <v>74</v>
      </c>
      <c r="BR392" t="s">
        <v>102</v>
      </c>
      <c r="BS392" t="s">
        <v>7529</v>
      </c>
      <c r="BT392" t="str">
        <f>HYPERLINK("https%3A%2F%2Fwww.webofscience.com%2Fwos%2Fwoscc%2Ffull-record%2FWOS:000298286200011","View Full Record in Web of Science")</f>
        <v>View Full Record in Web of Science</v>
      </c>
    </row>
    <row r="393" spans="1:72" x14ac:dyDescent="0.15">
      <c r="A393" t="s">
        <v>72</v>
      </c>
      <c r="B393" t="s">
        <v>7530</v>
      </c>
      <c r="C393" t="s">
        <v>74</v>
      </c>
      <c r="D393" t="s">
        <v>74</v>
      </c>
      <c r="E393" t="s">
        <v>74</v>
      </c>
      <c r="F393" t="s">
        <v>7531</v>
      </c>
      <c r="G393" t="s">
        <v>74</v>
      </c>
      <c r="H393" t="s">
        <v>74</v>
      </c>
      <c r="I393" t="s">
        <v>7532</v>
      </c>
      <c r="J393" t="s">
        <v>7417</v>
      </c>
      <c r="K393" t="s">
        <v>74</v>
      </c>
      <c r="L393" t="s">
        <v>74</v>
      </c>
      <c r="M393" t="s">
        <v>78</v>
      </c>
      <c r="N393" t="s">
        <v>79</v>
      </c>
      <c r="O393" t="s">
        <v>74</v>
      </c>
      <c r="P393" t="s">
        <v>74</v>
      </c>
      <c r="Q393" t="s">
        <v>74</v>
      </c>
      <c r="R393" t="s">
        <v>74</v>
      </c>
      <c r="S393" t="s">
        <v>74</v>
      </c>
      <c r="T393" t="s">
        <v>7533</v>
      </c>
      <c r="U393" t="s">
        <v>7534</v>
      </c>
      <c r="V393" t="s">
        <v>7535</v>
      </c>
      <c r="W393" t="s">
        <v>7536</v>
      </c>
      <c r="X393" t="s">
        <v>7537</v>
      </c>
      <c r="Y393" t="s">
        <v>7538</v>
      </c>
      <c r="Z393" t="s">
        <v>7539</v>
      </c>
      <c r="AA393" t="s">
        <v>7540</v>
      </c>
      <c r="AB393" t="s">
        <v>7541</v>
      </c>
      <c r="AC393" t="s">
        <v>7542</v>
      </c>
      <c r="AD393" t="s">
        <v>7543</v>
      </c>
      <c r="AE393" t="s">
        <v>7544</v>
      </c>
      <c r="AF393" t="s">
        <v>74</v>
      </c>
      <c r="AG393">
        <v>38</v>
      </c>
      <c r="AH393">
        <v>28</v>
      </c>
      <c r="AI393">
        <v>36</v>
      </c>
      <c r="AJ393">
        <v>1</v>
      </c>
      <c r="AK393">
        <v>50</v>
      </c>
      <c r="AL393" t="s">
        <v>813</v>
      </c>
      <c r="AM393" t="s">
        <v>413</v>
      </c>
      <c r="AN393" t="s">
        <v>7426</v>
      </c>
      <c r="AO393" t="s">
        <v>7427</v>
      </c>
      <c r="AP393" t="s">
        <v>7428</v>
      </c>
      <c r="AQ393" t="s">
        <v>74</v>
      </c>
      <c r="AR393" t="s">
        <v>7429</v>
      </c>
      <c r="AS393" t="s">
        <v>7430</v>
      </c>
      <c r="AT393" t="s">
        <v>7122</v>
      </c>
      <c r="AU393">
        <v>2011</v>
      </c>
      <c r="AV393">
        <v>23</v>
      </c>
      <c r="AW393">
        <v>6</v>
      </c>
      <c r="AX393" t="s">
        <v>74</v>
      </c>
      <c r="AY393" t="s">
        <v>74</v>
      </c>
      <c r="AZ393" t="s">
        <v>74</v>
      </c>
      <c r="BA393" t="s">
        <v>74</v>
      </c>
      <c r="BB393">
        <v>607</v>
      </c>
      <c r="BC393">
        <v>613</v>
      </c>
      <c r="BD393" t="s">
        <v>74</v>
      </c>
      <c r="BE393" t="s">
        <v>7545</v>
      </c>
      <c r="BF393" t="str">
        <f>HYPERLINK("http://dx.doi.org/10.1017/S0954102011000551","http://dx.doi.org/10.1017/S0954102011000551")</f>
        <v>http://dx.doi.org/10.1017/S0954102011000551</v>
      </c>
      <c r="BG393" t="s">
        <v>74</v>
      </c>
      <c r="BH393" t="s">
        <v>74</v>
      </c>
      <c r="BI393">
        <v>7</v>
      </c>
      <c r="BJ393" t="s">
        <v>7432</v>
      </c>
      <c r="BK393" t="s">
        <v>100</v>
      </c>
      <c r="BL393" t="s">
        <v>2855</v>
      </c>
      <c r="BM393" t="s">
        <v>7433</v>
      </c>
      <c r="BN393" t="s">
        <v>74</v>
      </c>
      <c r="BO393" t="s">
        <v>74</v>
      </c>
      <c r="BP393" t="s">
        <v>74</v>
      </c>
      <c r="BQ393" t="s">
        <v>74</v>
      </c>
      <c r="BR393" t="s">
        <v>102</v>
      </c>
      <c r="BS393" t="s">
        <v>7546</v>
      </c>
      <c r="BT393" t="str">
        <f>HYPERLINK("https%3A%2F%2Fwww.webofscience.com%2Fwos%2Fwoscc%2Ffull-record%2FWOS:000298286200012","View Full Record in Web of Science")</f>
        <v>View Full Record in Web of Science</v>
      </c>
    </row>
    <row r="394" spans="1:72" x14ac:dyDescent="0.15">
      <c r="A394" t="s">
        <v>72</v>
      </c>
      <c r="B394" t="s">
        <v>7547</v>
      </c>
      <c r="C394" t="s">
        <v>74</v>
      </c>
      <c r="D394" t="s">
        <v>74</v>
      </c>
      <c r="E394" t="s">
        <v>74</v>
      </c>
      <c r="F394" t="s">
        <v>7548</v>
      </c>
      <c r="G394" t="s">
        <v>74</v>
      </c>
      <c r="H394" t="s">
        <v>74</v>
      </c>
      <c r="I394" t="s">
        <v>7549</v>
      </c>
      <c r="J394" t="s">
        <v>7417</v>
      </c>
      <c r="K394" t="s">
        <v>74</v>
      </c>
      <c r="L394" t="s">
        <v>74</v>
      </c>
      <c r="M394" t="s">
        <v>78</v>
      </c>
      <c r="N394" t="s">
        <v>79</v>
      </c>
      <c r="O394" t="s">
        <v>74</v>
      </c>
      <c r="P394" t="s">
        <v>74</v>
      </c>
      <c r="Q394" t="s">
        <v>74</v>
      </c>
      <c r="R394" t="s">
        <v>74</v>
      </c>
      <c r="S394" t="s">
        <v>74</v>
      </c>
      <c r="T394" t="s">
        <v>7550</v>
      </c>
      <c r="U394" t="s">
        <v>7551</v>
      </c>
      <c r="V394" t="s">
        <v>7552</v>
      </c>
      <c r="W394" t="s">
        <v>7553</v>
      </c>
      <c r="X394" t="s">
        <v>5638</v>
      </c>
      <c r="Y394" t="s">
        <v>7554</v>
      </c>
      <c r="Z394" t="s">
        <v>7555</v>
      </c>
      <c r="AA394" t="s">
        <v>7556</v>
      </c>
      <c r="AB394" t="s">
        <v>7557</v>
      </c>
      <c r="AC394" t="s">
        <v>7558</v>
      </c>
      <c r="AD394" t="s">
        <v>7559</v>
      </c>
      <c r="AE394" t="s">
        <v>7560</v>
      </c>
      <c r="AF394" t="s">
        <v>74</v>
      </c>
      <c r="AG394">
        <v>29</v>
      </c>
      <c r="AH394">
        <v>12</v>
      </c>
      <c r="AI394">
        <v>12</v>
      </c>
      <c r="AJ394">
        <v>0</v>
      </c>
      <c r="AK394">
        <v>13</v>
      </c>
      <c r="AL394" t="s">
        <v>813</v>
      </c>
      <c r="AM394" t="s">
        <v>413</v>
      </c>
      <c r="AN394" t="s">
        <v>7426</v>
      </c>
      <c r="AO394" t="s">
        <v>7427</v>
      </c>
      <c r="AP394" t="s">
        <v>7428</v>
      </c>
      <c r="AQ394" t="s">
        <v>74</v>
      </c>
      <c r="AR394" t="s">
        <v>7429</v>
      </c>
      <c r="AS394" t="s">
        <v>7430</v>
      </c>
      <c r="AT394" t="s">
        <v>7122</v>
      </c>
      <c r="AU394">
        <v>2011</v>
      </c>
      <c r="AV394">
        <v>23</v>
      </c>
      <c r="AW394">
        <v>6</v>
      </c>
      <c r="AX394" t="s">
        <v>74</v>
      </c>
      <c r="AY394" t="s">
        <v>74</v>
      </c>
      <c r="AZ394" t="s">
        <v>74</v>
      </c>
      <c r="BA394" t="s">
        <v>74</v>
      </c>
      <c r="BB394">
        <v>614</v>
      </c>
      <c r="BC394">
        <v>622</v>
      </c>
      <c r="BD394" t="s">
        <v>74</v>
      </c>
      <c r="BE394" t="s">
        <v>7561</v>
      </c>
      <c r="BF394" t="str">
        <f>HYPERLINK("http://dx.doi.org/10.1017/S0954102011000423","http://dx.doi.org/10.1017/S0954102011000423")</f>
        <v>http://dx.doi.org/10.1017/S0954102011000423</v>
      </c>
      <c r="BG394" t="s">
        <v>74</v>
      </c>
      <c r="BH394" t="s">
        <v>74</v>
      </c>
      <c r="BI394">
        <v>9</v>
      </c>
      <c r="BJ394" t="s">
        <v>7432</v>
      </c>
      <c r="BK394" t="s">
        <v>100</v>
      </c>
      <c r="BL394" t="s">
        <v>2855</v>
      </c>
      <c r="BM394" t="s">
        <v>7433</v>
      </c>
      <c r="BN394" t="s">
        <v>74</v>
      </c>
      <c r="BO394" t="s">
        <v>74</v>
      </c>
      <c r="BP394" t="s">
        <v>74</v>
      </c>
      <c r="BQ394" t="s">
        <v>74</v>
      </c>
      <c r="BR394" t="s">
        <v>102</v>
      </c>
      <c r="BS394" t="s">
        <v>7562</v>
      </c>
      <c r="BT394" t="str">
        <f>HYPERLINK("https%3A%2F%2Fwww.webofscience.com%2Fwos%2Fwoscc%2Ffull-record%2FWOS:000298286200013","View Full Record in Web of Science")</f>
        <v>View Full Record in Web of Science</v>
      </c>
    </row>
    <row r="395" spans="1:72" x14ac:dyDescent="0.15">
      <c r="A395" t="s">
        <v>72</v>
      </c>
      <c r="B395" t="s">
        <v>7563</v>
      </c>
      <c r="C395" t="s">
        <v>74</v>
      </c>
      <c r="D395" t="s">
        <v>74</v>
      </c>
      <c r="E395" t="s">
        <v>74</v>
      </c>
      <c r="F395" t="s">
        <v>7564</v>
      </c>
      <c r="G395" t="s">
        <v>74</v>
      </c>
      <c r="H395" t="s">
        <v>74</v>
      </c>
      <c r="I395" t="s">
        <v>7565</v>
      </c>
      <c r="J395" t="s">
        <v>7417</v>
      </c>
      <c r="K395" t="s">
        <v>74</v>
      </c>
      <c r="L395" t="s">
        <v>74</v>
      </c>
      <c r="M395" t="s">
        <v>78</v>
      </c>
      <c r="N395" t="s">
        <v>79</v>
      </c>
      <c r="O395" t="s">
        <v>74</v>
      </c>
      <c r="P395" t="s">
        <v>74</v>
      </c>
      <c r="Q395" t="s">
        <v>74</v>
      </c>
      <c r="R395" t="s">
        <v>74</v>
      </c>
      <c r="S395" t="s">
        <v>74</v>
      </c>
      <c r="T395" t="s">
        <v>7566</v>
      </c>
      <c r="U395" t="s">
        <v>7567</v>
      </c>
      <c r="V395" t="s">
        <v>7568</v>
      </c>
      <c r="W395" t="s">
        <v>7569</v>
      </c>
      <c r="X395" t="s">
        <v>7570</v>
      </c>
      <c r="Y395" t="s">
        <v>7571</v>
      </c>
      <c r="Z395" t="s">
        <v>7572</v>
      </c>
      <c r="AA395" t="s">
        <v>74</v>
      </c>
      <c r="AB395" t="s">
        <v>7573</v>
      </c>
      <c r="AC395" t="s">
        <v>7574</v>
      </c>
      <c r="AD395" t="s">
        <v>3884</v>
      </c>
      <c r="AE395" t="s">
        <v>74</v>
      </c>
      <c r="AF395" t="s">
        <v>74</v>
      </c>
      <c r="AG395">
        <v>21</v>
      </c>
      <c r="AH395">
        <v>2</v>
      </c>
      <c r="AI395">
        <v>2</v>
      </c>
      <c r="AJ395">
        <v>0</v>
      </c>
      <c r="AK395">
        <v>17</v>
      </c>
      <c r="AL395" t="s">
        <v>813</v>
      </c>
      <c r="AM395" t="s">
        <v>413</v>
      </c>
      <c r="AN395" t="s">
        <v>7426</v>
      </c>
      <c r="AO395" t="s">
        <v>7427</v>
      </c>
      <c r="AP395" t="s">
        <v>7428</v>
      </c>
      <c r="AQ395" t="s">
        <v>74</v>
      </c>
      <c r="AR395" t="s">
        <v>7429</v>
      </c>
      <c r="AS395" t="s">
        <v>7430</v>
      </c>
      <c r="AT395" t="s">
        <v>7122</v>
      </c>
      <c r="AU395">
        <v>2011</v>
      </c>
      <c r="AV395">
        <v>23</v>
      </c>
      <c r="AW395">
        <v>6</v>
      </c>
      <c r="AX395" t="s">
        <v>74</v>
      </c>
      <c r="AY395" t="s">
        <v>74</v>
      </c>
      <c r="AZ395" t="s">
        <v>74</v>
      </c>
      <c r="BA395" t="s">
        <v>74</v>
      </c>
      <c r="BB395">
        <v>623</v>
      </c>
      <c r="BC395">
        <v>628</v>
      </c>
      <c r="BD395" t="s">
        <v>74</v>
      </c>
      <c r="BE395" t="s">
        <v>7575</v>
      </c>
      <c r="BF395" t="str">
        <f>HYPERLINK("http://dx.doi.org/10.1017/S0954102011000459","http://dx.doi.org/10.1017/S0954102011000459")</f>
        <v>http://dx.doi.org/10.1017/S0954102011000459</v>
      </c>
      <c r="BG395" t="s">
        <v>74</v>
      </c>
      <c r="BH395" t="s">
        <v>74</v>
      </c>
      <c r="BI395">
        <v>6</v>
      </c>
      <c r="BJ395" t="s">
        <v>7432</v>
      </c>
      <c r="BK395" t="s">
        <v>100</v>
      </c>
      <c r="BL395" t="s">
        <v>2855</v>
      </c>
      <c r="BM395" t="s">
        <v>7433</v>
      </c>
      <c r="BN395" t="s">
        <v>74</v>
      </c>
      <c r="BO395" t="s">
        <v>342</v>
      </c>
      <c r="BP395" t="s">
        <v>74</v>
      </c>
      <c r="BQ395" t="s">
        <v>74</v>
      </c>
      <c r="BR395" t="s">
        <v>102</v>
      </c>
      <c r="BS395" t="s">
        <v>7576</v>
      </c>
      <c r="BT395" t="str">
        <f>HYPERLINK("https%3A%2F%2Fwww.webofscience.com%2Fwos%2Fwoscc%2Ffull-record%2FWOS:000298286200014","View Full Record in Web of Science")</f>
        <v>View Full Record in Web of Science</v>
      </c>
    </row>
    <row r="396" spans="1:72" x14ac:dyDescent="0.15">
      <c r="A396" t="s">
        <v>72</v>
      </c>
      <c r="B396" t="s">
        <v>7577</v>
      </c>
      <c r="C396" t="s">
        <v>74</v>
      </c>
      <c r="D396" t="s">
        <v>74</v>
      </c>
      <c r="E396" t="s">
        <v>74</v>
      </c>
      <c r="F396" t="s">
        <v>7578</v>
      </c>
      <c r="G396" t="s">
        <v>74</v>
      </c>
      <c r="H396" t="s">
        <v>74</v>
      </c>
      <c r="I396" t="s">
        <v>7579</v>
      </c>
      <c r="J396" t="s">
        <v>7580</v>
      </c>
      <c r="K396" t="s">
        <v>74</v>
      </c>
      <c r="L396" t="s">
        <v>74</v>
      </c>
      <c r="M396" t="s">
        <v>78</v>
      </c>
      <c r="N396" t="s">
        <v>79</v>
      </c>
      <c r="O396" t="s">
        <v>74</v>
      </c>
      <c r="P396" t="s">
        <v>74</v>
      </c>
      <c r="Q396" t="s">
        <v>74</v>
      </c>
      <c r="R396" t="s">
        <v>74</v>
      </c>
      <c r="S396" t="s">
        <v>74</v>
      </c>
      <c r="T396" t="s">
        <v>74</v>
      </c>
      <c r="U396" t="s">
        <v>7581</v>
      </c>
      <c r="V396" t="s">
        <v>7582</v>
      </c>
      <c r="W396" t="s">
        <v>7583</v>
      </c>
      <c r="X396" t="s">
        <v>3449</v>
      </c>
      <c r="Y396" t="s">
        <v>7584</v>
      </c>
      <c r="Z396" t="s">
        <v>7585</v>
      </c>
      <c r="AA396" t="s">
        <v>7586</v>
      </c>
      <c r="AB396" t="s">
        <v>7587</v>
      </c>
      <c r="AC396" t="s">
        <v>74</v>
      </c>
      <c r="AD396" t="s">
        <v>74</v>
      </c>
      <c r="AE396" t="s">
        <v>74</v>
      </c>
      <c r="AF396" t="s">
        <v>74</v>
      </c>
      <c r="AG396">
        <v>77</v>
      </c>
      <c r="AH396">
        <v>9</v>
      </c>
      <c r="AI396">
        <v>9</v>
      </c>
      <c r="AJ396">
        <v>0</v>
      </c>
      <c r="AK396">
        <v>23</v>
      </c>
      <c r="AL396" t="s">
        <v>7588</v>
      </c>
      <c r="AM396" t="s">
        <v>7589</v>
      </c>
      <c r="AN396" t="s">
        <v>7590</v>
      </c>
      <c r="AO396" t="s">
        <v>7591</v>
      </c>
      <c r="AP396" t="s">
        <v>74</v>
      </c>
      <c r="AQ396" t="s">
        <v>74</v>
      </c>
      <c r="AR396" t="s">
        <v>7592</v>
      </c>
      <c r="AS396" t="s">
        <v>7593</v>
      </c>
      <c r="AT396" t="s">
        <v>7122</v>
      </c>
      <c r="AU396">
        <v>2011</v>
      </c>
      <c r="AV396">
        <v>89</v>
      </c>
      <c r="AW396">
        <v>12</v>
      </c>
      <c r="AX396" t="s">
        <v>74</v>
      </c>
      <c r="AY396" t="s">
        <v>74</v>
      </c>
      <c r="AZ396" t="s">
        <v>74</v>
      </c>
      <c r="BA396" t="s">
        <v>74</v>
      </c>
      <c r="BB396">
        <v>1195</v>
      </c>
      <c r="BC396">
        <v>1205</v>
      </c>
      <c r="BD396" t="s">
        <v>74</v>
      </c>
      <c r="BE396" t="s">
        <v>7594</v>
      </c>
      <c r="BF396" t="str">
        <f>HYPERLINK("http://dx.doi.org/10.1139/Z11-098","http://dx.doi.org/10.1139/Z11-098")</f>
        <v>http://dx.doi.org/10.1139/Z11-098</v>
      </c>
      <c r="BG396" t="s">
        <v>74</v>
      </c>
      <c r="BH396" t="s">
        <v>74</v>
      </c>
      <c r="BI396">
        <v>11</v>
      </c>
      <c r="BJ396" t="s">
        <v>2881</v>
      </c>
      <c r="BK396" t="s">
        <v>100</v>
      </c>
      <c r="BL396" t="s">
        <v>2881</v>
      </c>
      <c r="BM396" t="s">
        <v>7595</v>
      </c>
      <c r="BN396" t="s">
        <v>74</v>
      </c>
      <c r="BO396" t="s">
        <v>74</v>
      </c>
      <c r="BP396" t="s">
        <v>74</v>
      </c>
      <c r="BQ396" t="s">
        <v>74</v>
      </c>
      <c r="BR396" t="s">
        <v>102</v>
      </c>
      <c r="BS396" t="s">
        <v>7596</v>
      </c>
      <c r="BT396" t="str">
        <f>HYPERLINK("https%3A%2F%2Fwww.webofscience.com%2Fwos%2Fwoscc%2Ffull-record%2FWOS:000298441400006","View Full Record in Web of Science")</f>
        <v>View Full Record in Web of Science</v>
      </c>
    </row>
    <row r="397" spans="1:72" x14ac:dyDescent="0.15">
      <c r="A397" t="s">
        <v>72</v>
      </c>
      <c r="B397" t="s">
        <v>7597</v>
      </c>
      <c r="C397" t="s">
        <v>74</v>
      </c>
      <c r="D397" t="s">
        <v>74</v>
      </c>
      <c r="E397" t="s">
        <v>74</v>
      </c>
      <c r="F397" t="s">
        <v>7598</v>
      </c>
      <c r="G397" t="s">
        <v>74</v>
      </c>
      <c r="H397" t="s">
        <v>74</v>
      </c>
      <c r="I397" t="s">
        <v>7599</v>
      </c>
      <c r="J397" t="s">
        <v>7600</v>
      </c>
      <c r="K397" t="s">
        <v>74</v>
      </c>
      <c r="L397" t="s">
        <v>74</v>
      </c>
      <c r="M397" t="s">
        <v>78</v>
      </c>
      <c r="N397" t="s">
        <v>79</v>
      </c>
      <c r="O397" t="s">
        <v>74</v>
      </c>
      <c r="P397" t="s">
        <v>74</v>
      </c>
      <c r="Q397" t="s">
        <v>74</v>
      </c>
      <c r="R397" t="s">
        <v>74</v>
      </c>
      <c r="S397" t="s">
        <v>74</v>
      </c>
      <c r="T397" t="s">
        <v>74</v>
      </c>
      <c r="U397" t="s">
        <v>74</v>
      </c>
      <c r="V397" t="s">
        <v>7601</v>
      </c>
      <c r="W397" t="s">
        <v>7602</v>
      </c>
      <c r="X397" t="s">
        <v>7603</v>
      </c>
      <c r="Y397" t="s">
        <v>7604</v>
      </c>
      <c r="Z397" t="s">
        <v>7605</v>
      </c>
      <c r="AA397" t="s">
        <v>74</v>
      </c>
      <c r="AB397" t="s">
        <v>74</v>
      </c>
      <c r="AC397" t="s">
        <v>74</v>
      </c>
      <c r="AD397" t="s">
        <v>74</v>
      </c>
      <c r="AE397" t="s">
        <v>74</v>
      </c>
      <c r="AF397" t="s">
        <v>74</v>
      </c>
      <c r="AG397">
        <v>11</v>
      </c>
      <c r="AH397">
        <v>0</v>
      </c>
      <c r="AI397">
        <v>1</v>
      </c>
      <c r="AJ397">
        <v>0</v>
      </c>
      <c r="AK397">
        <v>38</v>
      </c>
      <c r="AL397" t="s">
        <v>155</v>
      </c>
      <c r="AM397" t="s">
        <v>156</v>
      </c>
      <c r="AN397" t="s">
        <v>157</v>
      </c>
      <c r="AO397" t="s">
        <v>7606</v>
      </c>
      <c r="AP397" t="s">
        <v>74</v>
      </c>
      <c r="AQ397" t="s">
        <v>74</v>
      </c>
      <c r="AR397" t="s">
        <v>7600</v>
      </c>
      <c r="AS397" t="s">
        <v>7607</v>
      </c>
      <c r="AT397" t="s">
        <v>7122</v>
      </c>
      <c r="AU397">
        <v>2011</v>
      </c>
      <c r="AV397">
        <v>35</v>
      </c>
      <c r="AW397">
        <v>4</v>
      </c>
      <c r="AX397" t="s">
        <v>74</v>
      </c>
      <c r="AY397" t="s">
        <v>74</v>
      </c>
      <c r="AZ397" t="s">
        <v>339</v>
      </c>
      <c r="BA397" t="s">
        <v>74</v>
      </c>
      <c r="BB397">
        <v>129</v>
      </c>
      <c r="BC397">
        <v>136</v>
      </c>
      <c r="BD397" t="s">
        <v>74</v>
      </c>
      <c r="BE397" t="s">
        <v>7608</v>
      </c>
      <c r="BF397" t="str">
        <f>HYPERLINK("http://dx.doi.org/10.1016/j.endeavour.2011.08.001","http://dx.doi.org/10.1016/j.endeavour.2011.08.001")</f>
        <v>http://dx.doi.org/10.1016/j.endeavour.2011.08.001</v>
      </c>
      <c r="BG397" t="s">
        <v>74</v>
      </c>
      <c r="BH397" t="s">
        <v>74</v>
      </c>
      <c r="BI397">
        <v>8</v>
      </c>
      <c r="BJ397" t="s">
        <v>7609</v>
      </c>
      <c r="BK397" t="s">
        <v>7610</v>
      </c>
      <c r="BL397" t="s">
        <v>7611</v>
      </c>
      <c r="BM397" t="s">
        <v>7612</v>
      </c>
      <c r="BN397">
        <v>22055019</v>
      </c>
      <c r="BO397" t="s">
        <v>74</v>
      </c>
      <c r="BP397" t="s">
        <v>74</v>
      </c>
      <c r="BQ397" t="s">
        <v>74</v>
      </c>
      <c r="BR397" t="s">
        <v>102</v>
      </c>
      <c r="BS397" t="s">
        <v>7613</v>
      </c>
      <c r="BT397" t="str">
        <f>HYPERLINK("https%3A%2F%2Fwww.webofscience.com%2Fwos%2Fwoscc%2Ffull-record%2FWOS:000298568900002","View Full Record in Web of Science")</f>
        <v>View Full Record in Web of Science</v>
      </c>
    </row>
    <row r="398" spans="1:72" x14ac:dyDescent="0.15">
      <c r="A398" t="s">
        <v>72</v>
      </c>
      <c r="B398" t="s">
        <v>7614</v>
      </c>
      <c r="C398" t="s">
        <v>74</v>
      </c>
      <c r="D398" t="s">
        <v>74</v>
      </c>
      <c r="E398" t="s">
        <v>74</v>
      </c>
      <c r="F398" t="s">
        <v>7615</v>
      </c>
      <c r="G398" t="s">
        <v>74</v>
      </c>
      <c r="H398" t="s">
        <v>74</v>
      </c>
      <c r="I398" t="s">
        <v>7616</v>
      </c>
      <c r="J398" t="s">
        <v>7600</v>
      </c>
      <c r="K398" t="s">
        <v>74</v>
      </c>
      <c r="L398" t="s">
        <v>74</v>
      </c>
      <c r="M398" t="s">
        <v>78</v>
      </c>
      <c r="N398" t="s">
        <v>79</v>
      </c>
      <c r="O398" t="s">
        <v>74</v>
      </c>
      <c r="P398" t="s">
        <v>74</v>
      </c>
      <c r="Q398" t="s">
        <v>74</v>
      </c>
      <c r="R398" t="s">
        <v>74</v>
      </c>
      <c r="S398" t="s">
        <v>74</v>
      </c>
      <c r="T398" t="s">
        <v>74</v>
      </c>
      <c r="U398" t="s">
        <v>74</v>
      </c>
      <c r="V398" t="s">
        <v>7617</v>
      </c>
      <c r="W398" t="s">
        <v>7618</v>
      </c>
      <c r="X398" t="s">
        <v>74</v>
      </c>
      <c r="Y398" t="s">
        <v>7619</v>
      </c>
      <c r="Z398" t="s">
        <v>7620</v>
      </c>
      <c r="AA398" t="s">
        <v>74</v>
      </c>
      <c r="AB398" t="s">
        <v>74</v>
      </c>
      <c r="AC398" t="s">
        <v>74</v>
      </c>
      <c r="AD398" t="s">
        <v>74</v>
      </c>
      <c r="AE398" t="s">
        <v>74</v>
      </c>
      <c r="AF398" t="s">
        <v>74</v>
      </c>
      <c r="AG398">
        <v>20</v>
      </c>
      <c r="AH398">
        <v>7</v>
      </c>
      <c r="AI398">
        <v>8</v>
      </c>
      <c r="AJ398">
        <v>0</v>
      </c>
      <c r="AK398">
        <v>31</v>
      </c>
      <c r="AL398" t="s">
        <v>155</v>
      </c>
      <c r="AM398" t="s">
        <v>156</v>
      </c>
      <c r="AN398" t="s">
        <v>157</v>
      </c>
      <c r="AO398" t="s">
        <v>7606</v>
      </c>
      <c r="AP398" t="s">
        <v>74</v>
      </c>
      <c r="AQ398" t="s">
        <v>74</v>
      </c>
      <c r="AR398" t="s">
        <v>7600</v>
      </c>
      <c r="AS398" t="s">
        <v>7607</v>
      </c>
      <c r="AT398" t="s">
        <v>7122</v>
      </c>
      <c r="AU398">
        <v>2011</v>
      </c>
      <c r="AV398">
        <v>35</v>
      </c>
      <c r="AW398">
        <v>4</v>
      </c>
      <c r="AX398" t="s">
        <v>74</v>
      </c>
      <c r="AY398" t="s">
        <v>74</v>
      </c>
      <c r="AZ398" t="s">
        <v>339</v>
      </c>
      <c r="BA398" t="s">
        <v>74</v>
      </c>
      <c r="BB398">
        <v>142</v>
      </c>
      <c r="BC398">
        <v>150</v>
      </c>
      <c r="BD398" t="s">
        <v>74</v>
      </c>
      <c r="BE398" t="s">
        <v>7621</v>
      </c>
      <c r="BF398" t="str">
        <f>HYPERLINK("http://dx.doi.org/10.1016/j.endeavour.2011.08.002","http://dx.doi.org/10.1016/j.endeavour.2011.08.002")</f>
        <v>http://dx.doi.org/10.1016/j.endeavour.2011.08.002</v>
      </c>
      <c r="BG398" t="s">
        <v>74</v>
      </c>
      <c r="BH398" t="s">
        <v>74</v>
      </c>
      <c r="BI398">
        <v>9</v>
      </c>
      <c r="BJ398" t="s">
        <v>7609</v>
      </c>
      <c r="BK398" t="s">
        <v>7610</v>
      </c>
      <c r="BL398" t="s">
        <v>7611</v>
      </c>
      <c r="BM398" t="s">
        <v>7612</v>
      </c>
      <c r="BN398">
        <v>21880370</v>
      </c>
      <c r="BO398" t="s">
        <v>74</v>
      </c>
      <c r="BP398" t="s">
        <v>74</v>
      </c>
      <c r="BQ398" t="s">
        <v>74</v>
      </c>
      <c r="BR398" t="s">
        <v>102</v>
      </c>
      <c r="BS398" t="s">
        <v>7622</v>
      </c>
      <c r="BT398" t="str">
        <f>HYPERLINK("https%3A%2F%2Fwww.webofscience.com%2Fwos%2Fwoscc%2Ffull-record%2FWOS:000298568900004","View Full Record in Web of Science")</f>
        <v>View Full Record in Web of Science</v>
      </c>
    </row>
    <row r="399" spans="1:72" x14ac:dyDescent="0.15">
      <c r="A399" t="s">
        <v>72</v>
      </c>
      <c r="B399" t="s">
        <v>7623</v>
      </c>
      <c r="C399" t="s">
        <v>74</v>
      </c>
      <c r="D399" t="s">
        <v>74</v>
      </c>
      <c r="E399" t="s">
        <v>74</v>
      </c>
      <c r="F399" t="s">
        <v>7624</v>
      </c>
      <c r="G399" t="s">
        <v>74</v>
      </c>
      <c r="H399" t="s">
        <v>74</v>
      </c>
      <c r="I399" t="s">
        <v>7625</v>
      </c>
      <c r="J399" t="s">
        <v>7600</v>
      </c>
      <c r="K399" t="s">
        <v>74</v>
      </c>
      <c r="L399" t="s">
        <v>74</v>
      </c>
      <c r="M399" t="s">
        <v>78</v>
      </c>
      <c r="N399" t="s">
        <v>79</v>
      </c>
      <c r="O399" t="s">
        <v>74</v>
      </c>
      <c r="P399" t="s">
        <v>74</v>
      </c>
      <c r="Q399" t="s">
        <v>74</v>
      </c>
      <c r="R399" t="s">
        <v>74</v>
      </c>
      <c r="S399" t="s">
        <v>74</v>
      </c>
      <c r="T399" t="s">
        <v>74</v>
      </c>
      <c r="U399" t="s">
        <v>74</v>
      </c>
      <c r="V399" t="s">
        <v>74</v>
      </c>
      <c r="W399" t="s">
        <v>74</v>
      </c>
      <c r="X399" t="s">
        <v>74</v>
      </c>
      <c r="Y399" t="s">
        <v>7626</v>
      </c>
      <c r="Z399" t="s">
        <v>7627</v>
      </c>
      <c r="AA399" t="s">
        <v>74</v>
      </c>
      <c r="AB399" t="s">
        <v>74</v>
      </c>
      <c r="AC399" t="s">
        <v>74</v>
      </c>
      <c r="AD399" t="s">
        <v>74</v>
      </c>
      <c r="AE399" t="s">
        <v>74</v>
      </c>
      <c r="AF399" t="s">
        <v>74</v>
      </c>
      <c r="AG399">
        <v>22</v>
      </c>
      <c r="AH399">
        <v>3</v>
      </c>
      <c r="AI399">
        <v>3</v>
      </c>
      <c r="AJ399">
        <v>0</v>
      </c>
      <c r="AK399">
        <v>8</v>
      </c>
      <c r="AL399" t="s">
        <v>155</v>
      </c>
      <c r="AM399" t="s">
        <v>156</v>
      </c>
      <c r="AN399" t="s">
        <v>157</v>
      </c>
      <c r="AO399" t="s">
        <v>7606</v>
      </c>
      <c r="AP399" t="s">
        <v>74</v>
      </c>
      <c r="AQ399" t="s">
        <v>74</v>
      </c>
      <c r="AR399" t="s">
        <v>7600</v>
      </c>
      <c r="AS399" t="s">
        <v>7607</v>
      </c>
      <c r="AT399" t="s">
        <v>7122</v>
      </c>
      <c r="AU399">
        <v>2011</v>
      </c>
      <c r="AV399">
        <v>35</v>
      </c>
      <c r="AW399">
        <v>4</v>
      </c>
      <c r="AX399" t="s">
        <v>74</v>
      </c>
      <c r="AY399" t="s">
        <v>74</v>
      </c>
      <c r="AZ399" t="s">
        <v>339</v>
      </c>
      <c r="BA399" t="s">
        <v>74</v>
      </c>
      <c r="BB399">
        <v>169</v>
      </c>
      <c r="BC399">
        <v>177</v>
      </c>
      <c r="BD399" t="s">
        <v>74</v>
      </c>
      <c r="BE399" t="s">
        <v>7628</v>
      </c>
      <c r="BF399" t="str">
        <f>HYPERLINK("http://dx.doi.org/10.1016/j.endeavour.2011.07.002","http://dx.doi.org/10.1016/j.endeavour.2011.07.002")</f>
        <v>http://dx.doi.org/10.1016/j.endeavour.2011.07.002</v>
      </c>
      <c r="BG399" t="s">
        <v>74</v>
      </c>
      <c r="BH399" t="s">
        <v>74</v>
      </c>
      <c r="BI399">
        <v>9</v>
      </c>
      <c r="BJ399" t="s">
        <v>7609</v>
      </c>
      <c r="BK399" t="s">
        <v>100</v>
      </c>
      <c r="BL399" t="s">
        <v>7611</v>
      </c>
      <c r="BM399" t="s">
        <v>7612</v>
      </c>
      <c r="BN399">
        <v>21835470</v>
      </c>
      <c r="BO399" t="s">
        <v>74</v>
      </c>
      <c r="BP399" t="s">
        <v>74</v>
      </c>
      <c r="BQ399" t="s">
        <v>74</v>
      </c>
      <c r="BR399" t="s">
        <v>102</v>
      </c>
      <c r="BS399" t="s">
        <v>7629</v>
      </c>
      <c r="BT399" t="str">
        <f>HYPERLINK("https%3A%2F%2Fwww.webofscience.com%2Fwos%2Fwoscc%2Ffull-record%2FWOS:000298568900007","View Full Record in Web of Science")</f>
        <v>View Full Record in Web of Science</v>
      </c>
    </row>
    <row r="400" spans="1:72" x14ac:dyDescent="0.15">
      <c r="A400" t="s">
        <v>72</v>
      </c>
      <c r="B400" t="s">
        <v>7630</v>
      </c>
      <c r="C400" t="s">
        <v>74</v>
      </c>
      <c r="D400" t="s">
        <v>74</v>
      </c>
      <c r="E400" t="s">
        <v>74</v>
      </c>
      <c r="F400" t="s">
        <v>7631</v>
      </c>
      <c r="G400" t="s">
        <v>74</v>
      </c>
      <c r="H400" t="s">
        <v>74</v>
      </c>
      <c r="I400" t="s">
        <v>7632</v>
      </c>
      <c r="J400" t="s">
        <v>7633</v>
      </c>
      <c r="K400" t="s">
        <v>74</v>
      </c>
      <c r="L400" t="s">
        <v>74</v>
      </c>
      <c r="M400" t="s">
        <v>78</v>
      </c>
      <c r="N400" t="s">
        <v>79</v>
      </c>
      <c r="O400" t="s">
        <v>74</v>
      </c>
      <c r="P400" t="s">
        <v>74</v>
      </c>
      <c r="Q400" t="s">
        <v>74</v>
      </c>
      <c r="R400" t="s">
        <v>74</v>
      </c>
      <c r="S400" t="s">
        <v>74</v>
      </c>
      <c r="T400" t="s">
        <v>7634</v>
      </c>
      <c r="U400" t="s">
        <v>7635</v>
      </c>
      <c r="V400" t="s">
        <v>7636</v>
      </c>
      <c r="W400" t="s">
        <v>7637</v>
      </c>
      <c r="X400" t="s">
        <v>7638</v>
      </c>
      <c r="Y400" t="s">
        <v>7639</v>
      </c>
      <c r="Z400" t="s">
        <v>7640</v>
      </c>
      <c r="AA400" t="s">
        <v>74</v>
      </c>
      <c r="AB400" t="s">
        <v>7641</v>
      </c>
      <c r="AC400" t="s">
        <v>7642</v>
      </c>
      <c r="AD400" t="s">
        <v>7643</v>
      </c>
      <c r="AE400" t="s">
        <v>7644</v>
      </c>
      <c r="AF400" t="s">
        <v>74</v>
      </c>
      <c r="AG400">
        <v>35</v>
      </c>
      <c r="AH400">
        <v>22</v>
      </c>
      <c r="AI400">
        <v>24</v>
      </c>
      <c r="AJ400">
        <v>0</v>
      </c>
      <c r="AK400">
        <v>13</v>
      </c>
      <c r="AL400" t="s">
        <v>3864</v>
      </c>
      <c r="AM400" t="s">
        <v>221</v>
      </c>
      <c r="AN400" t="s">
        <v>3865</v>
      </c>
      <c r="AO400" t="s">
        <v>7645</v>
      </c>
      <c r="AP400" t="s">
        <v>74</v>
      </c>
      <c r="AQ400" t="s">
        <v>74</v>
      </c>
      <c r="AR400" t="s">
        <v>7646</v>
      </c>
      <c r="AS400" t="s">
        <v>7647</v>
      </c>
      <c r="AT400" t="s">
        <v>7122</v>
      </c>
      <c r="AU400">
        <v>2011</v>
      </c>
      <c r="AV400">
        <v>31</v>
      </c>
      <c r="AW400">
        <v>6</v>
      </c>
      <c r="AX400" t="s">
        <v>74</v>
      </c>
      <c r="AY400" t="s">
        <v>74</v>
      </c>
      <c r="AZ400" t="s">
        <v>74</v>
      </c>
      <c r="BA400" t="s">
        <v>74</v>
      </c>
      <c r="BB400">
        <v>1297</v>
      </c>
      <c r="BC400">
        <v>1302</v>
      </c>
      <c r="BD400" t="s">
        <v>74</v>
      </c>
      <c r="BE400" t="s">
        <v>7648</v>
      </c>
      <c r="BF400" t="str">
        <f>HYPERLINK("http://dx.doi.org/10.1016/j.fsi.2011.10.007","http://dx.doi.org/10.1016/j.fsi.2011.10.007")</f>
        <v>http://dx.doi.org/10.1016/j.fsi.2011.10.007</v>
      </c>
      <c r="BG400" t="s">
        <v>74</v>
      </c>
      <c r="BH400" t="s">
        <v>74</v>
      </c>
      <c r="BI400">
        <v>6</v>
      </c>
      <c r="BJ400" t="s">
        <v>7649</v>
      </c>
      <c r="BK400" t="s">
        <v>100</v>
      </c>
      <c r="BL400" t="s">
        <v>7649</v>
      </c>
      <c r="BM400" t="s">
        <v>7650</v>
      </c>
      <c r="BN400">
        <v>22019824</v>
      </c>
      <c r="BO400" t="s">
        <v>74</v>
      </c>
      <c r="BP400" t="s">
        <v>74</v>
      </c>
      <c r="BQ400" t="s">
        <v>74</v>
      </c>
      <c r="BR400" t="s">
        <v>102</v>
      </c>
      <c r="BS400" t="s">
        <v>7651</v>
      </c>
      <c r="BT400" t="str">
        <f>HYPERLINK("https%3A%2F%2Fwww.webofscience.com%2Fwos%2Fwoscc%2Ffull-record%2FWOS:000298569700075","View Full Record in Web of Science")</f>
        <v>View Full Record in Web of Science</v>
      </c>
    </row>
    <row r="401" spans="1:72" x14ac:dyDescent="0.15">
      <c r="A401" t="s">
        <v>72</v>
      </c>
      <c r="B401" t="s">
        <v>7652</v>
      </c>
      <c r="C401" t="s">
        <v>74</v>
      </c>
      <c r="D401" t="s">
        <v>74</v>
      </c>
      <c r="E401" t="s">
        <v>74</v>
      </c>
      <c r="F401" t="s">
        <v>7653</v>
      </c>
      <c r="G401" t="s">
        <v>74</v>
      </c>
      <c r="H401" t="s">
        <v>74</v>
      </c>
      <c r="I401" t="s">
        <v>7654</v>
      </c>
      <c r="J401" t="s">
        <v>7655</v>
      </c>
      <c r="K401" t="s">
        <v>74</v>
      </c>
      <c r="L401" t="s">
        <v>74</v>
      </c>
      <c r="M401" t="s">
        <v>78</v>
      </c>
      <c r="N401" t="s">
        <v>79</v>
      </c>
      <c r="O401" t="s">
        <v>74</v>
      </c>
      <c r="P401" t="s">
        <v>74</v>
      </c>
      <c r="Q401" t="s">
        <v>74</v>
      </c>
      <c r="R401" t="s">
        <v>74</v>
      </c>
      <c r="S401" t="s">
        <v>74</v>
      </c>
      <c r="T401" t="s">
        <v>74</v>
      </c>
      <c r="U401" t="s">
        <v>7656</v>
      </c>
      <c r="V401" t="s">
        <v>7657</v>
      </c>
      <c r="W401" t="s">
        <v>7658</v>
      </c>
      <c r="X401" t="s">
        <v>7659</v>
      </c>
      <c r="Y401" t="s">
        <v>7660</v>
      </c>
      <c r="Z401" t="s">
        <v>7661</v>
      </c>
      <c r="AA401" t="s">
        <v>74</v>
      </c>
      <c r="AB401" t="s">
        <v>74</v>
      </c>
      <c r="AC401" t="s">
        <v>7662</v>
      </c>
      <c r="AD401" t="s">
        <v>7663</v>
      </c>
      <c r="AE401" t="s">
        <v>7664</v>
      </c>
      <c r="AF401" t="s">
        <v>74</v>
      </c>
      <c r="AG401">
        <v>33</v>
      </c>
      <c r="AH401">
        <v>14</v>
      </c>
      <c r="AI401">
        <v>18</v>
      </c>
      <c r="AJ401">
        <v>0</v>
      </c>
      <c r="AK401">
        <v>10</v>
      </c>
      <c r="AL401" t="s">
        <v>7665</v>
      </c>
      <c r="AM401" t="s">
        <v>7666</v>
      </c>
      <c r="AN401" t="s">
        <v>7667</v>
      </c>
      <c r="AO401" t="s">
        <v>7668</v>
      </c>
      <c r="AP401" t="s">
        <v>74</v>
      </c>
      <c r="AQ401" t="s">
        <v>74</v>
      </c>
      <c r="AR401" t="s">
        <v>7655</v>
      </c>
      <c r="AS401" t="s">
        <v>7669</v>
      </c>
      <c r="AT401" t="s">
        <v>7122</v>
      </c>
      <c r="AU401">
        <v>2011</v>
      </c>
      <c r="AV401">
        <v>7</v>
      </c>
      <c r="AW401">
        <v>6</v>
      </c>
      <c r="AX401" t="s">
        <v>74</v>
      </c>
      <c r="AY401" t="s">
        <v>74</v>
      </c>
      <c r="AZ401" t="s">
        <v>74</v>
      </c>
      <c r="BA401" t="s">
        <v>74</v>
      </c>
      <c r="BB401">
        <v>1324</v>
      </c>
      <c r="BC401">
        <v>1330</v>
      </c>
      <c r="BD401" t="s">
        <v>74</v>
      </c>
      <c r="BE401" t="s">
        <v>7670</v>
      </c>
      <c r="BF401" t="str">
        <f>HYPERLINK("http://dx.doi.org/10.1130/GES00690.1","http://dx.doi.org/10.1130/GES00690.1")</f>
        <v>http://dx.doi.org/10.1130/GES00690.1</v>
      </c>
      <c r="BG401" t="s">
        <v>74</v>
      </c>
      <c r="BH401" t="s">
        <v>74</v>
      </c>
      <c r="BI401">
        <v>7</v>
      </c>
      <c r="BJ401" t="s">
        <v>287</v>
      </c>
      <c r="BK401" t="s">
        <v>100</v>
      </c>
      <c r="BL401" t="s">
        <v>288</v>
      </c>
      <c r="BM401" t="s">
        <v>7671</v>
      </c>
      <c r="BN401" t="s">
        <v>74</v>
      </c>
      <c r="BO401" t="s">
        <v>365</v>
      </c>
      <c r="BP401" t="s">
        <v>74</v>
      </c>
      <c r="BQ401" t="s">
        <v>74</v>
      </c>
      <c r="BR401" t="s">
        <v>102</v>
      </c>
      <c r="BS401" t="s">
        <v>7672</v>
      </c>
      <c r="BT401" t="str">
        <f>HYPERLINK("https%3A%2F%2Fwww.webofscience.com%2Fwos%2Fwoscc%2Ffull-record%2FWOS:000298180700006","View Full Record in Web of Science")</f>
        <v>View Full Record in Web of Science</v>
      </c>
    </row>
    <row r="402" spans="1:72" x14ac:dyDescent="0.15">
      <c r="A402" t="s">
        <v>72</v>
      </c>
      <c r="B402" t="s">
        <v>7673</v>
      </c>
      <c r="C402" t="s">
        <v>74</v>
      </c>
      <c r="D402" t="s">
        <v>74</v>
      </c>
      <c r="E402" t="s">
        <v>74</v>
      </c>
      <c r="F402" t="s">
        <v>7674</v>
      </c>
      <c r="G402" t="s">
        <v>74</v>
      </c>
      <c r="H402" t="s">
        <v>74</v>
      </c>
      <c r="I402" t="s">
        <v>7675</v>
      </c>
      <c r="J402" t="s">
        <v>7655</v>
      </c>
      <c r="K402" t="s">
        <v>74</v>
      </c>
      <c r="L402" t="s">
        <v>74</v>
      </c>
      <c r="M402" t="s">
        <v>78</v>
      </c>
      <c r="N402" t="s">
        <v>79</v>
      </c>
      <c r="O402" t="s">
        <v>74</v>
      </c>
      <c r="P402" t="s">
        <v>74</v>
      </c>
      <c r="Q402" t="s">
        <v>74</v>
      </c>
      <c r="R402" t="s">
        <v>74</v>
      </c>
      <c r="S402" t="s">
        <v>74</v>
      </c>
      <c r="T402" t="s">
        <v>74</v>
      </c>
      <c r="U402" t="s">
        <v>7676</v>
      </c>
      <c r="V402" t="s">
        <v>7677</v>
      </c>
      <c r="W402" t="s">
        <v>7678</v>
      </c>
      <c r="X402" t="s">
        <v>7679</v>
      </c>
      <c r="Y402" t="s">
        <v>7680</v>
      </c>
      <c r="Z402" t="s">
        <v>74</v>
      </c>
      <c r="AA402" t="s">
        <v>7681</v>
      </c>
      <c r="AB402" t="s">
        <v>7682</v>
      </c>
      <c r="AC402" t="s">
        <v>7683</v>
      </c>
      <c r="AD402" t="s">
        <v>7684</v>
      </c>
      <c r="AE402" t="s">
        <v>7685</v>
      </c>
      <c r="AF402" t="s">
        <v>74</v>
      </c>
      <c r="AG402">
        <v>22</v>
      </c>
      <c r="AH402">
        <v>4</v>
      </c>
      <c r="AI402">
        <v>5</v>
      </c>
      <c r="AJ402">
        <v>0</v>
      </c>
      <c r="AK402">
        <v>9</v>
      </c>
      <c r="AL402" t="s">
        <v>7665</v>
      </c>
      <c r="AM402" t="s">
        <v>7666</v>
      </c>
      <c r="AN402" t="s">
        <v>7667</v>
      </c>
      <c r="AO402" t="s">
        <v>7668</v>
      </c>
      <c r="AP402" t="s">
        <v>74</v>
      </c>
      <c r="AQ402" t="s">
        <v>74</v>
      </c>
      <c r="AR402" t="s">
        <v>7655</v>
      </c>
      <c r="AS402" t="s">
        <v>7669</v>
      </c>
      <c r="AT402" t="s">
        <v>7122</v>
      </c>
      <c r="AU402">
        <v>2011</v>
      </c>
      <c r="AV402">
        <v>7</v>
      </c>
      <c r="AW402">
        <v>6</v>
      </c>
      <c r="AX402" t="s">
        <v>74</v>
      </c>
      <c r="AY402" t="s">
        <v>74</v>
      </c>
      <c r="AZ402" t="s">
        <v>74</v>
      </c>
      <c r="BA402" t="s">
        <v>74</v>
      </c>
      <c r="BB402">
        <v>1331</v>
      </c>
      <c r="BC402">
        <v>1339</v>
      </c>
      <c r="BD402" t="s">
        <v>74</v>
      </c>
      <c r="BE402" t="s">
        <v>7686</v>
      </c>
      <c r="BF402" t="str">
        <f>HYPERLINK("http://dx.doi.org/10.1130/GES00678.1","http://dx.doi.org/10.1130/GES00678.1")</f>
        <v>http://dx.doi.org/10.1130/GES00678.1</v>
      </c>
      <c r="BG402" t="s">
        <v>74</v>
      </c>
      <c r="BH402" t="s">
        <v>74</v>
      </c>
      <c r="BI402">
        <v>9</v>
      </c>
      <c r="BJ402" t="s">
        <v>287</v>
      </c>
      <c r="BK402" t="s">
        <v>100</v>
      </c>
      <c r="BL402" t="s">
        <v>288</v>
      </c>
      <c r="BM402" t="s">
        <v>7671</v>
      </c>
      <c r="BN402" t="s">
        <v>74</v>
      </c>
      <c r="BO402" t="s">
        <v>6262</v>
      </c>
      <c r="BP402" t="s">
        <v>74</v>
      </c>
      <c r="BQ402" t="s">
        <v>74</v>
      </c>
      <c r="BR402" t="s">
        <v>102</v>
      </c>
      <c r="BS402" t="s">
        <v>7687</v>
      </c>
      <c r="BT402" t="str">
        <f>HYPERLINK("https%3A%2F%2Fwww.webofscience.com%2Fwos%2Fwoscc%2Ffull-record%2FWOS:000298180700007","View Full Record in Web of Science")</f>
        <v>View Full Record in Web of Science</v>
      </c>
    </row>
    <row r="403" spans="1:72" x14ac:dyDescent="0.15">
      <c r="A403" t="s">
        <v>72</v>
      </c>
      <c r="B403" t="s">
        <v>7688</v>
      </c>
      <c r="C403" t="s">
        <v>74</v>
      </c>
      <c r="D403" t="s">
        <v>74</v>
      </c>
      <c r="E403" t="s">
        <v>74</v>
      </c>
      <c r="F403" t="s">
        <v>7689</v>
      </c>
      <c r="G403" t="s">
        <v>74</v>
      </c>
      <c r="H403" t="s">
        <v>74</v>
      </c>
      <c r="I403" t="s">
        <v>7690</v>
      </c>
      <c r="J403" t="s">
        <v>7691</v>
      </c>
      <c r="K403" t="s">
        <v>74</v>
      </c>
      <c r="L403" t="s">
        <v>74</v>
      </c>
      <c r="M403" t="s">
        <v>78</v>
      </c>
      <c r="N403" t="s">
        <v>7692</v>
      </c>
      <c r="O403" t="s">
        <v>74</v>
      </c>
      <c r="P403" t="s">
        <v>74</v>
      </c>
      <c r="Q403" t="s">
        <v>74</v>
      </c>
      <c r="R403" t="s">
        <v>74</v>
      </c>
      <c r="S403" t="s">
        <v>74</v>
      </c>
      <c r="T403" t="s">
        <v>74</v>
      </c>
      <c r="U403" t="s">
        <v>74</v>
      </c>
      <c r="V403" t="s">
        <v>74</v>
      </c>
      <c r="W403" t="s">
        <v>7693</v>
      </c>
      <c r="X403" t="s">
        <v>7694</v>
      </c>
      <c r="Y403" t="s">
        <v>7695</v>
      </c>
      <c r="Z403" t="s">
        <v>7696</v>
      </c>
      <c r="AA403" t="s">
        <v>7697</v>
      </c>
      <c r="AB403" t="s">
        <v>7698</v>
      </c>
      <c r="AC403" t="s">
        <v>74</v>
      </c>
      <c r="AD403" t="s">
        <v>74</v>
      </c>
      <c r="AE403" t="s">
        <v>74</v>
      </c>
      <c r="AF403" t="s">
        <v>74</v>
      </c>
      <c r="AG403">
        <v>1</v>
      </c>
      <c r="AH403">
        <v>0</v>
      </c>
      <c r="AI403">
        <v>0</v>
      </c>
      <c r="AJ403">
        <v>0</v>
      </c>
      <c r="AK403">
        <v>7</v>
      </c>
      <c r="AL403" t="s">
        <v>7342</v>
      </c>
      <c r="AM403" t="s">
        <v>413</v>
      </c>
      <c r="AN403" t="s">
        <v>7343</v>
      </c>
      <c r="AO403" t="s">
        <v>7699</v>
      </c>
      <c r="AP403" t="s">
        <v>7700</v>
      </c>
      <c r="AQ403" t="s">
        <v>74</v>
      </c>
      <c r="AR403" t="s">
        <v>7701</v>
      </c>
      <c r="AS403" t="s">
        <v>7702</v>
      </c>
      <c r="AT403" t="s">
        <v>7122</v>
      </c>
      <c r="AU403">
        <v>2011</v>
      </c>
      <c r="AV403">
        <v>47</v>
      </c>
      <c r="AW403">
        <v>6</v>
      </c>
      <c r="AX403" t="s">
        <v>74</v>
      </c>
      <c r="AY403" t="s">
        <v>74</v>
      </c>
      <c r="AZ403" t="s">
        <v>74</v>
      </c>
      <c r="BA403" t="s">
        <v>74</v>
      </c>
      <c r="BB403">
        <v>794</v>
      </c>
      <c r="BC403">
        <v>794</v>
      </c>
      <c r="BD403" t="s">
        <v>74</v>
      </c>
      <c r="BE403" t="s">
        <v>7703</v>
      </c>
      <c r="BF403" t="str">
        <f>HYPERLINK("http://dx.doi.org/10.1134/S0001433811690016","http://dx.doi.org/10.1134/S0001433811690016")</f>
        <v>http://dx.doi.org/10.1134/S0001433811690016</v>
      </c>
      <c r="BG403" t="s">
        <v>74</v>
      </c>
      <c r="BH403" t="s">
        <v>74</v>
      </c>
      <c r="BI403">
        <v>1</v>
      </c>
      <c r="BJ403" t="s">
        <v>5044</v>
      </c>
      <c r="BK403" t="s">
        <v>100</v>
      </c>
      <c r="BL403" t="s">
        <v>5044</v>
      </c>
      <c r="BM403" t="s">
        <v>7704</v>
      </c>
      <c r="BN403" t="s">
        <v>74</v>
      </c>
      <c r="BO403" t="s">
        <v>365</v>
      </c>
      <c r="BP403" t="s">
        <v>74</v>
      </c>
      <c r="BQ403" t="s">
        <v>74</v>
      </c>
      <c r="BR403" t="s">
        <v>102</v>
      </c>
      <c r="BS403" t="s">
        <v>7705</v>
      </c>
      <c r="BT403" t="str">
        <f>HYPERLINK("https%3A%2F%2Fwww.webofscience.com%2Fwos%2Fwoscc%2Ffull-record%2FWOS:000298397200015","View Full Record in Web of Science")</f>
        <v>View Full Record in Web of Science</v>
      </c>
    </row>
    <row r="404" spans="1:72" x14ac:dyDescent="0.15">
      <c r="A404" t="s">
        <v>72</v>
      </c>
      <c r="B404" t="s">
        <v>7706</v>
      </c>
      <c r="C404" t="s">
        <v>74</v>
      </c>
      <c r="D404" t="s">
        <v>74</v>
      </c>
      <c r="E404" t="s">
        <v>74</v>
      </c>
      <c r="F404" t="s">
        <v>7707</v>
      </c>
      <c r="G404" t="s">
        <v>74</v>
      </c>
      <c r="H404" t="s">
        <v>74</v>
      </c>
      <c r="I404" t="s">
        <v>7708</v>
      </c>
      <c r="J404" t="s">
        <v>3766</v>
      </c>
      <c r="K404" t="s">
        <v>74</v>
      </c>
      <c r="L404" t="s">
        <v>74</v>
      </c>
      <c r="M404" t="s">
        <v>78</v>
      </c>
      <c r="N404" t="s">
        <v>79</v>
      </c>
      <c r="O404" t="s">
        <v>74</v>
      </c>
      <c r="P404" t="s">
        <v>74</v>
      </c>
      <c r="Q404" t="s">
        <v>74</v>
      </c>
      <c r="R404" t="s">
        <v>74</v>
      </c>
      <c r="S404" t="s">
        <v>74</v>
      </c>
      <c r="T404" t="s">
        <v>74</v>
      </c>
      <c r="U404" t="s">
        <v>7709</v>
      </c>
      <c r="V404" t="s">
        <v>7710</v>
      </c>
      <c r="W404" t="s">
        <v>7711</v>
      </c>
      <c r="X404" t="s">
        <v>7712</v>
      </c>
      <c r="Y404" t="s">
        <v>7713</v>
      </c>
      <c r="Z404" t="s">
        <v>7714</v>
      </c>
      <c r="AA404" t="s">
        <v>7715</v>
      </c>
      <c r="AB404" t="s">
        <v>7716</v>
      </c>
      <c r="AC404" t="s">
        <v>7717</v>
      </c>
      <c r="AD404" t="s">
        <v>7718</v>
      </c>
      <c r="AE404" t="s">
        <v>7719</v>
      </c>
      <c r="AF404" t="s">
        <v>74</v>
      </c>
      <c r="AG404">
        <v>11</v>
      </c>
      <c r="AH404">
        <v>49</v>
      </c>
      <c r="AI404">
        <v>55</v>
      </c>
      <c r="AJ404">
        <v>0</v>
      </c>
      <c r="AK404">
        <v>12</v>
      </c>
      <c r="AL404" t="s">
        <v>3775</v>
      </c>
      <c r="AM404" t="s">
        <v>3776</v>
      </c>
      <c r="AN404" t="s">
        <v>3777</v>
      </c>
      <c r="AO404" t="s">
        <v>3778</v>
      </c>
      <c r="AP404" t="s">
        <v>3779</v>
      </c>
      <c r="AQ404" t="s">
        <v>74</v>
      </c>
      <c r="AR404" t="s">
        <v>3780</v>
      </c>
      <c r="AS404" t="s">
        <v>3781</v>
      </c>
      <c r="AT404" t="s">
        <v>7122</v>
      </c>
      <c r="AU404">
        <v>2011</v>
      </c>
      <c r="AV404">
        <v>28</v>
      </c>
      <c r="AW404">
        <v>12</v>
      </c>
      <c r="AX404" t="s">
        <v>74</v>
      </c>
      <c r="AY404" t="s">
        <v>74</v>
      </c>
      <c r="AZ404" t="s">
        <v>74</v>
      </c>
      <c r="BA404" t="s">
        <v>74</v>
      </c>
      <c r="BB404">
        <v>1598</v>
      </c>
      <c r="BC404">
        <v>1605</v>
      </c>
      <c r="BD404" t="s">
        <v>74</v>
      </c>
      <c r="BE404" t="s">
        <v>7720</v>
      </c>
      <c r="BF404" t="str">
        <f>HYPERLINK("http://dx.doi.org/10.1175/JTECH-D-11-00095.1","http://dx.doi.org/10.1175/JTECH-D-11-00095.1")</f>
        <v>http://dx.doi.org/10.1175/JTECH-D-11-00095.1</v>
      </c>
      <c r="BG404" t="s">
        <v>74</v>
      </c>
      <c r="BH404" t="s">
        <v>74</v>
      </c>
      <c r="BI404">
        <v>8</v>
      </c>
      <c r="BJ404" t="s">
        <v>3783</v>
      </c>
      <c r="BK404" t="s">
        <v>100</v>
      </c>
      <c r="BL404" t="s">
        <v>3784</v>
      </c>
      <c r="BM404" t="s">
        <v>7721</v>
      </c>
      <c r="BN404" t="s">
        <v>74</v>
      </c>
      <c r="BO404" t="s">
        <v>316</v>
      </c>
      <c r="BP404" t="s">
        <v>74</v>
      </c>
      <c r="BQ404" t="s">
        <v>74</v>
      </c>
      <c r="BR404" t="s">
        <v>102</v>
      </c>
      <c r="BS404" t="s">
        <v>7722</v>
      </c>
      <c r="BT404" t="str">
        <f>HYPERLINK("https%3A%2F%2Fwww.webofscience.com%2Fwos%2Fwoscc%2Ffull-record%2FWOS:000298822900002","View Full Record in Web of Science")</f>
        <v>View Full Record in Web of Science</v>
      </c>
    </row>
    <row r="405" spans="1:72" x14ac:dyDescent="0.15">
      <c r="A405" t="s">
        <v>72</v>
      </c>
      <c r="B405" t="s">
        <v>7723</v>
      </c>
      <c r="C405" t="s">
        <v>74</v>
      </c>
      <c r="D405" t="s">
        <v>74</v>
      </c>
      <c r="E405" t="s">
        <v>74</v>
      </c>
      <c r="F405" t="s">
        <v>7724</v>
      </c>
      <c r="G405" t="s">
        <v>74</v>
      </c>
      <c r="H405" t="s">
        <v>74</v>
      </c>
      <c r="I405" t="s">
        <v>7725</v>
      </c>
      <c r="J405" t="s">
        <v>7726</v>
      </c>
      <c r="K405" t="s">
        <v>74</v>
      </c>
      <c r="L405" t="s">
        <v>74</v>
      </c>
      <c r="M405" t="s">
        <v>78</v>
      </c>
      <c r="N405" t="s">
        <v>79</v>
      </c>
      <c r="O405" t="s">
        <v>74</v>
      </c>
      <c r="P405" t="s">
        <v>74</v>
      </c>
      <c r="Q405" t="s">
        <v>74</v>
      </c>
      <c r="R405" t="s">
        <v>74</v>
      </c>
      <c r="S405" t="s">
        <v>74</v>
      </c>
      <c r="T405" t="s">
        <v>7727</v>
      </c>
      <c r="U405" t="s">
        <v>7728</v>
      </c>
      <c r="V405" t="s">
        <v>7729</v>
      </c>
      <c r="W405" t="s">
        <v>7730</v>
      </c>
      <c r="X405" t="s">
        <v>7731</v>
      </c>
      <c r="Y405" t="s">
        <v>7732</v>
      </c>
      <c r="Z405" t="s">
        <v>7733</v>
      </c>
      <c r="AA405" t="s">
        <v>7734</v>
      </c>
      <c r="AB405" t="s">
        <v>7735</v>
      </c>
      <c r="AC405" t="s">
        <v>7736</v>
      </c>
      <c r="AD405" t="s">
        <v>7737</v>
      </c>
      <c r="AE405" t="s">
        <v>7738</v>
      </c>
      <c r="AF405" t="s">
        <v>74</v>
      </c>
      <c r="AG405">
        <v>71</v>
      </c>
      <c r="AH405">
        <v>17</v>
      </c>
      <c r="AI405">
        <v>17</v>
      </c>
      <c r="AJ405">
        <v>0</v>
      </c>
      <c r="AK405">
        <v>15</v>
      </c>
      <c r="AL405" t="s">
        <v>333</v>
      </c>
      <c r="AM405" t="s">
        <v>334</v>
      </c>
      <c r="AN405" t="s">
        <v>335</v>
      </c>
      <c r="AO405" t="s">
        <v>7739</v>
      </c>
      <c r="AP405" t="s">
        <v>7740</v>
      </c>
      <c r="AQ405" t="s">
        <v>74</v>
      </c>
      <c r="AR405" t="s">
        <v>7741</v>
      </c>
      <c r="AS405" t="s">
        <v>7742</v>
      </c>
      <c r="AT405" t="s">
        <v>7212</v>
      </c>
      <c r="AU405">
        <v>2011</v>
      </c>
      <c r="AV405">
        <v>409</v>
      </c>
      <c r="AW405" t="s">
        <v>1776</v>
      </c>
      <c r="AX405" t="s">
        <v>74</v>
      </c>
      <c r="AY405" t="s">
        <v>74</v>
      </c>
      <c r="AZ405" t="s">
        <v>74</v>
      </c>
      <c r="BA405" t="s">
        <v>74</v>
      </c>
      <c r="BB405">
        <v>208</v>
      </c>
      <c r="BC405">
        <v>214</v>
      </c>
      <c r="BD405" t="s">
        <v>74</v>
      </c>
      <c r="BE405" t="s">
        <v>7743</v>
      </c>
      <c r="BF405" t="str">
        <f>HYPERLINK("http://dx.doi.org/10.1016/j.jembe.2011.08.025","http://dx.doi.org/10.1016/j.jembe.2011.08.025")</f>
        <v>http://dx.doi.org/10.1016/j.jembe.2011.08.025</v>
      </c>
      <c r="BG405" t="s">
        <v>74</v>
      </c>
      <c r="BH405" t="s">
        <v>74</v>
      </c>
      <c r="BI405">
        <v>7</v>
      </c>
      <c r="BJ405" t="s">
        <v>4394</v>
      </c>
      <c r="BK405" t="s">
        <v>100</v>
      </c>
      <c r="BL405" t="s">
        <v>4395</v>
      </c>
      <c r="BM405" t="s">
        <v>7744</v>
      </c>
      <c r="BN405" t="s">
        <v>74</v>
      </c>
      <c r="BO405" t="s">
        <v>74</v>
      </c>
      <c r="BP405" t="s">
        <v>74</v>
      </c>
      <c r="BQ405" t="s">
        <v>74</v>
      </c>
      <c r="BR405" t="s">
        <v>102</v>
      </c>
      <c r="BS405" t="s">
        <v>7745</v>
      </c>
      <c r="BT405" t="str">
        <f>HYPERLINK("https%3A%2F%2Fwww.webofscience.com%2Fwos%2Fwoscc%2Ffull-record%2FWOS:000298363100026","View Full Record in Web of Science")</f>
        <v>View Full Record in Web of Science</v>
      </c>
    </row>
    <row r="406" spans="1:72" x14ac:dyDescent="0.15">
      <c r="A406" t="s">
        <v>72</v>
      </c>
      <c r="B406" t="s">
        <v>7746</v>
      </c>
      <c r="C406" t="s">
        <v>74</v>
      </c>
      <c r="D406" t="s">
        <v>74</v>
      </c>
      <c r="E406" t="s">
        <v>74</v>
      </c>
      <c r="F406" t="s">
        <v>7747</v>
      </c>
      <c r="G406" t="s">
        <v>74</v>
      </c>
      <c r="H406" t="s">
        <v>74</v>
      </c>
      <c r="I406" t="s">
        <v>7748</v>
      </c>
      <c r="J406" t="s">
        <v>7749</v>
      </c>
      <c r="K406" t="s">
        <v>74</v>
      </c>
      <c r="L406" t="s">
        <v>74</v>
      </c>
      <c r="M406" t="s">
        <v>78</v>
      </c>
      <c r="N406" t="s">
        <v>79</v>
      </c>
      <c r="O406" t="s">
        <v>74</v>
      </c>
      <c r="P406" t="s">
        <v>74</v>
      </c>
      <c r="Q406" t="s">
        <v>74</v>
      </c>
      <c r="R406" t="s">
        <v>74</v>
      </c>
      <c r="S406" t="s">
        <v>74</v>
      </c>
      <c r="T406" t="s">
        <v>7750</v>
      </c>
      <c r="U406" t="s">
        <v>7751</v>
      </c>
      <c r="V406" t="s">
        <v>7752</v>
      </c>
      <c r="W406" t="s">
        <v>7753</v>
      </c>
      <c r="X406" t="s">
        <v>7754</v>
      </c>
      <c r="Y406" t="s">
        <v>7755</v>
      </c>
      <c r="Z406" t="s">
        <v>7756</v>
      </c>
      <c r="AA406" t="s">
        <v>7757</v>
      </c>
      <c r="AB406" t="s">
        <v>7758</v>
      </c>
      <c r="AC406" t="s">
        <v>7759</v>
      </c>
      <c r="AD406" t="s">
        <v>7760</v>
      </c>
      <c r="AE406" t="s">
        <v>7761</v>
      </c>
      <c r="AF406" t="s">
        <v>74</v>
      </c>
      <c r="AG406">
        <v>69</v>
      </c>
      <c r="AH406">
        <v>58</v>
      </c>
      <c r="AI406">
        <v>67</v>
      </c>
      <c r="AJ406">
        <v>2</v>
      </c>
      <c r="AK406">
        <v>100</v>
      </c>
      <c r="AL406" t="s">
        <v>220</v>
      </c>
      <c r="AM406" t="s">
        <v>221</v>
      </c>
      <c r="AN406" t="s">
        <v>222</v>
      </c>
      <c r="AO406" t="s">
        <v>7762</v>
      </c>
      <c r="AP406" t="s">
        <v>7763</v>
      </c>
      <c r="AQ406" t="s">
        <v>74</v>
      </c>
      <c r="AR406" t="s">
        <v>7764</v>
      </c>
      <c r="AS406" t="s">
        <v>7765</v>
      </c>
      <c r="AT406" t="s">
        <v>7122</v>
      </c>
      <c r="AU406">
        <v>2011</v>
      </c>
      <c r="AV406">
        <v>37</v>
      </c>
      <c r="AW406">
        <v>6</v>
      </c>
      <c r="AX406" t="s">
        <v>74</v>
      </c>
      <c r="AY406" t="s">
        <v>74</v>
      </c>
      <c r="AZ406" t="s">
        <v>74</v>
      </c>
      <c r="BA406" t="s">
        <v>74</v>
      </c>
      <c r="BB406">
        <v>555</v>
      </c>
      <c r="BC406">
        <v>569</v>
      </c>
      <c r="BD406" t="s">
        <v>74</v>
      </c>
      <c r="BE406" t="s">
        <v>7766</v>
      </c>
      <c r="BF406" t="str">
        <f>HYPERLINK("http://dx.doi.org/10.1177/0165551511412705","http://dx.doi.org/10.1177/0165551511412705")</f>
        <v>http://dx.doi.org/10.1177/0165551511412705</v>
      </c>
      <c r="BG406" t="s">
        <v>74</v>
      </c>
      <c r="BH406" t="s">
        <v>74</v>
      </c>
      <c r="BI406">
        <v>15</v>
      </c>
      <c r="BJ406" t="s">
        <v>7767</v>
      </c>
      <c r="BK406" t="s">
        <v>7768</v>
      </c>
      <c r="BL406" t="s">
        <v>7769</v>
      </c>
      <c r="BM406" t="s">
        <v>7770</v>
      </c>
      <c r="BN406" t="s">
        <v>74</v>
      </c>
      <c r="BO406" t="s">
        <v>74</v>
      </c>
      <c r="BP406" t="s">
        <v>74</v>
      </c>
      <c r="BQ406" t="s">
        <v>74</v>
      </c>
      <c r="BR406" t="s">
        <v>102</v>
      </c>
      <c r="BS406" t="s">
        <v>7771</v>
      </c>
      <c r="BT406" t="str">
        <f>HYPERLINK("https%3A%2F%2Fwww.webofscience.com%2Fwos%2Fwoscc%2Ffull-record%2FWOS:000298259200001","View Full Record in Web of Science")</f>
        <v>View Full Record in Web of Science</v>
      </c>
    </row>
    <row r="407" spans="1:72" x14ac:dyDescent="0.15">
      <c r="A407" t="s">
        <v>72</v>
      </c>
      <c r="B407" t="s">
        <v>7772</v>
      </c>
      <c r="C407" t="s">
        <v>74</v>
      </c>
      <c r="D407" t="s">
        <v>74</v>
      </c>
      <c r="E407" t="s">
        <v>74</v>
      </c>
      <c r="F407" t="s">
        <v>7773</v>
      </c>
      <c r="G407" t="s">
        <v>74</v>
      </c>
      <c r="H407" t="s">
        <v>74</v>
      </c>
      <c r="I407" t="s">
        <v>7774</v>
      </c>
      <c r="J407" t="s">
        <v>7775</v>
      </c>
      <c r="K407" t="s">
        <v>74</v>
      </c>
      <c r="L407" t="s">
        <v>74</v>
      </c>
      <c r="M407" t="s">
        <v>78</v>
      </c>
      <c r="N407" t="s">
        <v>79</v>
      </c>
      <c r="O407" t="s">
        <v>74</v>
      </c>
      <c r="P407" t="s">
        <v>74</v>
      </c>
      <c r="Q407" t="s">
        <v>74</v>
      </c>
      <c r="R407" t="s">
        <v>74</v>
      </c>
      <c r="S407" t="s">
        <v>74</v>
      </c>
      <c r="T407" t="s">
        <v>74</v>
      </c>
      <c r="U407" t="s">
        <v>7776</v>
      </c>
      <c r="V407" t="s">
        <v>7777</v>
      </c>
      <c r="W407" t="s">
        <v>7778</v>
      </c>
      <c r="X407" t="s">
        <v>7779</v>
      </c>
      <c r="Y407" t="s">
        <v>7780</v>
      </c>
      <c r="Z407" t="s">
        <v>7781</v>
      </c>
      <c r="AA407" t="s">
        <v>7782</v>
      </c>
      <c r="AB407" t="s">
        <v>7783</v>
      </c>
      <c r="AC407" t="s">
        <v>7784</v>
      </c>
      <c r="AD407" t="s">
        <v>7785</v>
      </c>
      <c r="AE407" t="s">
        <v>7786</v>
      </c>
      <c r="AF407" t="s">
        <v>74</v>
      </c>
      <c r="AG407">
        <v>88</v>
      </c>
      <c r="AH407">
        <v>128</v>
      </c>
      <c r="AI407">
        <v>139</v>
      </c>
      <c r="AJ407">
        <v>3</v>
      </c>
      <c r="AK407">
        <v>45</v>
      </c>
      <c r="AL407" t="s">
        <v>3775</v>
      </c>
      <c r="AM407" t="s">
        <v>3776</v>
      </c>
      <c r="AN407" t="s">
        <v>7787</v>
      </c>
      <c r="AO407" t="s">
        <v>7788</v>
      </c>
      <c r="AP407" t="s">
        <v>7789</v>
      </c>
      <c r="AQ407" t="s">
        <v>74</v>
      </c>
      <c r="AR407" t="s">
        <v>7790</v>
      </c>
      <c r="AS407" t="s">
        <v>7791</v>
      </c>
      <c r="AT407" t="s">
        <v>7122</v>
      </c>
      <c r="AU407">
        <v>2011</v>
      </c>
      <c r="AV407">
        <v>41</v>
      </c>
      <c r="AW407">
        <v>12</v>
      </c>
      <c r="AX407" t="s">
        <v>74</v>
      </c>
      <c r="AY407" t="s">
        <v>74</v>
      </c>
      <c r="AZ407" t="s">
        <v>74</v>
      </c>
      <c r="BA407" t="s">
        <v>74</v>
      </c>
      <c r="BB407">
        <v>2261</v>
      </c>
      <c r="BC407">
        <v>2278</v>
      </c>
      <c r="BD407" t="s">
        <v>74</v>
      </c>
      <c r="BE407" t="s">
        <v>7792</v>
      </c>
      <c r="BF407" t="str">
        <f>HYPERLINK("http://dx.doi.org/10.1175/JPO-D-11-023.1","http://dx.doi.org/10.1175/JPO-D-11-023.1")</f>
        <v>http://dx.doi.org/10.1175/JPO-D-11-023.1</v>
      </c>
      <c r="BG407" t="s">
        <v>74</v>
      </c>
      <c r="BH407" t="s">
        <v>74</v>
      </c>
      <c r="BI407">
        <v>18</v>
      </c>
      <c r="BJ407" t="s">
        <v>496</v>
      </c>
      <c r="BK407" t="s">
        <v>100</v>
      </c>
      <c r="BL407" t="s">
        <v>496</v>
      </c>
      <c r="BM407" t="s">
        <v>7793</v>
      </c>
      <c r="BN407" t="s">
        <v>74</v>
      </c>
      <c r="BO407" t="s">
        <v>7794</v>
      </c>
      <c r="BP407" t="s">
        <v>74</v>
      </c>
      <c r="BQ407" t="s">
        <v>74</v>
      </c>
      <c r="BR407" t="s">
        <v>102</v>
      </c>
      <c r="BS407" t="s">
        <v>7795</v>
      </c>
      <c r="BT407" t="str">
        <f>HYPERLINK("https%3A%2F%2Fwww.webofscience.com%2Fwos%2Fwoscc%2Ffull-record%2FWOS:000298830700001","View Full Record in Web of Science")</f>
        <v>View Full Record in Web of Science</v>
      </c>
    </row>
    <row r="408" spans="1:72" x14ac:dyDescent="0.15">
      <c r="A408" t="s">
        <v>72</v>
      </c>
      <c r="B408" t="s">
        <v>7796</v>
      </c>
      <c r="C408" t="s">
        <v>74</v>
      </c>
      <c r="D408" t="s">
        <v>74</v>
      </c>
      <c r="E408" t="s">
        <v>74</v>
      </c>
      <c r="F408" t="s">
        <v>7797</v>
      </c>
      <c r="G408" t="s">
        <v>74</v>
      </c>
      <c r="H408" t="s">
        <v>74</v>
      </c>
      <c r="I408" t="s">
        <v>7798</v>
      </c>
      <c r="J408" t="s">
        <v>7799</v>
      </c>
      <c r="K408" t="s">
        <v>74</v>
      </c>
      <c r="L408" t="s">
        <v>74</v>
      </c>
      <c r="M408" t="s">
        <v>78</v>
      </c>
      <c r="N408" t="s">
        <v>79</v>
      </c>
      <c r="O408" t="s">
        <v>74</v>
      </c>
      <c r="P408" t="s">
        <v>74</v>
      </c>
      <c r="Q408" t="s">
        <v>74</v>
      </c>
      <c r="R408" t="s">
        <v>74</v>
      </c>
      <c r="S408" t="s">
        <v>74</v>
      </c>
      <c r="T408" t="s">
        <v>7800</v>
      </c>
      <c r="U408" t="s">
        <v>7801</v>
      </c>
      <c r="V408" t="s">
        <v>7802</v>
      </c>
      <c r="W408" t="s">
        <v>7803</v>
      </c>
      <c r="X408" t="s">
        <v>7804</v>
      </c>
      <c r="Y408" t="s">
        <v>7805</v>
      </c>
      <c r="Z408" t="s">
        <v>7806</v>
      </c>
      <c r="AA408" t="s">
        <v>74</v>
      </c>
      <c r="AB408" t="s">
        <v>7807</v>
      </c>
      <c r="AC408" t="s">
        <v>74</v>
      </c>
      <c r="AD408" t="s">
        <v>74</v>
      </c>
      <c r="AE408" t="s">
        <v>74</v>
      </c>
      <c r="AF408" t="s">
        <v>74</v>
      </c>
      <c r="AG408">
        <v>41</v>
      </c>
      <c r="AH408">
        <v>23</v>
      </c>
      <c r="AI408">
        <v>28</v>
      </c>
      <c r="AJ408">
        <v>0</v>
      </c>
      <c r="AK408">
        <v>30</v>
      </c>
      <c r="AL408" t="s">
        <v>2832</v>
      </c>
      <c r="AM408" t="s">
        <v>796</v>
      </c>
      <c r="AN408" t="s">
        <v>797</v>
      </c>
      <c r="AO408" t="s">
        <v>7808</v>
      </c>
      <c r="AP408" t="s">
        <v>7809</v>
      </c>
      <c r="AQ408" t="s">
        <v>74</v>
      </c>
      <c r="AR408" t="s">
        <v>7810</v>
      </c>
      <c r="AS408" t="s">
        <v>7811</v>
      </c>
      <c r="AT408" t="s">
        <v>7122</v>
      </c>
      <c r="AU408">
        <v>2011</v>
      </c>
      <c r="AV408">
        <v>47</v>
      </c>
      <c r="AW408">
        <v>6</v>
      </c>
      <c r="AX408" t="s">
        <v>74</v>
      </c>
      <c r="AY408" t="s">
        <v>74</v>
      </c>
      <c r="AZ408" t="s">
        <v>74</v>
      </c>
      <c r="BA408" t="s">
        <v>74</v>
      </c>
      <c r="BB408">
        <v>1228</v>
      </c>
      <c r="BC408">
        <v>1240</v>
      </c>
      <c r="BD408" t="s">
        <v>74</v>
      </c>
      <c r="BE408" t="s">
        <v>7812</v>
      </c>
      <c r="BF408" t="str">
        <f>HYPERLINK("http://dx.doi.org/10.1111/j.1752-1688.2011.00569.x","http://dx.doi.org/10.1111/j.1752-1688.2011.00569.x")</f>
        <v>http://dx.doi.org/10.1111/j.1752-1688.2011.00569.x</v>
      </c>
      <c r="BG408" t="s">
        <v>74</v>
      </c>
      <c r="BH408" t="s">
        <v>74</v>
      </c>
      <c r="BI408">
        <v>13</v>
      </c>
      <c r="BJ408" t="s">
        <v>7813</v>
      </c>
      <c r="BK408" t="s">
        <v>100</v>
      </c>
      <c r="BL408" t="s">
        <v>7814</v>
      </c>
      <c r="BM408" t="s">
        <v>7815</v>
      </c>
      <c r="BN408" t="s">
        <v>74</v>
      </c>
      <c r="BO408" t="s">
        <v>74</v>
      </c>
      <c r="BP408" t="s">
        <v>74</v>
      </c>
      <c r="BQ408" t="s">
        <v>74</v>
      </c>
      <c r="BR408" t="s">
        <v>102</v>
      </c>
      <c r="BS408" t="s">
        <v>7816</v>
      </c>
      <c r="BT408" t="str">
        <f>HYPERLINK("https%3A%2F%2Fwww.webofscience.com%2Fwos%2Fwoscc%2Ffull-record%2FWOS:000297850000006","View Full Record in Web of Science")</f>
        <v>View Full Record in Web of Science</v>
      </c>
    </row>
    <row r="409" spans="1:72" x14ac:dyDescent="0.15">
      <c r="A409" t="s">
        <v>72</v>
      </c>
      <c r="B409" t="s">
        <v>7817</v>
      </c>
      <c r="C409" t="s">
        <v>74</v>
      </c>
      <c r="D409" t="s">
        <v>74</v>
      </c>
      <c r="E409" t="s">
        <v>74</v>
      </c>
      <c r="F409" t="s">
        <v>7818</v>
      </c>
      <c r="G409" t="s">
        <v>74</v>
      </c>
      <c r="H409" t="s">
        <v>74</v>
      </c>
      <c r="I409" t="s">
        <v>7819</v>
      </c>
      <c r="J409" t="s">
        <v>7820</v>
      </c>
      <c r="K409" t="s">
        <v>74</v>
      </c>
      <c r="L409" t="s">
        <v>74</v>
      </c>
      <c r="M409" t="s">
        <v>78</v>
      </c>
      <c r="N409" t="s">
        <v>79</v>
      </c>
      <c r="O409" t="s">
        <v>74</v>
      </c>
      <c r="P409" t="s">
        <v>74</v>
      </c>
      <c r="Q409" t="s">
        <v>74</v>
      </c>
      <c r="R409" t="s">
        <v>74</v>
      </c>
      <c r="S409" t="s">
        <v>74</v>
      </c>
      <c r="T409" t="s">
        <v>7821</v>
      </c>
      <c r="U409" t="s">
        <v>7822</v>
      </c>
      <c r="V409" t="s">
        <v>7823</v>
      </c>
      <c r="W409" t="s">
        <v>7824</v>
      </c>
      <c r="X409" t="s">
        <v>7825</v>
      </c>
      <c r="Y409" t="s">
        <v>7826</v>
      </c>
      <c r="Z409" t="s">
        <v>7827</v>
      </c>
      <c r="AA409" t="s">
        <v>7828</v>
      </c>
      <c r="AB409" t="s">
        <v>7829</v>
      </c>
      <c r="AC409" t="s">
        <v>7830</v>
      </c>
      <c r="AD409" t="s">
        <v>7831</v>
      </c>
      <c r="AE409" t="s">
        <v>7832</v>
      </c>
      <c r="AF409" t="s">
        <v>74</v>
      </c>
      <c r="AG409">
        <v>84</v>
      </c>
      <c r="AH409">
        <v>21</v>
      </c>
      <c r="AI409">
        <v>22</v>
      </c>
      <c r="AJ409">
        <v>0</v>
      </c>
      <c r="AK409">
        <v>9</v>
      </c>
      <c r="AL409" t="s">
        <v>333</v>
      </c>
      <c r="AM409" t="s">
        <v>334</v>
      </c>
      <c r="AN409" t="s">
        <v>335</v>
      </c>
      <c r="AO409" t="s">
        <v>7833</v>
      </c>
      <c r="AP409" t="s">
        <v>7834</v>
      </c>
      <c r="AQ409" t="s">
        <v>74</v>
      </c>
      <c r="AR409" t="s">
        <v>7820</v>
      </c>
      <c r="AS409" t="s">
        <v>7835</v>
      </c>
      <c r="AT409" t="s">
        <v>7122</v>
      </c>
      <c r="AU409">
        <v>2011</v>
      </c>
      <c r="AV409">
        <v>127</v>
      </c>
      <c r="AW409" t="s">
        <v>6679</v>
      </c>
      <c r="AX409" t="s">
        <v>74</v>
      </c>
      <c r="AY409" t="s">
        <v>74</v>
      </c>
      <c r="AZ409" t="s">
        <v>74</v>
      </c>
      <c r="BA409" t="s">
        <v>74</v>
      </c>
      <c r="BB409">
        <v>522</v>
      </c>
      <c r="BC409">
        <v>534</v>
      </c>
      <c r="BD409" t="s">
        <v>74</v>
      </c>
      <c r="BE409" t="s">
        <v>7836</v>
      </c>
      <c r="BF409" t="str">
        <f>HYPERLINK("http://dx.doi.org/10.1016/j.lithos.2011.09.008","http://dx.doi.org/10.1016/j.lithos.2011.09.008")</f>
        <v>http://dx.doi.org/10.1016/j.lithos.2011.09.008</v>
      </c>
      <c r="BG409" t="s">
        <v>74</v>
      </c>
      <c r="BH409" t="s">
        <v>74</v>
      </c>
      <c r="BI409">
        <v>13</v>
      </c>
      <c r="BJ409" t="s">
        <v>2083</v>
      </c>
      <c r="BK409" t="s">
        <v>100</v>
      </c>
      <c r="BL409" t="s">
        <v>2083</v>
      </c>
      <c r="BM409" t="s">
        <v>7837</v>
      </c>
      <c r="BN409" t="s">
        <v>74</v>
      </c>
      <c r="BO409" t="s">
        <v>74</v>
      </c>
      <c r="BP409" t="s">
        <v>74</v>
      </c>
      <c r="BQ409" t="s">
        <v>74</v>
      </c>
      <c r="BR409" t="s">
        <v>102</v>
      </c>
      <c r="BS409" t="s">
        <v>7838</v>
      </c>
      <c r="BT409" t="str">
        <f>HYPERLINK("https%3A%2F%2Fwww.webofscience.com%2Fwos%2Fwoscc%2Ffull-record%2FWOS:000298513800010","View Full Record in Web of Science")</f>
        <v>View Full Record in Web of Science</v>
      </c>
    </row>
    <row r="410" spans="1:72" x14ac:dyDescent="0.15">
      <c r="A410" t="s">
        <v>72</v>
      </c>
      <c r="B410" t="s">
        <v>7839</v>
      </c>
      <c r="C410" t="s">
        <v>74</v>
      </c>
      <c r="D410" t="s">
        <v>74</v>
      </c>
      <c r="E410" t="s">
        <v>74</v>
      </c>
      <c r="F410" t="s">
        <v>7840</v>
      </c>
      <c r="G410" t="s">
        <v>74</v>
      </c>
      <c r="H410" t="s">
        <v>74</v>
      </c>
      <c r="I410" t="s">
        <v>7841</v>
      </c>
      <c r="J410" t="s">
        <v>7842</v>
      </c>
      <c r="K410" t="s">
        <v>74</v>
      </c>
      <c r="L410" t="s">
        <v>74</v>
      </c>
      <c r="M410" t="s">
        <v>78</v>
      </c>
      <c r="N410" t="s">
        <v>79</v>
      </c>
      <c r="O410" t="s">
        <v>74</v>
      </c>
      <c r="P410" t="s">
        <v>74</v>
      </c>
      <c r="Q410" t="s">
        <v>74</v>
      </c>
      <c r="R410" t="s">
        <v>74</v>
      </c>
      <c r="S410" t="s">
        <v>74</v>
      </c>
      <c r="T410" t="s">
        <v>74</v>
      </c>
      <c r="U410" t="s">
        <v>7843</v>
      </c>
      <c r="V410" t="s">
        <v>7844</v>
      </c>
      <c r="W410" t="s">
        <v>7845</v>
      </c>
      <c r="X410" t="s">
        <v>7846</v>
      </c>
      <c r="Y410" t="s">
        <v>7847</v>
      </c>
      <c r="Z410" t="s">
        <v>7848</v>
      </c>
      <c r="AA410" t="s">
        <v>7849</v>
      </c>
      <c r="AB410" t="s">
        <v>7850</v>
      </c>
      <c r="AC410" t="s">
        <v>7851</v>
      </c>
      <c r="AD410" t="s">
        <v>7851</v>
      </c>
      <c r="AE410" t="s">
        <v>7852</v>
      </c>
      <c r="AF410" t="s">
        <v>74</v>
      </c>
      <c r="AG410">
        <v>89</v>
      </c>
      <c r="AH410">
        <v>17</v>
      </c>
      <c r="AI410">
        <v>19</v>
      </c>
      <c r="AJ410">
        <v>0</v>
      </c>
      <c r="AK410">
        <v>9</v>
      </c>
      <c r="AL410" t="s">
        <v>2832</v>
      </c>
      <c r="AM410" t="s">
        <v>796</v>
      </c>
      <c r="AN410" t="s">
        <v>797</v>
      </c>
      <c r="AO410" t="s">
        <v>7853</v>
      </c>
      <c r="AP410" t="s">
        <v>7854</v>
      </c>
      <c r="AQ410" t="s">
        <v>74</v>
      </c>
      <c r="AR410" t="s">
        <v>7855</v>
      </c>
      <c r="AS410" t="s">
        <v>7856</v>
      </c>
      <c r="AT410" t="s">
        <v>7122</v>
      </c>
      <c r="AU410">
        <v>2011</v>
      </c>
      <c r="AV410">
        <v>46</v>
      </c>
      <c r="AW410">
        <v>12</v>
      </c>
      <c r="AX410" t="s">
        <v>74</v>
      </c>
      <c r="AY410" t="s">
        <v>74</v>
      </c>
      <c r="AZ410" t="s">
        <v>74</v>
      </c>
      <c r="BA410" t="s">
        <v>74</v>
      </c>
      <c r="BB410">
        <v>1863</v>
      </c>
      <c r="BC410">
        <v>1877</v>
      </c>
      <c r="BD410" t="s">
        <v>74</v>
      </c>
      <c r="BE410" t="s">
        <v>7857</v>
      </c>
      <c r="BF410" t="str">
        <f>HYPERLINK("http://dx.doi.org/10.1111/j.1945-5100.2011.01302.x","http://dx.doi.org/10.1111/j.1945-5100.2011.01302.x")</f>
        <v>http://dx.doi.org/10.1111/j.1945-5100.2011.01302.x</v>
      </c>
      <c r="BG410" t="s">
        <v>74</v>
      </c>
      <c r="BH410" t="s">
        <v>74</v>
      </c>
      <c r="BI410">
        <v>15</v>
      </c>
      <c r="BJ410" t="s">
        <v>164</v>
      </c>
      <c r="BK410" t="s">
        <v>100</v>
      </c>
      <c r="BL410" t="s">
        <v>164</v>
      </c>
      <c r="BM410" t="s">
        <v>7858</v>
      </c>
      <c r="BN410" t="s">
        <v>74</v>
      </c>
      <c r="BO410" t="s">
        <v>365</v>
      </c>
      <c r="BP410" t="s">
        <v>74</v>
      </c>
      <c r="BQ410" t="s">
        <v>74</v>
      </c>
      <c r="BR410" t="s">
        <v>102</v>
      </c>
      <c r="BS410" t="s">
        <v>7859</v>
      </c>
      <c r="BT410" t="str">
        <f>HYPERLINK("https%3A%2F%2Fwww.webofscience.com%2Fwos%2Fwoscc%2Ffull-record%2FWOS:000298094600006","View Full Record in Web of Science")</f>
        <v>View Full Record in Web of Science</v>
      </c>
    </row>
    <row r="411" spans="1:72" x14ac:dyDescent="0.15">
      <c r="A411" t="s">
        <v>72</v>
      </c>
      <c r="B411" t="s">
        <v>7860</v>
      </c>
      <c r="C411" t="s">
        <v>74</v>
      </c>
      <c r="D411" t="s">
        <v>74</v>
      </c>
      <c r="E411" t="s">
        <v>74</v>
      </c>
      <c r="F411" t="s">
        <v>7861</v>
      </c>
      <c r="G411" t="s">
        <v>74</v>
      </c>
      <c r="H411" t="s">
        <v>74</v>
      </c>
      <c r="I411" t="s">
        <v>7862</v>
      </c>
      <c r="J411" t="s">
        <v>7863</v>
      </c>
      <c r="K411" t="s">
        <v>74</v>
      </c>
      <c r="L411" t="s">
        <v>74</v>
      </c>
      <c r="M411" t="s">
        <v>78</v>
      </c>
      <c r="N411" t="s">
        <v>1513</v>
      </c>
      <c r="O411" t="s">
        <v>74</v>
      </c>
      <c r="P411" t="s">
        <v>74</v>
      </c>
      <c r="Q411" t="s">
        <v>74</v>
      </c>
      <c r="R411" t="s">
        <v>74</v>
      </c>
      <c r="S411" t="s">
        <v>74</v>
      </c>
      <c r="T411" t="s">
        <v>74</v>
      </c>
      <c r="U411" t="s">
        <v>7864</v>
      </c>
      <c r="V411" t="s">
        <v>7865</v>
      </c>
      <c r="W411" t="s">
        <v>7866</v>
      </c>
      <c r="X411" t="s">
        <v>7867</v>
      </c>
      <c r="Y411" t="s">
        <v>7868</v>
      </c>
      <c r="Z411" t="s">
        <v>7869</v>
      </c>
      <c r="AA411" t="s">
        <v>74</v>
      </c>
      <c r="AB411" t="s">
        <v>74</v>
      </c>
      <c r="AC411" t="s">
        <v>7870</v>
      </c>
      <c r="AD411" t="s">
        <v>7871</v>
      </c>
      <c r="AE411" t="s">
        <v>7872</v>
      </c>
      <c r="AF411" t="s">
        <v>74</v>
      </c>
      <c r="AG411">
        <v>103</v>
      </c>
      <c r="AH411">
        <v>99</v>
      </c>
      <c r="AI411">
        <v>110</v>
      </c>
      <c r="AJ411">
        <v>0</v>
      </c>
      <c r="AK411">
        <v>51</v>
      </c>
      <c r="AL411" t="s">
        <v>155</v>
      </c>
      <c r="AM411" t="s">
        <v>156</v>
      </c>
      <c r="AN411" t="s">
        <v>157</v>
      </c>
      <c r="AO411" t="s">
        <v>7873</v>
      </c>
      <c r="AP411" t="s">
        <v>74</v>
      </c>
      <c r="AQ411" t="s">
        <v>74</v>
      </c>
      <c r="AR411" t="s">
        <v>7874</v>
      </c>
      <c r="AS411" t="s">
        <v>7875</v>
      </c>
      <c r="AT411" t="s">
        <v>7122</v>
      </c>
      <c r="AU411">
        <v>2011</v>
      </c>
      <c r="AV411">
        <v>91</v>
      </c>
      <c r="AW411">
        <v>4</v>
      </c>
      <c r="AX411" t="s">
        <v>74</v>
      </c>
      <c r="AY411" t="s">
        <v>74</v>
      </c>
      <c r="AZ411" t="s">
        <v>74</v>
      </c>
      <c r="BA411" t="s">
        <v>74</v>
      </c>
      <c r="BB411">
        <v>397</v>
      </c>
      <c r="BC411">
        <v>409</v>
      </c>
      <c r="BD411" t="s">
        <v>74</v>
      </c>
      <c r="BE411" t="s">
        <v>7876</v>
      </c>
      <c r="BF411" t="str">
        <f>HYPERLINK("http://dx.doi.org/10.1016/j.pocean.2011.04.002","http://dx.doi.org/10.1016/j.pocean.2011.04.002")</f>
        <v>http://dx.doi.org/10.1016/j.pocean.2011.04.002</v>
      </c>
      <c r="BG411" t="s">
        <v>74</v>
      </c>
      <c r="BH411" t="s">
        <v>74</v>
      </c>
      <c r="BI411">
        <v>13</v>
      </c>
      <c r="BJ411" t="s">
        <v>496</v>
      </c>
      <c r="BK411" t="s">
        <v>100</v>
      </c>
      <c r="BL411" t="s">
        <v>496</v>
      </c>
      <c r="BM411" t="s">
        <v>7877</v>
      </c>
      <c r="BN411" t="s">
        <v>74</v>
      </c>
      <c r="BO411" t="s">
        <v>74</v>
      </c>
      <c r="BP411" t="s">
        <v>74</v>
      </c>
      <c r="BQ411" t="s">
        <v>74</v>
      </c>
      <c r="BR411" t="s">
        <v>102</v>
      </c>
      <c r="BS411" t="s">
        <v>7878</v>
      </c>
      <c r="BT411" t="str">
        <f>HYPERLINK("https%3A%2F%2Fwww.webofscience.com%2Fwos%2Fwoscc%2Ffull-record%2FWOS:000298202000004","View Full Record in Web of Science")</f>
        <v>View Full Record in Web of Science</v>
      </c>
    </row>
    <row r="412" spans="1:72" x14ac:dyDescent="0.15">
      <c r="A412" t="s">
        <v>72</v>
      </c>
      <c r="B412" t="s">
        <v>7879</v>
      </c>
      <c r="C412" t="s">
        <v>74</v>
      </c>
      <c r="D412" t="s">
        <v>74</v>
      </c>
      <c r="E412" t="s">
        <v>74</v>
      </c>
      <c r="F412" t="s">
        <v>7880</v>
      </c>
      <c r="G412" t="s">
        <v>74</v>
      </c>
      <c r="H412" t="s">
        <v>74</v>
      </c>
      <c r="I412" t="s">
        <v>7881</v>
      </c>
      <c r="J412" t="s">
        <v>7882</v>
      </c>
      <c r="K412" t="s">
        <v>74</v>
      </c>
      <c r="L412" t="s">
        <v>74</v>
      </c>
      <c r="M412" t="s">
        <v>78</v>
      </c>
      <c r="N412" t="s">
        <v>79</v>
      </c>
      <c r="O412" t="s">
        <v>74</v>
      </c>
      <c r="P412" t="s">
        <v>74</v>
      </c>
      <c r="Q412" t="s">
        <v>74</v>
      </c>
      <c r="R412" t="s">
        <v>74</v>
      </c>
      <c r="S412" t="s">
        <v>74</v>
      </c>
      <c r="T412" t="s">
        <v>7883</v>
      </c>
      <c r="U412" t="s">
        <v>7884</v>
      </c>
      <c r="V412" t="s">
        <v>7885</v>
      </c>
      <c r="W412" t="s">
        <v>7886</v>
      </c>
      <c r="X412" t="s">
        <v>7887</v>
      </c>
      <c r="Y412" t="s">
        <v>7888</v>
      </c>
      <c r="Z412" t="s">
        <v>7889</v>
      </c>
      <c r="AA412" t="s">
        <v>7890</v>
      </c>
      <c r="AB412" t="s">
        <v>7891</v>
      </c>
      <c r="AC412" t="s">
        <v>7892</v>
      </c>
      <c r="AD412" t="s">
        <v>7893</v>
      </c>
      <c r="AE412" t="s">
        <v>7894</v>
      </c>
      <c r="AF412" t="s">
        <v>74</v>
      </c>
      <c r="AG412">
        <v>44</v>
      </c>
      <c r="AH412">
        <v>12</v>
      </c>
      <c r="AI412">
        <v>14</v>
      </c>
      <c r="AJ412">
        <v>0</v>
      </c>
      <c r="AK412">
        <v>17</v>
      </c>
      <c r="AL412" t="s">
        <v>3479</v>
      </c>
      <c r="AM412" t="s">
        <v>334</v>
      </c>
      <c r="AN412" t="s">
        <v>3480</v>
      </c>
      <c r="AO412" t="s">
        <v>7895</v>
      </c>
      <c r="AP412" t="s">
        <v>74</v>
      </c>
      <c r="AQ412" t="s">
        <v>74</v>
      </c>
      <c r="AR412" t="s">
        <v>7896</v>
      </c>
      <c r="AS412" t="s">
        <v>7897</v>
      </c>
      <c r="AT412" t="s">
        <v>7212</v>
      </c>
      <c r="AU412">
        <v>2011</v>
      </c>
      <c r="AV412">
        <v>410</v>
      </c>
      <c r="AW412" t="s">
        <v>74</v>
      </c>
      <c r="AX412" t="s">
        <v>74</v>
      </c>
      <c r="AY412" t="s">
        <v>74</v>
      </c>
      <c r="AZ412" t="s">
        <v>74</v>
      </c>
      <c r="BA412" t="s">
        <v>74</v>
      </c>
      <c r="BB412">
        <v>205</v>
      </c>
      <c r="BC412">
        <v>216</v>
      </c>
      <c r="BD412" t="s">
        <v>74</v>
      </c>
      <c r="BE412" t="s">
        <v>7898</v>
      </c>
      <c r="BF412" t="str">
        <f>HYPERLINK("http://dx.doi.org/10.1016/j.scitotenv.2011.09.013","http://dx.doi.org/10.1016/j.scitotenv.2011.09.013")</f>
        <v>http://dx.doi.org/10.1016/j.scitotenv.2011.09.013</v>
      </c>
      <c r="BG412" t="s">
        <v>74</v>
      </c>
      <c r="BH412" t="s">
        <v>74</v>
      </c>
      <c r="BI412">
        <v>12</v>
      </c>
      <c r="BJ412" t="s">
        <v>2924</v>
      </c>
      <c r="BK412" t="s">
        <v>100</v>
      </c>
      <c r="BL412" t="s">
        <v>2837</v>
      </c>
      <c r="BM412" t="s">
        <v>7899</v>
      </c>
      <c r="BN412">
        <v>22018965</v>
      </c>
      <c r="BO412" t="s">
        <v>74</v>
      </c>
      <c r="BP412" t="s">
        <v>74</v>
      </c>
      <c r="BQ412" t="s">
        <v>74</v>
      </c>
      <c r="BR412" t="s">
        <v>102</v>
      </c>
      <c r="BS412" t="s">
        <v>7900</v>
      </c>
      <c r="BT412" t="str">
        <f>HYPERLINK("https%3A%2F%2Fwww.webofscience.com%2Fwos%2Fwoscc%2Ffull-record%2FWOS:000298203600027","View Full Record in Web of Science")</f>
        <v>View Full Record in Web of Science</v>
      </c>
    </row>
    <row r="413" spans="1:72" x14ac:dyDescent="0.15">
      <c r="A413" t="s">
        <v>72</v>
      </c>
      <c r="B413" t="s">
        <v>7901</v>
      </c>
      <c r="C413" t="s">
        <v>74</v>
      </c>
      <c r="D413" t="s">
        <v>74</v>
      </c>
      <c r="E413" t="s">
        <v>74</v>
      </c>
      <c r="F413" t="s">
        <v>7902</v>
      </c>
      <c r="G413" t="s">
        <v>74</v>
      </c>
      <c r="H413" t="s">
        <v>74</v>
      </c>
      <c r="I413" t="s">
        <v>7903</v>
      </c>
      <c r="J413" t="s">
        <v>7904</v>
      </c>
      <c r="K413" t="s">
        <v>74</v>
      </c>
      <c r="L413" t="s">
        <v>74</v>
      </c>
      <c r="M413" t="s">
        <v>78</v>
      </c>
      <c r="N413" t="s">
        <v>79</v>
      </c>
      <c r="O413" t="s">
        <v>74</v>
      </c>
      <c r="P413" t="s">
        <v>74</v>
      </c>
      <c r="Q413" t="s">
        <v>74</v>
      </c>
      <c r="R413" t="s">
        <v>74</v>
      </c>
      <c r="S413" t="s">
        <v>74</v>
      </c>
      <c r="T413" t="s">
        <v>7905</v>
      </c>
      <c r="U413" t="s">
        <v>74</v>
      </c>
      <c r="V413" t="s">
        <v>7906</v>
      </c>
      <c r="W413" t="s">
        <v>74</v>
      </c>
      <c r="X413" t="s">
        <v>74</v>
      </c>
      <c r="Y413" t="s">
        <v>7907</v>
      </c>
      <c r="Z413" t="s">
        <v>7908</v>
      </c>
      <c r="AA413" t="s">
        <v>74</v>
      </c>
      <c r="AB413" t="s">
        <v>74</v>
      </c>
      <c r="AC413" t="s">
        <v>74</v>
      </c>
      <c r="AD413" t="s">
        <v>74</v>
      </c>
      <c r="AE413" t="s">
        <v>74</v>
      </c>
      <c r="AF413" t="s">
        <v>74</v>
      </c>
      <c r="AG413">
        <v>55</v>
      </c>
      <c r="AH413">
        <v>1</v>
      </c>
      <c r="AI413">
        <v>1</v>
      </c>
      <c r="AJ413">
        <v>0</v>
      </c>
      <c r="AK413">
        <v>6</v>
      </c>
      <c r="AL413" t="s">
        <v>7909</v>
      </c>
      <c r="AM413" t="s">
        <v>7910</v>
      </c>
      <c r="AN413" t="s">
        <v>7911</v>
      </c>
      <c r="AO413" t="s">
        <v>7912</v>
      </c>
      <c r="AP413" t="s">
        <v>74</v>
      </c>
      <c r="AQ413" t="s">
        <v>74</v>
      </c>
      <c r="AR413" t="s">
        <v>7904</v>
      </c>
      <c r="AS413" t="s">
        <v>7913</v>
      </c>
      <c r="AT413" t="s">
        <v>7122</v>
      </c>
      <c r="AU413">
        <v>2011</v>
      </c>
      <c r="AV413">
        <v>64</v>
      </c>
      <c r="AW413">
        <v>4</v>
      </c>
      <c r="AX413" t="s">
        <v>74</v>
      </c>
      <c r="AY413" t="s">
        <v>74</v>
      </c>
      <c r="AZ413" t="s">
        <v>74</v>
      </c>
      <c r="BA413" t="s">
        <v>74</v>
      </c>
      <c r="BB413">
        <v>399</v>
      </c>
      <c r="BC413">
        <v>412</v>
      </c>
      <c r="BD413" t="s">
        <v>74</v>
      </c>
      <c r="BE413" t="s">
        <v>74</v>
      </c>
      <c r="BF413" t="s">
        <v>74</v>
      </c>
      <c r="BG413" t="s">
        <v>74</v>
      </c>
      <c r="BH413" t="s">
        <v>74</v>
      </c>
      <c r="BI413">
        <v>14</v>
      </c>
      <c r="BJ413" t="s">
        <v>7914</v>
      </c>
      <c r="BK413" t="s">
        <v>100</v>
      </c>
      <c r="BL413" t="s">
        <v>7915</v>
      </c>
      <c r="BM413" t="s">
        <v>7916</v>
      </c>
      <c r="BN413" t="s">
        <v>74</v>
      </c>
      <c r="BO413" t="s">
        <v>74</v>
      </c>
      <c r="BP413" t="s">
        <v>74</v>
      </c>
      <c r="BQ413" t="s">
        <v>74</v>
      </c>
      <c r="BR413" t="s">
        <v>102</v>
      </c>
      <c r="BS413" t="s">
        <v>7917</v>
      </c>
      <c r="BT413" t="str">
        <f>HYPERLINK("https%3A%2F%2Fwww.webofscience.com%2Fwos%2Fwoscc%2Ffull-record%2FWOS:000298208600001","View Full Record in Web of Science")</f>
        <v>View Full Record in Web of Science</v>
      </c>
    </row>
    <row r="414" spans="1:72" x14ac:dyDescent="0.15">
      <c r="A414" t="s">
        <v>72</v>
      </c>
      <c r="B414" t="s">
        <v>7918</v>
      </c>
      <c r="C414" t="s">
        <v>74</v>
      </c>
      <c r="D414" t="s">
        <v>74</v>
      </c>
      <c r="E414" t="s">
        <v>74</v>
      </c>
      <c r="F414" t="s">
        <v>7919</v>
      </c>
      <c r="G414" t="s">
        <v>74</v>
      </c>
      <c r="H414" t="s">
        <v>74</v>
      </c>
      <c r="I414" t="s">
        <v>7920</v>
      </c>
      <c r="J414" t="s">
        <v>7904</v>
      </c>
      <c r="K414" t="s">
        <v>74</v>
      </c>
      <c r="L414" t="s">
        <v>74</v>
      </c>
      <c r="M414" t="s">
        <v>78</v>
      </c>
      <c r="N414" t="s">
        <v>79</v>
      </c>
      <c r="O414" t="s">
        <v>74</v>
      </c>
      <c r="P414" t="s">
        <v>74</v>
      </c>
      <c r="Q414" t="s">
        <v>74</v>
      </c>
      <c r="R414" t="s">
        <v>74</v>
      </c>
      <c r="S414" t="s">
        <v>74</v>
      </c>
      <c r="T414" t="s">
        <v>7921</v>
      </c>
      <c r="U414" t="s">
        <v>7922</v>
      </c>
      <c r="V414" t="s">
        <v>7923</v>
      </c>
      <c r="W414" t="s">
        <v>7924</v>
      </c>
      <c r="X414" t="s">
        <v>7925</v>
      </c>
      <c r="Y414" t="s">
        <v>7926</v>
      </c>
      <c r="Z414" t="s">
        <v>7927</v>
      </c>
      <c r="AA414" t="s">
        <v>74</v>
      </c>
      <c r="AB414" t="s">
        <v>74</v>
      </c>
      <c r="AC414" t="s">
        <v>7928</v>
      </c>
      <c r="AD414" t="s">
        <v>7929</v>
      </c>
      <c r="AE414" t="s">
        <v>7930</v>
      </c>
      <c r="AF414" t="s">
        <v>74</v>
      </c>
      <c r="AG414">
        <v>17</v>
      </c>
      <c r="AH414">
        <v>8</v>
      </c>
      <c r="AI414">
        <v>13</v>
      </c>
      <c r="AJ414">
        <v>0</v>
      </c>
      <c r="AK414">
        <v>96</v>
      </c>
      <c r="AL414" t="s">
        <v>7909</v>
      </c>
      <c r="AM414" t="s">
        <v>7910</v>
      </c>
      <c r="AN414" t="s">
        <v>7911</v>
      </c>
      <c r="AO414" t="s">
        <v>7912</v>
      </c>
      <c r="AP414" t="s">
        <v>74</v>
      </c>
      <c r="AQ414" t="s">
        <v>74</v>
      </c>
      <c r="AR414" t="s">
        <v>7904</v>
      </c>
      <c r="AS414" t="s">
        <v>7913</v>
      </c>
      <c r="AT414" t="s">
        <v>7122</v>
      </c>
      <c r="AU414">
        <v>2011</v>
      </c>
      <c r="AV414">
        <v>64</v>
      </c>
      <c r="AW414">
        <v>4</v>
      </c>
      <c r="AX414" t="s">
        <v>74</v>
      </c>
      <c r="AY414" t="s">
        <v>74</v>
      </c>
      <c r="AZ414" t="s">
        <v>74</v>
      </c>
      <c r="BA414" t="s">
        <v>74</v>
      </c>
      <c r="BB414">
        <v>478</v>
      </c>
      <c r="BC414">
        <v>482</v>
      </c>
      <c r="BD414" t="s">
        <v>74</v>
      </c>
      <c r="BE414" t="s">
        <v>74</v>
      </c>
      <c r="BF414" t="s">
        <v>74</v>
      </c>
      <c r="BG414" t="s">
        <v>74</v>
      </c>
      <c r="BH414" t="s">
        <v>74</v>
      </c>
      <c r="BI414">
        <v>5</v>
      </c>
      <c r="BJ414" t="s">
        <v>7914</v>
      </c>
      <c r="BK414" t="s">
        <v>100</v>
      </c>
      <c r="BL414" t="s">
        <v>7915</v>
      </c>
      <c r="BM414" t="s">
        <v>7916</v>
      </c>
      <c r="BN414" t="s">
        <v>74</v>
      </c>
      <c r="BO414" t="s">
        <v>74</v>
      </c>
      <c r="BP414" t="s">
        <v>74</v>
      </c>
      <c r="BQ414" t="s">
        <v>74</v>
      </c>
      <c r="BR414" t="s">
        <v>102</v>
      </c>
      <c r="BS414" t="s">
        <v>7931</v>
      </c>
      <c r="BT414" t="str">
        <f>HYPERLINK("https%3A%2F%2Fwww.webofscience.com%2Fwos%2Fwoscc%2Ffull-record%2FWOS:000298208600009","View Full Record in Web of Science")</f>
        <v>View Full Record in Web of Science</v>
      </c>
    </row>
    <row r="415" spans="1:72" x14ac:dyDescent="0.15">
      <c r="A415" t="s">
        <v>72</v>
      </c>
      <c r="B415" t="s">
        <v>7932</v>
      </c>
      <c r="C415" t="s">
        <v>74</v>
      </c>
      <c r="D415" t="s">
        <v>74</v>
      </c>
      <c r="E415" t="s">
        <v>74</v>
      </c>
      <c r="F415" t="s">
        <v>7933</v>
      </c>
      <c r="G415" t="s">
        <v>74</v>
      </c>
      <c r="H415" t="s">
        <v>74</v>
      </c>
      <c r="I415" t="s">
        <v>7934</v>
      </c>
      <c r="J415" t="s">
        <v>7935</v>
      </c>
      <c r="K415" t="s">
        <v>74</v>
      </c>
      <c r="L415" t="s">
        <v>74</v>
      </c>
      <c r="M415" t="s">
        <v>78</v>
      </c>
      <c r="N415" t="s">
        <v>1513</v>
      </c>
      <c r="O415" t="s">
        <v>74</v>
      </c>
      <c r="P415" t="s">
        <v>74</v>
      </c>
      <c r="Q415" t="s">
        <v>74</v>
      </c>
      <c r="R415" t="s">
        <v>74</v>
      </c>
      <c r="S415" t="s">
        <v>74</v>
      </c>
      <c r="T415" t="s">
        <v>7936</v>
      </c>
      <c r="U415" t="s">
        <v>7937</v>
      </c>
      <c r="V415" t="s">
        <v>7938</v>
      </c>
      <c r="W415" t="s">
        <v>7939</v>
      </c>
      <c r="X415" t="s">
        <v>7940</v>
      </c>
      <c r="Y415" t="s">
        <v>7941</v>
      </c>
      <c r="Z415" t="s">
        <v>7942</v>
      </c>
      <c r="AA415" t="s">
        <v>7943</v>
      </c>
      <c r="AB415" t="s">
        <v>7944</v>
      </c>
      <c r="AC415" t="s">
        <v>7945</v>
      </c>
      <c r="AD415" t="s">
        <v>7946</v>
      </c>
      <c r="AE415" t="s">
        <v>7947</v>
      </c>
      <c r="AF415" t="s">
        <v>74</v>
      </c>
      <c r="AG415">
        <v>45</v>
      </c>
      <c r="AH415">
        <v>52</v>
      </c>
      <c r="AI415">
        <v>58</v>
      </c>
      <c r="AJ415">
        <v>3</v>
      </c>
      <c r="AK415">
        <v>125</v>
      </c>
      <c r="AL415" t="s">
        <v>2832</v>
      </c>
      <c r="AM415" t="s">
        <v>796</v>
      </c>
      <c r="AN415" t="s">
        <v>797</v>
      </c>
      <c r="AO415" t="s">
        <v>7948</v>
      </c>
      <c r="AP415" t="s">
        <v>7949</v>
      </c>
      <c r="AQ415" t="s">
        <v>74</v>
      </c>
      <c r="AR415" t="s">
        <v>7950</v>
      </c>
      <c r="AS415" t="s">
        <v>7951</v>
      </c>
      <c r="AT415" t="s">
        <v>7122</v>
      </c>
      <c r="AU415">
        <v>2011</v>
      </c>
      <c r="AV415">
        <v>51</v>
      </c>
      <c r="AW415">
        <v>6</v>
      </c>
      <c r="AX415" t="s">
        <v>74</v>
      </c>
      <c r="AY415" t="s">
        <v>74</v>
      </c>
      <c r="AZ415" t="s">
        <v>74</v>
      </c>
      <c r="BA415" t="s">
        <v>74</v>
      </c>
      <c r="BB415">
        <v>572</v>
      </c>
      <c r="BC415">
        <v>579</v>
      </c>
      <c r="BD415" t="s">
        <v>74</v>
      </c>
      <c r="BE415" t="s">
        <v>7952</v>
      </c>
      <c r="BF415" t="str">
        <f>HYPERLINK("http://dx.doi.org/10.1002/jobm.201000385","http://dx.doi.org/10.1002/jobm.201000385")</f>
        <v>http://dx.doi.org/10.1002/jobm.201000385</v>
      </c>
      <c r="BG415" t="s">
        <v>74</v>
      </c>
      <c r="BH415" t="s">
        <v>74</v>
      </c>
      <c r="BI415">
        <v>8</v>
      </c>
      <c r="BJ415" t="s">
        <v>3089</v>
      </c>
      <c r="BK415" t="s">
        <v>100</v>
      </c>
      <c r="BL415" t="s">
        <v>3089</v>
      </c>
      <c r="BM415" t="s">
        <v>7953</v>
      </c>
      <c r="BN415">
        <v>21656807</v>
      </c>
      <c r="BO415" t="s">
        <v>74</v>
      </c>
      <c r="BP415" t="s">
        <v>74</v>
      </c>
      <c r="BQ415" t="s">
        <v>74</v>
      </c>
      <c r="BR415" t="s">
        <v>102</v>
      </c>
      <c r="BS415" t="s">
        <v>7954</v>
      </c>
      <c r="BT415" t="str">
        <f>HYPERLINK("https%3A%2F%2Fwww.webofscience.com%2Fwos%2Fwoscc%2Ffull-record%2FWOS:000297949900003","View Full Record in Web of Science")</f>
        <v>View Full Record in Web of Science</v>
      </c>
    </row>
    <row r="416" spans="1:72" x14ac:dyDescent="0.15">
      <c r="A416" t="s">
        <v>72</v>
      </c>
      <c r="B416" t="s">
        <v>7955</v>
      </c>
      <c r="C416" t="s">
        <v>74</v>
      </c>
      <c r="D416" t="s">
        <v>74</v>
      </c>
      <c r="E416" t="s">
        <v>74</v>
      </c>
      <c r="F416" t="s">
        <v>7956</v>
      </c>
      <c r="G416" t="s">
        <v>74</v>
      </c>
      <c r="H416" t="s">
        <v>74</v>
      </c>
      <c r="I416" t="s">
        <v>7957</v>
      </c>
      <c r="J416" t="s">
        <v>7935</v>
      </c>
      <c r="K416" t="s">
        <v>74</v>
      </c>
      <c r="L416" t="s">
        <v>74</v>
      </c>
      <c r="M416" t="s">
        <v>78</v>
      </c>
      <c r="N416" t="s">
        <v>79</v>
      </c>
      <c r="O416" t="s">
        <v>74</v>
      </c>
      <c r="P416" t="s">
        <v>74</v>
      </c>
      <c r="Q416" t="s">
        <v>74</v>
      </c>
      <c r="R416" t="s">
        <v>74</v>
      </c>
      <c r="S416" t="s">
        <v>74</v>
      </c>
      <c r="T416" t="s">
        <v>7958</v>
      </c>
      <c r="U416" t="s">
        <v>7959</v>
      </c>
      <c r="V416" t="s">
        <v>7960</v>
      </c>
      <c r="W416" t="s">
        <v>7961</v>
      </c>
      <c r="X416" t="s">
        <v>7962</v>
      </c>
      <c r="Y416" t="s">
        <v>7963</v>
      </c>
      <c r="Z416" t="s">
        <v>7964</v>
      </c>
      <c r="AA416" t="s">
        <v>74</v>
      </c>
      <c r="AB416" t="s">
        <v>74</v>
      </c>
      <c r="AC416" t="s">
        <v>74</v>
      </c>
      <c r="AD416" t="s">
        <v>74</v>
      </c>
      <c r="AE416" t="s">
        <v>74</v>
      </c>
      <c r="AF416" t="s">
        <v>74</v>
      </c>
      <c r="AG416">
        <v>33</v>
      </c>
      <c r="AH416">
        <v>16</v>
      </c>
      <c r="AI416">
        <v>17</v>
      </c>
      <c r="AJ416">
        <v>0</v>
      </c>
      <c r="AK416">
        <v>12</v>
      </c>
      <c r="AL416" t="s">
        <v>2832</v>
      </c>
      <c r="AM416" t="s">
        <v>796</v>
      </c>
      <c r="AN416" t="s">
        <v>797</v>
      </c>
      <c r="AO416" t="s">
        <v>7948</v>
      </c>
      <c r="AP416" t="s">
        <v>7949</v>
      </c>
      <c r="AQ416" t="s">
        <v>74</v>
      </c>
      <c r="AR416" t="s">
        <v>7950</v>
      </c>
      <c r="AS416" t="s">
        <v>7951</v>
      </c>
      <c r="AT416" t="s">
        <v>7122</v>
      </c>
      <c r="AU416">
        <v>2011</v>
      </c>
      <c r="AV416">
        <v>51</v>
      </c>
      <c r="AW416">
        <v>6</v>
      </c>
      <c r="AX416" t="s">
        <v>74</v>
      </c>
      <c r="AY416" t="s">
        <v>74</v>
      </c>
      <c r="AZ416" t="s">
        <v>74</v>
      </c>
      <c r="BA416" t="s">
        <v>74</v>
      </c>
      <c r="BB416">
        <v>590</v>
      </c>
      <c r="BC416">
        <v>600</v>
      </c>
      <c r="BD416" t="s">
        <v>74</v>
      </c>
      <c r="BE416" t="s">
        <v>7965</v>
      </c>
      <c r="BF416" t="str">
        <f>HYPERLINK("http://dx.doi.org/10.1002/jobm.201000413","http://dx.doi.org/10.1002/jobm.201000413")</f>
        <v>http://dx.doi.org/10.1002/jobm.201000413</v>
      </c>
      <c r="BG416" t="s">
        <v>74</v>
      </c>
      <c r="BH416" t="s">
        <v>74</v>
      </c>
      <c r="BI416">
        <v>11</v>
      </c>
      <c r="BJ416" t="s">
        <v>3089</v>
      </c>
      <c r="BK416" t="s">
        <v>100</v>
      </c>
      <c r="BL416" t="s">
        <v>3089</v>
      </c>
      <c r="BM416" t="s">
        <v>7953</v>
      </c>
      <c r="BN416">
        <v>21656810</v>
      </c>
      <c r="BO416" t="s">
        <v>6160</v>
      </c>
      <c r="BP416" t="s">
        <v>74</v>
      </c>
      <c r="BQ416" t="s">
        <v>74</v>
      </c>
      <c r="BR416" t="s">
        <v>102</v>
      </c>
      <c r="BS416" t="s">
        <v>7966</v>
      </c>
      <c r="BT416" t="str">
        <f>HYPERLINK("https%3A%2F%2Fwww.webofscience.com%2Fwos%2Fwoscc%2Ffull-record%2FWOS:000297949900005","View Full Record in Web of Science")</f>
        <v>View Full Record in Web of Science</v>
      </c>
    </row>
    <row r="417" spans="1:72" x14ac:dyDescent="0.15">
      <c r="A417" t="s">
        <v>72</v>
      </c>
      <c r="B417" t="s">
        <v>7967</v>
      </c>
      <c r="C417" t="s">
        <v>74</v>
      </c>
      <c r="D417" t="s">
        <v>74</v>
      </c>
      <c r="E417" t="s">
        <v>74</v>
      </c>
      <c r="F417" t="s">
        <v>7968</v>
      </c>
      <c r="G417" t="s">
        <v>74</v>
      </c>
      <c r="H417" t="s">
        <v>74</v>
      </c>
      <c r="I417" t="s">
        <v>7969</v>
      </c>
      <c r="J417" t="s">
        <v>7970</v>
      </c>
      <c r="K417" t="s">
        <v>74</v>
      </c>
      <c r="L417" t="s">
        <v>74</v>
      </c>
      <c r="M417" t="s">
        <v>78</v>
      </c>
      <c r="N417" t="s">
        <v>7692</v>
      </c>
      <c r="O417" t="s">
        <v>74</v>
      </c>
      <c r="P417" t="s">
        <v>74</v>
      </c>
      <c r="Q417" t="s">
        <v>74</v>
      </c>
      <c r="R417" t="s">
        <v>74</v>
      </c>
      <c r="S417" t="s">
        <v>74</v>
      </c>
      <c r="T417" t="s">
        <v>74</v>
      </c>
      <c r="U417" t="s">
        <v>74</v>
      </c>
      <c r="V417" t="s">
        <v>74</v>
      </c>
      <c r="W417" t="s">
        <v>74</v>
      </c>
      <c r="X417" t="s">
        <v>74</v>
      </c>
      <c r="Y417" t="s">
        <v>74</v>
      </c>
      <c r="Z417" t="s">
        <v>74</v>
      </c>
      <c r="AA417" t="s">
        <v>74</v>
      </c>
      <c r="AB417" t="s">
        <v>74</v>
      </c>
      <c r="AC417" t="s">
        <v>74</v>
      </c>
      <c r="AD417" t="s">
        <v>74</v>
      </c>
      <c r="AE417" t="s">
        <v>74</v>
      </c>
      <c r="AF417" t="s">
        <v>74</v>
      </c>
      <c r="AG417">
        <v>1</v>
      </c>
      <c r="AH417">
        <v>0</v>
      </c>
      <c r="AI417">
        <v>0</v>
      </c>
      <c r="AJ417">
        <v>0</v>
      </c>
      <c r="AK417">
        <v>0</v>
      </c>
      <c r="AL417" t="s">
        <v>813</v>
      </c>
      <c r="AM417" t="s">
        <v>413</v>
      </c>
      <c r="AN417" t="s">
        <v>7426</v>
      </c>
      <c r="AO417" t="s">
        <v>7971</v>
      </c>
      <c r="AP417" t="s">
        <v>74</v>
      </c>
      <c r="AQ417" t="s">
        <v>74</v>
      </c>
      <c r="AR417" t="s">
        <v>7972</v>
      </c>
      <c r="AS417" t="s">
        <v>7973</v>
      </c>
      <c r="AT417" t="s">
        <v>7122</v>
      </c>
      <c r="AU417">
        <v>2011</v>
      </c>
      <c r="AV417">
        <v>91</v>
      </c>
      <c r="AW417">
        <v>8</v>
      </c>
      <c r="AX417" t="s">
        <v>74</v>
      </c>
      <c r="AY417" t="s">
        <v>74</v>
      </c>
      <c r="AZ417" t="s">
        <v>74</v>
      </c>
      <c r="BA417" t="s">
        <v>74</v>
      </c>
      <c r="BB417">
        <v>1709</v>
      </c>
      <c r="BC417">
        <v>1709</v>
      </c>
      <c r="BD417" t="s">
        <v>74</v>
      </c>
      <c r="BE417" t="s">
        <v>7974</v>
      </c>
      <c r="BF417" t="str">
        <f>HYPERLINK("http://dx.doi.org/10.1017/S0025315410001736","http://dx.doi.org/10.1017/S0025315410001736")</f>
        <v>http://dx.doi.org/10.1017/S0025315410001736</v>
      </c>
      <c r="BG417" t="s">
        <v>74</v>
      </c>
      <c r="BH417" t="s">
        <v>74</v>
      </c>
      <c r="BI417">
        <v>1</v>
      </c>
      <c r="BJ417" t="s">
        <v>1015</v>
      </c>
      <c r="BK417" t="s">
        <v>100</v>
      </c>
      <c r="BL417" t="s">
        <v>1015</v>
      </c>
      <c r="BM417" t="s">
        <v>7975</v>
      </c>
      <c r="BN417" t="s">
        <v>74</v>
      </c>
      <c r="BO417" t="s">
        <v>365</v>
      </c>
      <c r="BP417" t="s">
        <v>74</v>
      </c>
      <c r="BQ417" t="s">
        <v>74</v>
      </c>
      <c r="BR417" t="s">
        <v>102</v>
      </c>
      <c r="BS417" t="s">
        <v>7976</v>
      </c>
      <c r="BT417" t="str">
        <f>HYPERLINK("https%3A%2F%2Fwww.webofscience.com%2Fwos%2Fwoscc%2Ffull-record%2FWOS:000297881700017","View Full Record in Web of Science")</f>
        <v>View Full Record in Web of Science</v>
      </c>
    </row>
    <row r="418" spans="1:72" x14ac:dyDescent="0.15">
      <c r="A418" t="s">
        <v>72</v>
      </c>
      <c r="B418" t="s">
        <v>7977</v>
      </c>
      <c r="C418" t="s">
        <v>74</v>
      </c>
      <c r="D418" t="s">
        <v>74</v>
      </c>
      <c r="E418" t="s">
        <v>74</v>
      </c>
      <c r="F418" t="s">
        <v>7978</v>
      </c>
      <c r="G418" t="s">
        <v>74</v>
      </c>
      <c r="H418" t="s">
        <v>74</v>
      </c>
      <c r="I418" t="s">
        <v>7979</v>
      </c>
      <c r="J418" t="s">
        <v>1113</v>
      </c>
      <c r="K418" t="s">
        <v>74</v>
      </c>
      <c r="L418" t="s">
        <v>74</v>
      </c>
      <c r="M418" t="s">
        <v>78</v>
      </c>
      <c r="N418" t="s">
        <v>79</v>
      </c>
      <c r="O418" t="s">
        <v>74</v>
      </c>
      <c r="P418" t="s">
        <v>74</v>
      </c>
      <c r="Q418" t="s">
        <v>74</v>
      </c>
      <c r="R418" t="s">
        <v>74</v>
      </c>
      <c r="S418" t="s">
        <v>74</v>
      </c>
      <c r="T418" t="s">
        <v>7980</v>
      </c>
      <c r="U418" t="s">
        <v>7981</v>
      </c>
      <c r="V418" t="s">
        <v>7982</v>
      </c>
      <c r="W418" t="s">
        <v>7983</v>
      </c>
      <c r="X418" t="s">
        <v>7984</v>
      </c>
      <c r="Y418" t="s">
        <v>7985</v>
      </c>
      <c r="Z418" t="s">
        <v>7986</v>
      </c>
      <c r="AA418" t="s">
        <v>74</v>
      </c>
      <c r="AB418" t="s">
        <v>7987</v>
      </c>
      <c r="AC418" t="s">
        <v>7988</v>
      </c>
      <c r="AD418" t="s">
        <v>7989</v>
      </c>
      <c r="AE418" t="s">
        <v>7990</v>
      </c>
      <c r="AF418" t="s">
        <v>74</v>
      </c>
      <c r="AG418">
        <v>56</v>
      </c>
      <c r="AH418">
        <v>31</v>
      </c>
      <c r="AI418">
        <v>34</v>
      </c>
      <c r="AJ418">
        <v>0</v>
      </c>
      <c r="AK418">
        <v>8</v>
      </c>
      <c r="AL418" t="s">
        <v>333</v>
      </c>
      <c r="AM418" t="s">
        <v>334</v>
      </c>
      <c r="AN418" t="s">
        <v>335</v>
      </c>
      <c r="AO418" t="s">
        <v>1125</v>
      </c>
      <c r="AP418" t="s">
        <v>1126</v>
      </c>
      <c r="AQ418" t="s">
        <v>74</v>
      </c>
      <c r="AR418" t="s">
        <v>1127</v>
      </c>
      <c r="AS418" t="s">
        <v>1128</v>
      </c>
      <c r="AT418" t="s">
        <v>7122</v>
      </c>
      <c r="AU418">
        <v>2011</v>
      </c>
      <c r="AV418">
        <v>35</v>
      </c>
      <c r="AW418">
        <v>5</v>
      </c>
      <c r="AX418" t="s">
        <v>74</v>
      </c>
      <c r="AY418" t="s">
        <v>74</v>
      </c>
      <c r="AZ418" t="s">
        <v>74</v>
      </c>
      <c r="BA418" t="s">
        <v>74</v>
      </c>
      <c r="BB418">
        <v>242</v>
      </c>
      <c r="BC418">
        <v>256</v>
      </c>
      <c r="BD418" t="s">
        <v>74</v>
      </c>
      <c r="BE418" t="s">
        <v>7991</v>
      </c>
      <c r="BF418" t="str">
        <f>HYPERLINK("http://dx.doi.org/10.1016/j.astropartphys.2011.08.004","http://dx.doi.org/10.1016/j.astropartphys.2011.08.004")</f>
        <v>http://dx.doi.org/10.1016/j.astropartphys.2011.08.004</v>
      </c>
      <c r="BG418" t="s">
        <v>74</v>
      </c>
      <c r="BH418" t="s">
        <v>74</v>
      </c>
      <c r="BI418">
        <v>15</v>
      </c>
      <c r="BJ418" t="s">
        <v>1130</v>
      </c>
      <c r="BK418" t="s">
        <v>100</v>
      </c>
      <c r="BL418" t="s">
        <v>1131</v>
      </c>
      <c r="BM418" t="s">
        <v>7992</v>
      </c>
      <c r="BN418" t="s">
        <v>74</v>
      </c>
      <c r="BO418" t="s">
        <v>1796</v>
      </c>
      <c r="BP418" t="s">
        <v>74</v>
      </c>
      <c r="BQ418" t="s">
        <v>74</v>
      </c>
      <c r="BR418" t="s">
        <v>102</v>
      </c>
      <c r="BS418" t="s">
        <v>7993</v>
      </c>
      <c r="BT418" t="str">
        <f>HYPERLINK("https%3A%2F%2Fwww.webofscience.com%2Fwos%2Fwoscc%2Ffull-record%2FWOS:000297434500004","View Full Record in Web of Science")</f>
        <v>View Full Record in Web of Science</v>
      </c>
    </row>
    <row r="419" spans="1:72" x14ac:dyDescent="0.15">
      <c r="A419" t="s">
        <v>72</v>
      </c>
      <c r="B419" t="s">
        <v>7994</v>
      </c>
      <c r="C419" t="s">
        <v>74</v>
      </c>
      <c r="D419" t="s">
        <v>74</v>
      </c>
      <c r="E419" t="s">
        <v>74</v>
      </c>
      <c r="F419" t="s">
        <v>7995</v>
      </c>
      <c r="G419" t="s">
        <v>74</v>
      </c>
      <c r="H419" t="s">
        <v>74</v>
      </c>
      <c r="I419" t="s">
        <v>7996</v>
      </c>
      <c r="J419" t="s">
        <v>7997</v>
      </c>
      <c r="K419" t="s">
        <v>74</v>
      </c>
      <c r="L419" t="s">
        <v>74</v>
      </c>
      <c r="M419" t="s">
        <v>78</v>
      </c>
      <c r="N419" t="s">
        <v>79</v>
      </c>
      <c r="O419" t="s">
        <v>74</v>
      </c>
      <c r="P419" t="s">
        <v>74</v>
      </c>
      <c r="Q419" t="s">
        <v>74</v>
      </c>
      <c r="R419" t="s">
        <v>74</v>
      </c>
      <c r="S419" t="s">
        <v>74</v>
      </c>
      <c r="T419" t="s">
        <v>7998</v>
      </c>
      <c r="U419" t="s">
        <v>7999</v>
      </c>
      <c r="V419" t="s">
        <v>8000</v>
      </c>
      <c r="W419" t="s">
        <v>8001</v>
      </c>
      <c r="X419" t="s">
        <v>8002</v>
      </c>
      <c r="Y419" t="s">
        <v>8003</v>
      </c>
      <c r="Z419" t="s">
        <v>8004</v>
      </c>
      <c r="AA419" t="s">
        <v>74</v>
      </c>
      <c r="AB419" t="s">
        <v>74</v>
      </c>
      <c r="AC419" t="s">
        <v>8005</v>
      </c>
      <c r="AD419" t="s">
        <v>8006</v>
      </c>
      <c r="AE419" t="s">
        <v>8007</v>
      </c>
      <c r="AF419" t="s">
        <v>74</v>
      </c>
      <c r="AG419">
        <v>57</v>
      </c>
      <c r="AH419">
        <v>6</v>
      </c>
      <c r="AI419">
        <v>6</v>
      </c>
      <c r="AJ419">
        <v>1</v>
      </c>
      <c r="AK419">
        <v>12</v>
      </c>
      <c r="AL419" t="s">
        <v>250</v>
      </c>
      <c r="AM419" t="s">
        <v>251</v>
      </c>
      <c r="AN419" t="s">
        <v>252</v>
      </c>
      <c r="AO419" t="s">
        <v>8008</v>
      </c>
      <c r="AP419" t="s">
        <v>74</v>
      </c>
      <c r="AQ419" t="s">
        <v>74</v>
      </c>
      <c r="AR419" t="s">
        <v>8009</v>
      </c>
      <c r="AS419" t="s">
        <v>8010</v>
      </c>
      <c r="AT419" t="s">
        <v>7122</v>
      </c>
      <c r="AU419">
        <v>2011</v>
      </c>
      <c r="AV419">
        <v>141</v>
      </c>
      <c r="AW419">
        <v>3</v>
      </c>
      <c r="AX419" t="s">
        <v>74</v>
      </c>
      <c r="AY419" t="s">
        <v>74</v>
      </c>
      <c r="AZ419" t="s">
        <v>74</v>
      </c>
      <c r="BA419" t="s">
        <v>74</v>
      </c>
      <c r="BB419">
        <v>333</v>
      </c>
      <c r="BC419">
        <v>347</v>
      </c>
      <c r="BD419" t="s">
        <v>74</v>
      </c>
      <c r="BE419" t="s">
        <v>8011</v>
      </c>
      <c r="BF419" t="str">
        <f>HYPERLINK("http://dx.doi.org/10.1007/s10546-011-9647-8","http://dx.doi.org/10.1007/s10546-011-9647-8")</f>
        <v>http://dx.doi.org/10.1007/s10546-011-9647-8</v>
      </c>
      <c r="BG419" t="s">
        <v>74</v>
      </c>
      <c r="BH419" t="s">
        <v>74</v>
      </c>
      <c r="BI419">
        <v>15</v>
      </c>
      <c r="BJ419" t="s">
        <v>463</v>
      </c>
      <c r="BK419" t="s">
        <v>100</v>
      </c>
      <c r="BL419" t="s">
        <v>463</v>
      </c>
      <c r="BM419" t="s">
        <v>8012</v>
      </c>
      <c r="BN419" t="s">
        <v>74</v>
      </c>
      <c r="BO419" t="s">
        <v>74</v>
      </c>
      <c r="BP419" t="s">
        <v>74</v>
      </c>
      <c r="BQ419" t="s">
        <v>74</v>
      </c>
      <c r="BR419" t="s">
        <v>102</v>
      </c>
      <c r="BS419" t="s">
        <v>8013</v>
      </c>
      <c r="BT419" t="str">
        <f>HYPERLINK("https%3A%2F%2Fwww.webofscience.com%2Fwos%2Fwoscc%2Ffull-record%2FWOS:000297738100001","View Full Record in Web of Science")</f>
        <v>View Full Record in Web of Science</v>
      </c>
    </row>
    <row r="420" spans="1:72" x14ac:dyDescent="0.15">
      <c r="A420" t="s">
        <v>72</v>
      </c>
      <c r="B420" t="s">
        <v>8014</v>
      </c>
      <c r="C420" t="s">
        <v>74</v>
      </c>
      <c r="D420" t="s">
        <v>74</v>
      </c>
      <c r="E420" t="s">
        <v>74</v>
      </c>
      <c r="F420" t="s">
        <v>8015</v>
      </c>
      <c r="G420" t="s">
        <v>74</v>
      </c>
      <c r="H420" t="s">
        <v>74</v>
      </c>
      <c r="I420" t="s">
        <v>8016</v>
      </c>
      <c r="J420" t="s">
        <v>8017</v>
      </c>
      <c r="K420" t="s">
        <v>74</v>
      </c>
      <c r="L420" t="s">
        <v>74</v>
      </c>
      <c r="M420" t="s">
        <v>78</v>
      </c>
      <c r="N420" t="s">
        <v>234</v>
      </c>
      <c r="O420" t="s">
        <v>8018</v>
      </c>
      <c r="P420" t="s">
        <v>8019</v>
      </c>
      <c r="Q420" t="s">
        <v>8020</v>
      </c>
      <c r="R420" t="s">
        <v>74</v>
      </c>
      <c r="S420" t="s">
        <v>8021</v>
      </c>
      <c r="T420" t="s">
        <v>74</v>
      </c>
      <c r="U420" t="s">
        <v>8022</v>
      </c>
      <c r="V420" t="s">
        <v>8023</v>
      </c>
      <c r="W420" t="s">
        <v>8024</v>
      </c>
      <c r="X420" t="s">
        <v>3984</v>
      </c>
      <c r="Y420" t="s">
        <v>8025</v>
      </c>
      <c r="Z420" t="s">
        <v>8026</v>
      </c>
      <c r="AA420" t="s">
        <v>8027</v>
      </c>
      <c r="AB420" t="s">
        <v>8028</v>
      </c>
      <c r="AC420" t="s">
        <v>74</v>
      </c>
      <c r="AD420" t="s">
        <v>74</v>
      </c>
      <c r="AE420" t="s">
        <v>74</v>
      </c>
      <c r="AF420" t="s">
        <v>74</v>
      </c>
      <c r="AG420">
        <v>54</v>
      </c>
      <c r="AH420">
        <v>20</v>
      </c>
      <c r="AI420">
        <v>23</v>
      </c>
      <c r="AJ420">
        <v>0</v>
      </c>
      <c r="AK420">
        <v>11</v>
      </c>
      <c r="AL420" t="s">
        <v>250</v>
      </c>
      <c r="AM420" t="s">
        <v>413</v>
      </c>
      <c r="AN420" t="s">
        <v>490</v>
      </c>
      <c r="AO420" t="s">
        <v>8029</v>
      </c>
      <c r="AP420" t="s">
        <v>8030</v>
      </c>
      <c r="AQ420" t="s">
        <v>74</v>
      </c>
      <c r="AR420" t="s">
        <v>8031</v>
      </c>
      <c r="AS420" t="s">
        <v>8032</v>
      </c>
      <c r="AT420" t="s">
        <v>7122</v>
      </c>
      <c r="AU420">
        <v>2011</v>
      </c>
      <c r="AV420">
        <v>31</v>
      </c>
      <c r="AW420" t="s">
        <v>3734</v>
      </c>
      <c r="AX420" t="s">
        <v>74</v>
      </c>
      <c r="AY420" t="s">
        <v>74</v>
      </c>
      <c r="AZ420" t="s">
        <v>74</v>
      </c>
      <c r="BA420" t="s">
        <v>74</v>
      </c>
      <c r="BB420">
        <v>405</v>
      </c>
      <c r="BC420">
        <v>417</v>
      </c>
      <c r="BD420" t="s">
        <v>74</v>
      </c>
      <c r="BE420" t="s">
        <v>8033</v>
      </c>
      <c r="BF420" t="str">
        <f>HYPERLINK("http://dx.doi.org/10.1007/s00367-011-0252-0","http://dx.doi.org/10.1007/s00367-011-0252-0")</f>
        <v>http://dx.doi.org/10.1007/s00367-011-0252-0</v>
      </c>
      <c r="BG420" t="s">
        <v>74</v>
      </c>
      <c r="BH420" t="s">
        <v>74</v>
      </c>
      <c r="BI420">
        <v>13</v>
      </c>
      <c r="BJ420" t="s">
        <v>7214</v>
      </c>
      <c r="BK420" t="s">
        <v>259</v>
      </c>
      <c r="BL420" t="s">
        <v>7215</v>
      </c>
      <c r="BM420" t="s">
        <v>8034</v>
      </c>
      <c r="BN420" t="s">
        <v>74</v>
      </c>
      <c r="BO420" t="s">
        <v>74</v>
      </c>
      <c r="BP420" t="s">
        <v>74</v>
      </c>
      <c r="BQ420" t="s">
        <v>74</v>
      </c>
      <c r="BR420" t="s">
        <v>102</v>
      </c>
      <c r="BS420" t="s">
        <v>8035</v>
      </c>
      <c r="BT420" t="str">
        <f>HYPERLINK("https%3A%2F%2Fwww.webofscience.com%2Fwos%2Fwoscc%2Ffull-record%2FWOS:000297729200008","View Full Record in Web of Science")</f>
        <v>View Full Record in Web of Science</v>
      </c>
    </row>
    <row r="421" spans="1:72" x14ac:dyDescent="0.15">
      <c r="A421" t="s">
        <v>72</v>
      </c>
      <c r="B421" t="s">
        <v>8036</v>
      </c>
      <c r="C421" t="s">
        <v>74</v>
      </c>
      <c r="D421" t="s">
        <v>74</v>
      </c>
      <c r="E421" t="s">
        <v>74</v>
      </c>
      <c r="F421" t="s">
        <v>8037</v>
      </c>
      <c r="G421" t="s">
        <v>74</v>
      </c>
      <c r="H421" t="s">
        <v>74</v>
      </c>
      <c r="I421" t="s">
        <v>8038</v>
      </c>
      <c r="J421" t="s">
        <v>8017</v>
      </c>
      <c r="K421" t="s">
        <v>74</v>
      </c>
      <c r="L421" t="s">
        <v>74</v>
      </c>
      <c r="M421" t="s">
        <v>78</v>
      </c>
      <c r="N421" t="s">
        <v>234</v>
      </c>
      <c r="O421" t="s">
        <v>8018</v>
      </c>
      <c r="P421" t="s">
        <v>8019</v>
      </c>
      <c r="Q421" t="s">
        <v>8020</v>
      </c>
      <c r="R421" t="s">
        <v>74</v>
      </c>
      <c r="S421" t="s">
        <v>8021</v>
      </c>
      <c r="T421" t="s">
        <v>74</v>
      </c>
      <c r="U421" t="s">
        <v>8039</v>
      </c>
      <c r="V421" t="s">
        <v>8040</v>
      </c>
      <c r="W421" t="s">
        <v>8041</v>
      </c>
      <c r="X421" t="s">
        <v>8042</v>
      </c>
      <c r="Y421" t="s">
        <v>8043</v>
      </c>
      <c r="Z421" t="s">
        <v>8044</v>
      </c>
      <c r="AA421" t="s">
        <v>8045</v>
      </c>
      <c r="AB421" t="s">
        <v>8046</v>
      </c>
      <c r="AC421" t="s">
        <v>74</v>
      </c>
      <c r="AD421" t="s">
        <v>74</v>
      </c>
      <c r="AE421" t="s">
        <v>74</v>
      </c>
      <c r="AF421" t="s">
        <v>74</v>
      </c>
      <c r="AG421">
        <v>46</v>
      </c>
      <c r="AH421">
        <v>26</v>
      </c>
      <c r="AI421">
        <v>26</v>
      </c>
      <c r="AJ421">
        <v>0</v>
      </c>
      <c r="AK421">
        <v>23</v>
      </c>
      <c r="AL421" t="s">
        <v>250</v>
      </c>
      <c r="AM421" t="s">
        <v>413</v>
      </c>
      <c r="AN421" t="s">
        <v>514</v>
      </c>
      <c r="AO421" t="s">
        <v>8029</v>
      </c>
      <c r="AP421" t="s">
        <v>74</v>
      </c>
      <c r="AQ421" t="s">
        <v>74</v>
      </c>
      <c r="AR421" t="s">
        <v>8031</v>
      </c>
      <c r="AS421" t="s">
        <v>8032</v>
      </c>
      <c r="AT421" t="s">
        <v>7122</v>
      </c>
      <c r="AU421">
        <v>2011</v>
      </c>
      <c r="AV421">
        <v>31</v>
      </c>
      <c r="AW421" t="s">
        <v>3734</v>
      </c>
      <c r="AX421" t="s">
        <v>74</v>
      </c>
      <c r="AY421" t="s">
        <v>74</v>
      </c>
      <c r="AZ421" t="s">
        <v>74</v>
      </c>
      <c r="BA421" t="s">
        <v>74</v>
      </c>
      <c r="BB421">
        <v>427</v>
      </c>
      <c r="BC421">
        <v>435</v>
      </c>
      <c r="BD421" t="s">
        <v>74</v>
      </c>
      <c r="BE421" t="s">
        <v>8047</v>
      </c>
      <c r="BF421" t="str">
        <f>HYPERLINK("http://dx.doi.org/10.1007/s00367-011-0238-y","http://dx.doi.org/10.1007/s00367-011-0238-y")</f>
        <v>http://dx.doi.org/10.1007/s00367-011-0238-y</v>
      </c>
      <c r="BG421" t="s">
        <v>74</v>
      </c>
      <c r="BH421" t="s">
        <v>74</v>
      </c>
      <c r="BI421">
        <v>9</v>
      </c>
      <c r="BJ421" t="s">
        <v>7214</v>
      </c>
      <c r="BK421" t="s">
        <v>259</v>
      </c>
      <c r="BL421" t="s">
        <v>7215</v>
      </c>
      <c r="BM421" t="s">
        <v>8034</v>
      </c>
      <c r="BN421" t="s">
        <v>74</v>
      </c>
      <c r="BO421" t="s">
        <v>74</v>
      </c>
      <c r="BP421" t="s">
        <v>74</v>
      </c>
      <c r="BQ421" t="s">
        <v>74</v>
      </c>
      <c r="BR421" t="s">
        <v>102</v>
      </c>
      <c r="BS421" t="s">
        <v>8048</v>
      </c>
      <c r="BT421" t="str">
        <f>HYPERLINK("https%3A%2F%2Fwww.webofscience.com%2Fwos%2Fwoscc%2Ffull-record%2FWOS:000297729200010","View Full Record in Web of Science")</f>
        <v>View Full Record in Web of Science</v>
      </c>
    </row>
    <row r="422" spans="1:72" x14ac:dyDescent="0.15">
      <c r="A422" t="s">
        <v>72</v>
      </c>
      <c r="B422" t="s">
        <v>8049</v>
      </c>
      <c r="C422" t="s">
        <v>74</v>
      </c>
      <c r="D422" t="s">
        <v>74</v>
      </c>
      <c r="E422" t="s">
        <v>74</v>
      </c>
      <c r="F422" t="s">
        <v>8050</v>
      </c>
      <c r="G422" t="s">
        <v>74</v>
      </c>
      <c r="H422" t="s">
        <v>74</v>
      </c>
      <c r="I422" t="s">
        <v>8051</v>
      </c>
      <c r="J422" t="s">
        <v>8017</v>
      </c>
      <c r="K422" t="s">
        <v>74</v>
      </c>
      <c r="L422" t="s">
        <v>74</v>
      </c>
      <c r="M422" t="s">
        <v>78</v>
      </c>
      <c r="N422" t="s">
        <v>234</v>
      </c>
      <c r="O422" t="s">
        <v>8018</v>
      </c>
      <c r="P422" t="s">
        <v>8019</v>
      </c>
      <c r="Q422" t="s">
        <v>8020</v>
      </c>
      <c r="R422" t="s">
        <v>74</v>
      </c>
      <c r="S422" t="s">
        <v>8021</v>
      </c>
      <c r="T422" t="s">
        <v>74</v>
      </c>
      <c r="U422" t="s">
        <v>8052</v>
      </c>
      <c r="V422" t="s">
        <v>8053</v>
      </c>
      <c r="W422" t="s">
        <v>8054</v>
      </c>
      <c r="X422" t="s">
        <v>8055</v>
      </c>
      <c r="Y422" t="s">
        <v>8056</v>
      </c>
      <c r="Z422" t="s">
        <v>8057</v>
      </c>
      <c r="AA422" t="s">
        <v>8058</v>
      </c>
      <c r="AB422" t="s">
        <v>8059</v>
      </c>
      <c r="AC422" t="s">
        <v>74</v>
      </c>
      <c r="AD422" t="s">
        <v>74</v>
      </c>
      <c r="AE422" t="s">
        <v>74</v>
      </c>
      <c r="AF422" t="s">
        <v>74</v>
      </c>
      <c r="AG422">
        <v>81</v>
      </c>
      <c r="AH422">
        <v>30</v>
      </c>
      <c r="AI422">
        <v>37</v>
      </c>
      <c r="AJ422">
        <v>1</v>
      </c>
      <c r="AK422">
        <v>20</v>
      </c>
      <c r="AL422" t="s">
        <v>250</v>
      </c>
      <c r="AM422" t="s">
        <v>413</v>
      </c>
      <c r="AN422" t="s">
        <v>490</v>
      </c>
      <c r="AO422" t="s">
        <v>8029</v>
      </c>
      <c r="AP422" t="s">
        <v>8030</v>
      </c>
      <c r="AQ422" t="s">
        <v>74</v>
      </c>
      <c r="AR422" t="s">
        <v>8031</v>
      </c>
      <c r="AS422" t="s">
        <v>8032</v>
      </c>
      <c r="AT422" t="s">
        <v>7122</v>
      </c>
      <c r="AU422">
        <v>2011</v>
      </c>
      <c r="AV422">
        <v>31</v>
      </c>
      <c r="AW422" t="s">
        <v>3734</v>
      </c>
      <c r="AX422" t="s">
        <v>74</v>
      </c>
      <c r="AY422" t="s">
        <v>74</v>
      </c>
      <c r="AZ422" t="s">
        <v>74</v>
      </c>
      <c r="BA422" t="s">
        <v>74</v>
      </c>
      <c r="BB422">
        <v>495</v>
      </c>
      <c r="BC422">
        <v>507</v>
      </c>
      <c r="BD422" t="s">
        <v>74</v>
      </c>
      <c r="BE422" t="s">
        <v>8060</v>
      </c>
      <c r="BF422" t="str">
        <f>HYPERLINK("http://dx.doi.org/10.1007/s00367-011-0239-x","http://dx.doi.org/10.1007/s00367-011-0239-x")</f>
        <v>http://dx.doi.org/10.1007/s00367-011-0239-x</v>
      </c>
      <c r="BG422" t="s">
        <v>74</v>
      </c>
      <c r="BH422" t="s">
        <v>74</v>
      </c>
      <c r="BI422">
        <v>13</v>
      </c>
      <c r="BJ422" t="s">
        <v>7214</v>
      </c>
      <c r="BK422" t="s">
        <v>259</v>
      </c>
      <c r="BL422" t="s">
        <v>7215</v>
      </c>
      <c r="BM422" t="s">
        <v>8034</v>
      </c>
      <c r="BN422" t="s">
        <v>74</v>
      </c>
      <c r="BO422" t="s">
        <v>74</v>
      </c>
      <c r="BP422" t="s">
        <v>74</v>
      </c>
      <c r="BQ422" t="s">
        <v>74</v>
      </c>
      <c r="BR422" t="s">
        <v>102</v>
      </c>
      <c r="BS422" t="s">
        <v>8061</v>
      </c>
      <c r="BT422" t="str">
        <f>HYPERLINK("https%3A%2F%2Fwww.webofscience.com%2Fwos%2Fwoscc%2Ffull-record%2FWOS:000297729200015","View Full Record in Web of Science")</f>
        <v>View Full Record in Web of Science</v>
      </c>
    </row>
    <row r="423" spans="1:72" x14ac:dyDescent="0.15">
      <c r="A423" t="s">
        <v>72</v>
      </c>
      <c r="B423" t="s">
        <v>8062</v>
      </c>
      <c r="C423" t="s">
        <v>74</v>
      </c>
      <c r="D423" t="s">
        <v>74</v>
      </c>
      <c r="E423" t="s">
        <v>74</v>
      </c>
      <c r="F423" t="s">
        <v>8063</v>
      </c>
      <c r="G423" t="s">
        <v>74</v>
      </c>
      <c r="H423" t="s">
        <v>74</v>
      </c>
      <c r="I423" t="s">
        <v>8064</v>
      </c>
      <c r="J423" t="s">
        <v>8065</v>
      </c>
      <c r="K423" t="s">
        <v>74</v>
      </c>
      <c r="L423" t="s">
        <v>74</v>
      </c>
      <c r="M423" t="s">
        <v>78</v>
      </c>
      <c r="N423" t="s">
        <v>79</v>
      </c>
      <c r="O423" t="s">
        <v>74</v>
      </c>
      <c r="P423" t="s">
        <v>74</v>
      </c>
      <c r="Q423" t="s">
        <v>74</v>
      </c>
      <c r="R423" t="s">
        <v>74</v>
      </c>
      <c r="S423" t="s">
        <v>74</v>
      </c>
      <c r="T423" t="s">
        <v>8066</v>
      </c>
      <c r="U423" t="s">
        <v>8067</v>
      </c>
      <c r="V423" t="s">
        <v>8068</v>
      </c>
      <c r="W423" t="s">
        <v>8069</v>
      </c>
      <c r="X423" t="s">
        <v>8070</v>
      </c>
      <c r="Y423" t="s">
        <v>8071</v>
      </c>
      <c r="Z423" t="s">
        <v>8072</v>
      </c>
      <c r="AA423" t="s">
        <v>8073</v>
      </c>
      <c r="AB423" t="s">
        <v>8074</v>
      </c>
      <c r="AC423" t="s">
        <v>8075</v>
      </c>
      <c r="AD423" t="s">
        <v>8076</v>
      </c>
      <c r="AE423" t="s">
        <v>8077</v>
      </c>
      <c r="AF423" t="s">
        <v>74</v>
      </c>
      <c r="AG423">
        <v>70</v>
      </c>
      <c r="AH423">
        <v>44</v>
      </c>
      <c r="AI423">
        <v>45</v>
      </c>
      <c r="AJ423">
        <v>0</v>
      </c>
      <c r="AK423">
        <v>8</v>
      </c>
      <c r="AL423" t="s">
        <v>3235</v>
      </c>
      <c r="AM423" t="s">
        <v>588</v>
      </c>
      <c r="AN423" t="s">
        <v>3236</v>
      </c>
      <c r="AO423" t="s">
        <v>8078</v>
      </c>
      <c r="AP423" t="s">
        <v>8079</v>
      </c>
      <c r="AQ423" t="s">
        <v>74</v>
      </c>
      <c r="AR423" t="s">
        <v>8065</v>
      </c>
      <c r="AS423" t="s">
        <v>8080</v>
      </c>
      <c r="AT423" t="s">
        <v>7122</v>
      </c>
      <c r="AU423">
        <v>2011</v>
      </c>
      <c r="AV423">
        <v>216</v>
      </c>
      <c r="AW423">
        <v>2</v>
      </c>
      <c r="AX423" t="s">
        <v>74</v>
      </c>
      <c r="AY423" t="s">
        <v>74</v>
      </c>
      <c r="AZ423" t="s">
        <v>74</v>
      </c>
      <c r="BA423" t="s">
        <v>74</v>
      </c>
      <c r="BB423">
        <v>650</v>
      </c>
      <c r="BC423">
        <v>659</v>
      </c>
      <c r="BD423" t="s">
        <v>74</v>
      </c>
      <c r="BE423" t="s">
        <v>8081</v>
      </c>
      <c r="BF423" t="str">
        <f>HYPERLINK("http://dx.doi.org/10.1016/j.icarus.2011.09.032","http://dx.doi.org/10.1016/j.icarus.2011.09.032")</f>
        <v>http://dx.doi.org/10.1016/j.icarus.2011.09.032</v>
      </c>
      <c r="BG423" t="s">
        <v>74</v>
      </c>
      <c r="BH423" t="s">
        <v>74</v>
      </c>
      <c r="BI423">
        <v>10</v>
      </c>
      <c r="BJ423" t="s">
        <v>5208</v>
      </c>
      <c r="BK423" t="s">
        <v>100</v>
      </c>
      <c r="BL423" t="s">
        <v>5208</v>
      </c>
      <c r="BM423" t="s">
        <v>8082</v>
      </c>
      <c r="BN423" t="s">
        <v>74</v>
      </c>
      <c r="BO423" t="s">
        <v>74</v>
      </c>
      <c r="BP423" t="s">
        <v>74</v>
      </c>
      <c r="BQ423" t="s">
        <v>74</v>
      </c>
      <c r="BR423" t="s">
        <v>102</v>
      </c>
      <c r="BS423" t="s">
        <v>8083</v>
      </c>
      <c r="BT423" t="str">
        <f>HYPERLINK("https%3A%2F%2Fwww.webofscience.com%2Fwos%2Fwoscc%2Ffull-record%2FWOS:000297568000022","View Full Record in Web of Science")</f>
        <v>View Full Record in Web of Science</v>
      </c>
    </row>
    <row r="424" spans="1:72" x14ac:dyDescent="0.15">
      <c r="A424" t="s">
        <v>72</v>
      </c>
      <c r="B424" t="s">
        <v>8084</v>
      </c>
      <c r="C424" t="s">
        <v>74</v>
      </c>
      <c r="D424" t="s">
        <v>74</v>
      </c>
      <c r="E424" t="s">
        <v>74</v>
      </c>
      <c r="F424" t="s">
        <v>8085</v>
      </c>
      <c r="G424" t="s">
        <v>74</v>
      </c>
      <c r="H424" t="s">
        <v>74</v>
      </c>
      <c r="I424" t="s">
        <v>8086</v>
      </c>
      <c r="J424" t="s">
        <v>8087</v>
      </c>
      <c r="K424" t="s">
        <v>74</v>
      </c>
      <c r="L424" t="s">
        <v>74</v>
      </c>
      <c r="M424" t="s">
        <v>78</v>
      </c>
      <c r="N424" t="s">
        <v>79</v>
      </c>
      <c r="O424" t="s">
        <v>74</v>
      </c>
      <c r="P424" t="s">
        <v>74</v>
      </c>
      <c r="Q424" t="s">
        <v>74</v>
      </c>
      <c r="R424" t="s">
        <v>74</v>
      </c>
      <c r="S424" t="s">
        <v>74</v>
      </c>
      <c r="T424" t="s">
        <v>8088</v>
      </c>
      <c r="U424" t="s">
        <v>8089</v>
      </c>
      <c r="V424" t="s">
        <v>8090</v>
      </c>
      <c r="W424" t="s">
        <v>8091</v>
      </c>
      <c r="X424" t="s">
        <v>8092</v>
      </c>
      <c r="Y424" t="s">
        <v>8093</v>
      </c>
      <c r="Z424" t="s">
        <v>8094</v>
      </c>
      <c r="AA424" t="s">
        <v>8095</v>
      </c>
      <c r="AB424" t="s">
        <v>8096</v>
      </c>
      <c r="AC424" t="s">
        <v>8097</v>
      </c>
      <c r="AD424" t="s">
        <v>8098</v>
      </c>
      <c r="AE424" t="s">
        <v>8099</v>
      </c>
      <c r="AF424" t="s">
        <v>74</v>
      </c>
      <c r="AG424">
        <v>57</v>
      </c>
      <c r="AH424">
        <v>31</v>
      </c>
      <c r="AI424">
        <v>35</v>
      </c>
      <c r="AJ424">
        <v>1</v>
      </c>
      <c r="AK424">
        <v>28</v>
      </c>
      <c r="AL424" t="s">
        <v>250</v>
      </c>
      <c r="AM424" t="s">
        <v>251</v>
      </c>
      <c r="AN424" t="s">
        <v>252</v>
      </c>
      <c r="AO424" t="s">
        <v>8100</v>
      </c>
      <c r="AP424" t="s">
        <v>8101</v>
      </c>
      <c r="AQ424" t="s">
        <v>74</v>
      </c>
      <c r="AR424" t="s">
        <v>8102</v>
      </c>
      <c r="AS424" t="s">
        <v>8103</v>
      </c>
      <c r="AT424" t="s">
        <v>7122</v>
      </c>
      <c r="AU424">
        <v>2011</v>
      </c>
      <c r="AV424">
        <v>46</v>
      </c>
      <c r="AW424">
        <v>4</v>
      </c>
      <c r="AX424" t="s">
        <v>74</v>
      </c>
      <c r="AY424" t="s">
        <v>74</v>
      </c>
      <c r="AZ424" t="s">
        <v>339</v>
      </c>
      <c r="BA424" t="s">
        <v>74</v>
      </c>
      <c r="BB424">
        <v>525</v>
      </c>
      <c r="BC424">
        <v>542</v>
      </c>
      <c r="BD424" t="s">
        <v>74</v>
      </c>
      <c r="BE424" t="s">
        <v>8104</v>
      </c>
      <c r="BF424" t="str">
        <f>HYPERLINK("http://dx.doi.org/10.1007/s10933-010-9456-y","http://dx.doi.org/10.1007/s10933-010-9456-y")</f>
        <v>http://dx.doi.org/10.1007/s10933-010-9456-y</v>
      </c>
      <c r="BG424" t="s">
        <v>74</v>
      </c>
      <c r="BH424" t="s">
        <v>74</v>
      </c>
      <c r="BI424">
        <v>18</v>
      </c>
      <c r="BJ424" t="s">
        <v>8105</v>
      </c>
      <c r="BK424" t="s">
        <v>100</v>
      </c>
      <c r="BL424" t="s">
        <v>8106</v>
      </c>
      <c r="BM424" t="s">
        <v>8107</v>
      </c>
      <c r="BN424" t="s">
        <v>74</v>
      </c>
      <c r="BO424" t="s">
        <v>1133</v>
      </c>
      <c r="BP424" t="s">
        <v>74</v>
      </c>
      <c r="BQ424" t="s">
        <v>74</v>
      </c>
      <c r="BR424" t="s">
        <v>102</v>
      </c>
      <c r="BS424" t="s">
        <v>8108</v>
      </c>
      <c r="BT424" t="str">
        <f>HYPERLINK("https%3A%2F%2Fwww.webofscience.com%2Fwos%2Fwoscc%2Ffull-record%2FWOS:000297593300003","View Full Record in Web of Science")</f>
        <v>View Full Record in Web of Science</v>
      </c>
    </row>
    <row r="425" spans="1:72" x14ac:dyDescent="0.15">
      <c r="A425" t="s">
        <v>72</v>
      </c>
      <c r="B425" t="s">
        <v>8109</v>
      </c>
      <c r="C425" t="s">
        <v>74</v>
      </c>
      <c r="D425" t="s">
        <v>74</v>
      </c>
      <c r="E425" t="s">
        <v>74</v>
      </c>
      <c r="F425" t="s">
        <v>8110</v>
      </c>
      <c r="G425" t="s">
        <v>74</v>
      </c>
      <c r="H425" t="s">
        <v>74</v>
      </c>
      <c r="I425" t="s">
        <v>8111</v>
      </c>
      <c r="J425" t="s">
        <v>8112</v>
      </c>
      <c r="K425" t="s">
        <v>74</v>
      </c>
      <c r="L425" t="s">
        <v>74</v>
      </c>
      <c r="M425" t="s">
        <v>78</v>
      </c>
      <c r="N425" t="s">
        <v>79</v>
      </c>
      <c r="O425" t="s">
        <v>74</v>
      </c>
      <c r="P425" t="s">
        <v>74</v>
      </c>
      <c r="Q425" t="s">
        <v>74</v>
      </c>
      <c r="R425" t="s">
        <v>74</v>
      </c>
      <c r="S425" t="s">
        <v>74</v>
      </c>
      <c r="T425" t="s">
        <v>8113</v>
      </c>
      <c r="U425" t="s">
        <v>8114</v>
      </c>
      <c r="V425" t="s">
        <v>8115</v>
      </c>
      <c r="W425" t="s">
        <v>8116</v>
      </c>
      <c r="X425" t="s">
        <v>8117</v>
      </c>
      <c r="Y425" t="s">
        <v>8118</v>
      </c>
      <c r="Z425" t="s">
        <v>8119</v>
      </c>
      <c r="AA425" t="s">
        <v>8120</v>
      </c>
      <c r="AB425" t="s">
        <v>8121</v>
      </c>
      <c r="AC425" t="s">
        <v>8122</v>
      </c>
      <c r="AD425" t="s">
        <v>8123</v>
      </c>
      <c r="AE425" t="s">
        <v>8124</v>
      </c>
      <c r="AF425" t="s">
        <v>74</v>
      </c>
      <c r="AG425">
        <v>91</v>
      </c>
      <c r="AH425">
        <v>30</v>
      </c>
      <c r="AI425">
        <v>35</v>
      </c>
      <c r="AJ425">
        <v>1</v>
      </c>
      <c r="AK425">
        <v>16</v>
      </c>
      <c r="AL425" t="s">
        <v>250</v>
      </c>
      <c r="AM425" t="s">
        <v>413</v>
      </c>
      <c r="AN425" t="s">
        <v>514</v>
      </c>
      <c r="AO425" t="s">
        <v>8125</v>
      </c>
      <c r="AP425" t="s">
        <v>8126</v>
      </c>
      <c r="AQ425" t="s">
        <v>74</v>
      </c>
      <c r="AR425" t="s">
        <v>8127</v>
      </c>
      <c r="AS425" t="s">
        <v>8128</v>
      </c>
      <c r="AT425" t="s">
        <v>7122</v>
      </c>
      <c r="AU425">
        <v>2011</v>
      </c>
      <c r="AV425">
        <v>27</v>
      </c>
      <c r="AW425">
        <v>12</v>
      </c>
      <c r="AX425" t="s">
        <v>74</v>
      </c>
      <c r="AY425" t="s">
        <v>74</v>
      </c>
      <c r="AZ425" t="s">
        <v>74</v>
      </c>
      <c r="BA425" t="s">
        <v>74</v>
      </c>
      <c r="BB425">
        <v>2821</v>
      </c>
      <c r="BC425">
        <v>2833</v>
      </c>
      <c r="BD425" t="s">
        <v>74</v>
      </c>
      <c r="BE425" t="s">
        <v>8129</v>
      </c>
      <c r="BF425" t="str">
        <f>HYPERLINK("http://dx.doi.org/10.1007/s11274-011-0760-0","http://dx.doi.org/10.1007/s11274-011-0760-0")</f>
        <v>http://dx.doi.org/10.1007/s11274-011-0760-0</v>
      </c>
      <c r="BG425" t="s">
        <v>74</v>
      </c>
      <c r="BH425" t="s">
        <v>74</v>
      </c>
      <c r="BI425">
        <v>13</v>
      </c>
      <c r="BJ425" t="s">
        <v>1640</v>
      </c>
      <c r="BK425" t="s">
        <v>100</v>
      </c>
      <c r="BL425" t="s">
        <v>1640</v>
      </c>
      <c r="BM425" t="s">
        <v>8130</v>
      </c>
      <c r="BN425" t="s">
        <v>74</v>
      </c>
      <c r="BO425" t="s">
        <v>74</v>
      </c>
      <c r="BP425" t="s">
        <v>74</v>
      </c>
      <c r="BQ425" t="s">
        <v>74</v>
      </c>
      <c r="BR425" t="s">
        <v>102</v>
      </c>
      <c r="BS425" t="s">
        <v>8131</v>
      </c>
      <c r="BT425" t="str">
        <f>HYPERLINK("https%3A%2F%2Fwww.webofscience.com%2Fwos%2Fwoscc%2Ffull-record%2FWOS:000297594400010","View Full Record in Web of Science")</f>
        <v>View Full Record in Web of Science</v>
      </c>
    </row>
    <row r="426" spans="1:72" x14ac:dyDescent="0.15">
      <c r="A426" t="s">
        <v>72</v>
      </c>
      <c r="B426" t="s">
        <v>8132</v>
      </c>
      <c r="C426" t="s">
        <v>74</v>
      </c>
      <c r="D426" t="s">
        <v>74</v>
      </c>
      <c r="E426" t="s">
        <v>74</v>
      </c>
      <c r="F426" t="s">
        <v>8133</v>
      </c>
      <c r="G426" t="s">
        <v>74</v>
      </c>
      <c r="H426" t="s">
        <v>74</v>
      </c>
      <c r="I426" t="s">
        <v>8134</v>
      </c>
      <c r="J426" t="s">
        <v>8135</v>
      </c>
      <c r="K426" t="s">
        <v>74</v>
      </c>
      <c r="L426" t="s">
        <v>74</v>
      </c>
      <c r="M426" t="s">
        <v>78</v>
      </c>
      <c r="N426" t="s">
        <v>79</v>
      </c>
      <c r="O426" t="s">
        <v>74</v>
      </c>
      <c r="P426" t="s">
        <v>74</v>
      </c>
      <c r="Q426" t="s">
        <v>74</v>
      </c>
      <c r="R426" t="s">
        <v>74</v>
      </c>
      <c r="S426" t="s">
        <v>74</v>
      </c>
      <c r="T426" t="s">
        <v>74</v>
      </c>
      <c r="U426" t="s">
        <v>8136</v>
      </c>
      <c r="V426" t="s">
        <v>8137</v>
      </c>
      <c r="W426" t="s">
        <v>8138</v>
      </c>
      <c r="X426" t="s">
        <v>8139</v>
      </c>
      <c r="Y426" t="s">
        <v>8140</v>
      </c>
      <c r="Z426" t="s">
        <v>8141</v>
      </c>
      <c r="AA426" t="s">
        <v>8142</v>
      </c>
      <c r="AB426" t="s">
        <v>8143</v>
      </c>
      <c r="AC426" t="s">
        <v>8144</v>
      </c>
      <c r="AD426" t="s">
        <v>8145</v>
      </c>
      <c r="AE426" t="s">
        <v>8146</v>
      </c>
      <c r="AF426" t="s">
        <v>74</v>
      </c>
      <c r="AG426">
        <v>39</v>
      </c>
      <c r="AH426">
        <v>28</v>
      </c>
      <c r="AI426">
        <v>32</v>
      </c>
      <c r="AJ426">
        <v>0</v>
      </c>
      <c r="AK426">
        <v>26</v>
      </c>
      <c r="AL426" t="s">
        <v>2832</v>
      </c>
      <c r="AM426" t="s">
        <v>796</v>
      </c>
      <c r="AN426" t="s">
        <v>797</v>
      </c>
      <c r="AO426" t="s">
        <v>8147</v>
      </c>
      <c r="AP426" t="s">
        <v>74</v>
      </c>
      <c r="AQ426" t="s">
        <v>74</v>
      </c>
      <c r="AR426" t="s">
        <v>8148</v>
      </c>
      <c r="AS426" t="s">
        <v>8149</v>
      </c>
      <c r="AT426" t="s">
        <v>7122</v>
      </c>
      <c r="AU426">
        <v>2011</v>
      </c>
      <c r="AV426">
        <v>3</v>
      </c>
      <c r="AW426">
        <v>6</v>
      </c>
      <c r="AX426" t="s">
        <v>74</v>
      </c>
      <c r="AY426" t="s">
        <v>74</v>
      </c>
      <c r="AZ426" t="s">
        <v>74</v>
      </c>
      <c r="BA426" t="s">
        <v>74</v>
      </c>
      <c r="BB426">
        <v>689</v>
      </c>
      <c r="BC426">
        <v>697</v>
      </c>
      <c r="BD426" t="s">
        <v>74</v>
      </c>
      <c r="BE426" t="s">
        <v>8150</v>
      </c>
      <c r="BF426" t="str">
        <f>HYPERLINK("http://dx.doi.org/10.1111/j.1758-2229.2011.00282.x","http://dx.doi.org/10.1111/j.1758-2229.2011.00282.x")</f>
        <v>http://dx.doi.org/10.1111/j.1758-2229.2011.00282.x</v>
      </c>
      <c r="BG426" t="s">
        <v>74</v>
      </c>
      <c r="BH426" t="s">
        <v>74</v>
      </c>
      <c r="BI426">
        <v>9</v>
      </c>
      <c r="BJ426" t="s">
        <v>8151</v>
      </c>
      <c r="BK426" t="s">
        <v>100</v>
      </c>
      <c r="BL426" t="s">
        <v>535</v>
      </c>
      <c r="BM426" t="s">
        <v>8152</v>
      </c>
      <c r="BN426">
        <v>23761358</v>
      </c>
      <c r="BO426" t="s">
        <v>74</v>
      </c>
      <c r="BP426" t="s">
        <v>74</v>
      </c>
      <c r="BQ426" t="s">
        <v>74</v>
      </c>
      <c r="BR426" t="s">
        <v>102</v>
      </c>
      <c r="BS426" t="s">
        <v>8153</v>
      </c>
      <c r="BT426" t="str">
        <f>HYPERLINK("https%3A%2F%2Fwww.webofscience.com%2Fwos%2Fwoscc%2Ffull-record%2FWOS:000297148800007","View Full Record in Web of Science")</f>
        <v>View Full Record in Web of Science</v>
      </c>
    </row>
    <row r="427" spans="1:72" x14ac:dyDescent="0.15">
      <c r="A427" t="s">
        <v>72</v>
      </c>
      <c r="B427" t="s">
        <v>8154</v>
      </c>
      <c r="C427" t="s">
        <v>74</v>
      </c>
      <c r="D427" t="s">
        <v>74</v>
      </c>
      <c r="E427" t="s">
        <v>74</v>
      </c>
      <c r="F427" t="s">
        <v>8155</v>
      </c>
      <c r="G427" t="s">
        <v>74</v>
      </c>
      <c r="H427" t="s">
        <v>74</v>
      </c>
      <c r="I427" t="s">
        <v>8156</v>
      </c>
      <c r="J427" t="s">
        <v>8135</v>
      </c>
      <c r="K427" t="s">
        <v>74</v>
      </c>
      <c r="L427" t="s">
        <v>74</v>
      </c>
      <c r="M427" t="s">
        <v>78</v>
      </c>
      <c r="N427" t="s">
        <v>79</v>
      </c>
      <c r="O427" t="s">
        <v>74</v>
      </c>
      <c r="P427" t="s">
        <v>74</v>
      </c>
      <c r="Q427" t="s">
        <v>74</v>
      </c>
      <c r="R427" t="s">
        <v>74</v>
      </c>
      <c r="S427" t="s">
        <v>74</v>
      </c>
      <c r="T427" t="s">
        <v>74</v>
      </c>
      <c r="U427" t="s">
        <v>8157</v>
      </c>
      <c r="V427" t="s">
        <v>8158</v>
      </c>
      <c r="W427" t="s">
        <v>8159</v>
      </c>
      <c r="X427" t="s">
        <v>8160</v>
      </c>
      <c r="Y427" t="s">
        <v>8161</v>
      </c>
      <c r="Z427" t="s">
        <v>8162</v>
      </c>
      <c r="AA427" t="s">
        <v>8163</v>
      </c>
      <c r="AB427" t="s">
        <v>8164</v>
      </c>
      <c r="AC427" t="s">
        <v>8165</v>
      </c>
      <c r="AD427" t="s">
        <v>8166</v>
      </c>
      <c r="AE427" t="s">
        <v>8167</v>
      </c>
      <c r="AF427" t="s">
        <v>74</v>
      </c>
      <c r="AG427">
        <v>72</v>
      </c>
      <c r="AH427">
        <v>21</v>
      </c>
      <c r="AI427">
        <v>24</v>
      </c>
      <c r="AJ427">
        <v>0</v>
      </c>
      <c r="AK427">
        <v>40</v>
      </c>
      <c r="AL427" t="s">
        <v>2832</v>
      </c>
      <c r="AM427" t="s">
        <v>796</v>
      </c>
      <c r="AN427" t="s">
        <v>797</v>
      </c>
      <c r="AO427" t="s">
        <v>8147</v>
      </c>
      <c r="AP427" t="s">
        <v>74</v>
      </c>
      <c r="AQ427" t="s">
        <v>74</v>
      </c>
      <c r="AR427" t="s">
        <v>8148</v>
      </c>
      <c r="AS427" t="s">
        <v>8149</v>
      </c>
      <c r="AT427" t="s">
        <v>7122</v>
      </c>
      <c r="AU427">
        <v>2011</v>
      </c>
      <c r="AV427">
        <v>3</v>
      </c>
      <c r="AW427">
        <v>6</v>
      </c>
      <c r="AX427" t="s">
        <v>74</v>
      </c>
      <c r="AY427" t="s">
        <v>74</v>
      </c>
      <c r="AZ427" t="s">
        <v>74</v>
      </c>
      <c r="BA427" t="s">
        <v>74</v>
      </c>
      <c r="BB427">
        <v>710</v>
      </c>
      <c r="BC427">
        <v>716</v>
      </c>
      <c r="BD427" t="s">
        <v>74</v>
      </c>
      <c r="BE427" t="s">
        <v>8168</v>
      </c>
      <c r="BF427" t="str">
        <f>HYPERLINK("http://dx.doi.org/10.1111/j.1758-2229.2011.00286.x","http://dx.doi.org/10.1111/j.1758-2229.2011.00286.x")</f>
        <v>http://dx.doi.org/10.1111/j.1758-2229.2011.00286.x</v>
      </c>
      <c r="BG427" t="s">
        <v>74</v>
      </c>
      <c r="BH427" t="s">
        <v>74</v>
      </c>
      <c r="BI427">
        <v>7</v>
      </c>
      <c r="BJ427" t="s">
        <v>8151</v>
      </c>
      <c r="BK427" t="s">
        <v>100</v>
      </c>
      <c r="BL427" t="s">
        <v>535</v>
      </c>
      <c r="BM427" t="s">
        <v>8152</v>
      </c>
      <c r="BN427">
        <v>23761361</v>
      </c>
      <c r="BO427" t="s">
        <v>74</v>
      </c>
      <c r="BP427" t="s">
        <v>74</v>
      </c>
      <c r="BQ427" t="s">
        <v>74</v>
      </c>
      <c r="BR427" t="s">
        <v>102</v>
      </c>
      <c r="BS427" t="s">
        <v>8169</v>
      </c>
      <c r="BT427" t="str">
        <f>HYPERLINK("https%3A%2F%2Fwww.webofscience.com%2Fwos%2Fwoscc%2Ffull-record%2FWOS:000297148800010","View Full Record in Web of Science")</f>
        <v>View Full Record in Web of Science</v>
      </c>
    </row>
    <row r="428" spans="1:72" x14ac:dyDescent="0.15">
      <c r="A428" t="s">
        <v>72</v>
      </c>
      <c r="B428" t="s">
        <v>8170</v>
      </c>
      <c r="C428" t="s">
        <v>74</v>
      </c>
      <c r="D428" t="s">
        <v>74</v>
      </c>
      <c r="E428" t="s">
        <v>74</v>
      </c>
      <c r="F428" t="s">
        <v>8171</v>
      </c>
      <c r="G428" t="s">
        <v>74</v>
      </c>
      <c r="H428" t="s">
        <v>74</v>
      </c>
      <c r="I428" t="s">
        <v>8172</v>
      </c>
      <c r="J428" t="s">
        <v>8173</v>
      </c>
      <c r="K428" t="s">
        <v>74</v>
      </c>
      <c r="L428" t="s">
        <v>74</v>
      </c>
      <c r="M428" t="s">
        <v>78</v>
      </c>
      <c r="N428" t="s">
        <v>79</v>
      </c>
      <c r="O428" t="s">
        <v>74</v>
      </c>
      <c r="P428" t="s">
        <v>74</v>
      </c>
      <c r="Q428" t="s">
        <v>74</v>
      </c>
      <c r="R428" t="s">
        <v>74</v>
      </c>
      <c r="S428" t="s">
        <v>74</v>
      </c>
      <c r="T428" t="s">
        <v>8174</v>
      </c>
      <c r="U428" t="s">
        <v>8175</v>
      </c>
      <c r="V428" t="s">
        <v>8176</v>
      </c>
      <c r="W428" t="s">
        <v>8177</v>
      </c>
      <c r="X428" t="s">
        <v>8178</v>
      </c>
      <c r="Y428" t="s">
        <v>8179</v>
      </c>
      <c r="Z428" t="s">
        <v>8180</v>
      </c>
      <c r="AA428" t="s">
        <v>74</v>
      </c>
      <c r="AB428" t="s">
        <v>74</v>
      </c>
      <c r="AC428" t="s">
        <v>8181</v>
      </c>
      <c r="AD428" t="s">
        <v>8182</v>
      </c>
      <c r="AE428" t="s">
        <v>8183</v>
      </c>
      <c r="AF428" t="s">
        <v>74</v>
      </c>
      <c r="AG428">
        <v>26</v>
      </c>
      <c r="AH428">
        <v>1</v>
      </c>
      <c r="AI428">
        <v>2</v>
      </c>
      <c r="AJ428">
        <v>1</v>
      </c>
      <c r="AK428">
        <v>9</v>
      </c>
      <c r="AL428" t="s">
        <v>307</v>
      </c>
      <c r="AM428" t="s">
        <v>156</v>
      </c>
      <c r="AN428" t="s">
        <v>308</v>
      </c>
      <c r="AO428" t="s">
        <v>8184</v>
      </c>
      <c r="AP428" t="s">
        <v>8185</v>
      </c>
      <c r="AQ428" t="s">
        <v>74</v>
      </c>
      <c r="AR428" t="s">
        <v>8186</v>
      </c>
      <c r="AS428" t="s">
        <v>8187</v>
      </c>
      <c r="AT428" t="s">
        <v>7122</v>
      </c>
      <c r="AU428">
        <v>2011</v>
      </c>
      <c r="AV428">
        <v>325</v>
      </c>
      <c r="AW428">
        <v>2</v>
      </c>
      <c r="AX428" t="s">
        <v>74</v>
      </c>
      <c r="AY428" t="s">
        <v>74</v>
      </c>
      <c r="AZ428" t="s">
        <v>74</v>
      </c>
      <c r="BA428" t="s">
        <v>74</v>
      </c>
      <c r="BB428">
        <v>130</v>
      </c>
      <c r="BC428">
        <v>139</v>
      </c>
      <c r="BD428" t="s">
        <v>74</v>
      </c>
      <c r="BE428" t="s">
        <v>8188</v>
      </c>
      <c r="BF428" t="str">
        <f>HYPERLINK("http://dx.doi.org/10.1111/j.1574-6968.2011.02420.x","http://dx.doi.org/10.1111/j.1574-6968.2011.02420.x")</f>
        <v>http://dx.doi.org/10.1111/j.1574-6968.2011.02420.x</v>
      </c>
      <c r="BG428" t="s">
        <v>74</v>
      </c>
      <c r="BH428" t="s">
        <v>74</v>
      </c>
      <c r="BI428">
        <v>10</v>
      </c>
      <c r="BJ428" t="s">
        <v>3089</v>
      </c>
      <c r="BK428" t="s">
        <v>100</v>
      </c>
      <c r="BL428" t="s">
        <v>3089</v>
      </c>
      <c r="BM428" t="s">
        <v>8189</v>
      </c>
      <c r="BN428">
        <v>22092281</v>
      </c>
      <c r="BO428" t="s">
        <v>365</v>
      </c>
      <c r="BP428" t="s">
        <v>74</v>
      </c>
      <c r="BQ428" t="s">
        <v>74</v>
      </c>
      <c r="BR428" t="s">
        <v>102</v>
      </c>
      <c r="BS428" t="s">
        <v>8190</v>
      </c>
      <c r="BT428" t="str">
        <f>HYPERLINK("https%3A%2F%2Fwww.webofscience.com%2Fwos%2Fwoscc%2Ffull-record%2FWOS:000297208600005","View Full Record in Web of Science")</f>
        <v>View Full Record in Web of Science</v>
      </c>
    </row>
    <row r="429" spans="1:72" x14ac:dyDescent="0.15">
      <c r="A429" t="s">
        <v>72</v>
      </c>
      <c r="B429" t="s">
        <v>8191</v>
      </c>
      <c r="C429" t="s">
        <v>74</v>
      </c>
      <c r="D429" t="s">
        <v>74</v>
      </c>
      <c r="E429" t="s">
        <v>74</v>
      </c>
      <c r="F429" t="s">
        <v>8192</v>
      </c>
      <c r="G429" t="s">
        <v>74</v>
      </c>
      <c r="H429" t="s">
        <v>74</v>
      </c>
      <c r="I429" t="s">
        <v>8193</v>
      </c>
      <c r="J429" t="s">
        <v>5283</v>
      </c>
      <c r="K429" t="s">
        <v>74</v>
      </c>
      <c r="L429" t="s">
        <v>74</v>
      </c>
      <c r="M429" t="s">
        <v>78</v>
      </c>
      <c r="N429" t="s">
        <v>79</v>
      </c>
      <c r="O429" t="s">
        <v>74</v>
      </c>
      <c r="P429" t="s">
        <v>74</v>
      </c>
      <c r="Q429" t="s">
        <v>74</v>
      </c>
      <c r="R429" t="s">
        <v>74</v>
      </c>
      <c r="S429" t="s">
        <v>74</v>
      </c>
      <c r="T429" t="s">
        <v>8194</v>
      </c>
      <c r="U429" t="s">
        <v>8195</v>
      </c>
      <c r="V429" t="s">
        <v>8196</v>
      </c>
      <c r="W429" t="s">
        <v>8197</v>
      </c>
      <c r="X429" t="s">
        <v>8198</v>
      </c>
      <c r="Y429" t="s">
        <v>8199</v>
      </c>
      <c r="Z429" t="s">
        <v>8200</v>
      </c>
      <c r="AA429" t="s">
        <v>74</v>
      </c>
      <c r="AB429" t="s">
        <v>8201</v>
      </c>
      <c r="AC429" t="s">
        <v>74</v>
      </c>
      <c r="AD429" t="s">
        <v>74</v>
      </c>
      <c r="AE429" t="s">
        <v>74</v>
      </c>
      <c r="AF429" t="s">
        <v>74</v>
      </c>
      <c r="AG429">
        <v>51</v>
      </c>
      <c r="AH429">
        <v>34</v>
      </c>
      <c r="AI429">
        <v>40</v>
      </c>
      <c r="AJ429">
        <v>0</v>
      </c>
      <c r="AK429">
        <v>27</v>
      </c>
      <c r="AL429" t="s">
        <v>250</v>
      </c>
      <c r="AM429" t="s">
        <v>413</v>
      </c>
      <c r="AN429" t="s">
        <v>514</v>
      </c>
      <c r="AO429" t="s">
        <v>5295</v>
      </c>
      <c r="AP429" t="s">
        <v>5296</v>
      </c>
      <c r="AQ429" t="s">
        <v>74</v>
      </c>
      <c r="AR429" t="s">
        <v>5297</v>
      </c>
      <c r="AS429" t="s">
        <v>5298</v>
      </c>
      <c r="AT429" t="s">
        <v>7122</v>
      </c>
      <c r="AU429">
        <v>2011</v>
      </c>
      <c r="AV429">
        <v>34</v>
      </c>
      <c r="AW429">
        <v>12</v>
      </c>
      <c r="AX429" t="s">
        <v>74</v>
      </c>
      <c r="AY429" t="s">
        <v>74</v>
      </c>
      <c r="AZ429" t="s">
        <v>74</v>
      </c>
      <c r="BA429" t="s">
        <v>74</v>
      </c>
      <c r="BB429">
        <v>1831</v>
      </c>
      <c r="BC429">
        <v>1841</v>
      </c>
      <c r="BD429" t="s">
        <v>74</v>
      </c>
      <c r="BE429" t="s">
        <v>8202</v>
      </c>
      <c r="BF429" t="str">
        <f>HYPERLINK("http://dx.doi.org/10.1007/s00300-011-1008-z","http://dx.doi.org/10.1007/s00300-011-1008-z")</f>
        <v>http://dx.doi.org/10.1007/s00300-011-1008-z</v>
      </c>
      <c r="BG429" t="s">
        <v>74</v>
      </c>
      <c r="BH429" t="s">
        <v>74</v>
      </c>
      <c r="BI429">
        <v>11</v>
      </c>
      <c r="BJ429" t="s">
        <v>5300</v>
      </c>
      <c r="BK429" t="s">
        <v>100</v>
      </c>
      <c r="BL429" t="s">
        <v>3505</v>
      </c>
      <c r="BM429" t="s">
        <v>8203</v>
      </c>
      <c r="BN429" t="s">
        <v>74</v>
      </c>
      <c r="BO429" t="s">
        <v>74</v>
      </c>
      <c r="BP429" t="s">
        <v>74</v>
      </c>
      <c r="BQ429" t="s">
        <v>74</v>
      </c>
      <c r="BR429" t="s">
        <v>102</v>
      </c>
      <c r="BS429" t="s">
        <v>8204</v>
      </c>
      <c r="BT429" t="str">
        <f>HYPERLINK("https%3A%2F%2Fwww.webofscience.com%2Fwos%2Fwoscc%2Ffull-record%2FWOS:000297203500004","View Full Record in Web of Science")</f>
        <v>View Full Record in Web of Science</v>
      </c>
    </row>
    <row r="430" spans="1:72" x14ac:dyDescent="0.15">
      <c r="A430" t="s">
        <v>72</v>
      </c>
      <c r="B430" t="s">
        <v>8205</v>
      </c>
      <c r="C430" t="s">
        <v>74</v>
      </c>
      <c r="D430" t="s">
        <v>74</v>
      </c>
      <c r="E430" t="s">
        <v>74</v>
      </c>
      <c r="F430" t="s">
        <v>8206</v>
      </c>
      <c r="G430" t="s">
        <v>74</v>
      </c>
      <c r="H430" t="s">
        <v>74</v>
      </c>
      <c r="I430" t="s">
        <v>8207</v>
      </c>
      <c r="J430" t="s">
        <v>8208</v>
      </c>
      <c r="K430" t="s">
        <v>74</v>
      </c>
      <c r="L430" t="s">
        <v>74</v>
      </c>
      <c r="M430" t="s">
        <v>78</v>
      </c>
      <c r="N430" t="s">
        <v>79</v>
      </c>
      <c r="O430" t="s">
        <v>74</v>
      </c>
      <c r="P430" t="s">
        <v>74</v>
      </c>
      <c r="Q430" t="s">
        <v>74</v>
      </c>
      <c r="R430" t="s">
        <v>74</v>
      </c>
      <c r="S430" t="s">
        <v>74</v>
      </c>
      <c r="T430" t="s">
        <v>8209</v>
      </c>
      <c r="U430" t="s">
        <v>8210</v>
      </c>
      <c r="V430" t="s">
        <v>8211</v>
      </c>
      <c r="W430" t="s">
        <v>8212</v>
      </c>
      <c r="X430" t="s">
        <v>8213</v>
      </c>
      <c r="Y430" t="s">
        <v>8214</v>
      </c>
      <c r="Z430" t="s">
        <v>8215</v>
      </c>
      <c r="AA430" t="s">
        <v>8216</v>
      </c>
      <c r="AB430" t="s">
        <v>74</v>
      </c>
      <c r="AC430" t="s">
        <v>8217</v>
      </c>
      <c r="AD430" t="s">
        <v>8218</v>
      </c>
      <c r="AE430" t="s">
        <v>8219</v>
      </c>
      <c r="AF430" t="s">
        <v>74</v>
      </c>
      <c r="AG430">
        <v>65</v>
      </c>
      <c r="AH430">
        <v>2</v>
      </c>
      <c r="AI430">
        <v>2</v>
      </c>
      <c r="AJ430">
        <v>0</v>
      </c>
      <c r="AK430">
        <v>17</v>
      </c>
      <c r="AL430" t="s">
        <v>333</v>
      </c>
      <c r="AM430" t="s">
        <v>334</v>
      </c>
      <c r="AN430" t="s">
        <v>335</v>
      </c>
      <c r="AO430" t="s">
        <v>8220</v>
      </c>
      <c r="AP430" t="s">
        <v>8221</v>
      </c>
      <c r="AQ430" t="s">
        <v>74</v>
      </c>
      <c r="AR430" t="s">
        <v>8222</v>
      </c>
      <c r="AS430" t="s">
        <v>8223</v>
      </c>
      <c r="AT430" t="s">
        <v>7212</v>
      </c>
      <c r="AU430">
        <v>2011</v>
      </c>
      <c r="AV430">
        <v>976</v>
      </c>
      <c r="AW430" t="s">
        <v>8224</v>
      </c>
      <c r="AX430" t="s">
        <v>74</v>
      </c>
      <c r="AY430" t="s">
        <v>74</v>
      </c>
      <c r="AZ430" t="s">
        <v>74</v>
      </c>
      <c r="BA430" t="s">
        <v>74</v>
      </c>
      <c r="BB430">
        <v>98</v>
      </c>
      <c r="BC430">
        <v>104</v>
      </c>
      <c r="BD430" t="s">
        <v>74</v>
      </c>
      <c r="BE430" t="s">
        <v>8225</v>
      </c>
      <c r="BF430" t="str">
        <f>HYPERLINK("http://dx.doi.org/10.1016/j.comptc.2011.08.009","http://dx.doi.org/10.1016/j.comptc.2011.08.009")</f>
        <v>http://dx.doi.org/10.1016/j.comptc.2011.08.009</v>
      </c>
      <c r="BG430" t="s">
        <v>74</v>
      </c>
      <c r="BH430" t="s">
        <v>74</v>
      </c>
      <c r="BI430">
        <v>7</v>
      </c>
      <c r="BJ430" t="s">
        <v>7349</v>
      </c>
      <c r="BK430" t="s">
        <v>100</v>
      </c>
      <c r="BL430" t="s">
        <v>722</v>
      </c>
      <c r="BM430" t="s">
        <v>8226</v>
      </c>
      <c r="BN430" t="s">
        <v>74</v>
      </c>
      <c r="BO430" t="s">
        <v>74</v>
      </c>
      <c r="BP430" t="s">
        <v>74</v>
      </c>
      <c r="BQ430" t="s">
        <v>74</v>
      </c>
      <c r="BR430" t="s">
        <v>102</v>
      </c>
      <c r="BS430" t="s">
        <v>8227</v>
      </c>
      <c r="BT430" t="str">
        <f>HYPERLINK("https%3A%2F%2Fwww.webofscience.com%2Fwos%2Fwoscc%2Ffull-record%2FWOS:000296949800015","View Full Record in Web of Science")</f>
        <v>View Full Record in Web of Science</v>
      </c>
    </row>
    <row r="431" spans="1:72" x14ac:dyDescent="0.15">
      <c r="A431" t="s">
        <v>72</v>
      </c>
      <c r="B431" t="s">
        <v>8228</v>
      </c>
      <c r="C431" t="s">
        <v>74</v>
      </c>
      <c r="D431" t="s">
        <v>74</v>
      </c>
      <c r="E431" t="s">
        <v>74</v>
      </c>
      <c r="F431" t="s">
        <v>8229</v>
      </c>
      <c r="G431" t="s">
        <v>74</v>
      </c>
      <c r="H431" t="s">
        <v>74</v>
      </c>
      <c r="I431" t="s">
        <v>8230</v>
      </c>
      <c r="J431" t="s">
        <v>8231</v>
      </c>
      <c r="K431" t="s">
        <v>74</v>
      </c>
      <c r="L431" t="s">
        <v>74</v>
      </c>
      <c r="M431" t="s">
        <v>78</v>
      </c>
      <c r="N431" t="s">
        <v>79</v>
      </c>
      <c r="O431" t="s">
        <v>74</v>
      </c>
      <c r="P431" t="s">
        <v>74</v>
      </c>
      <c r="Q431" t="s">
        <v>74</v>
      </c>
      <c r="R431" t="s">
        <v>74</v>
      </c>
      <c r="S431" t="s">
        <v>74</v>
      </c>
      <c r="T431" t="s">
        <v>8232</v>
      </c>
      <c r="U431" t="s">
        <v>8233</v>
      </c>
      <c r="V431" t="s">
        <v>8234</v>
      </c>
      <c r="W431" t="s">
        <v>8235</v>
      </c>
      <c r="X431" t="s">
        <v>375</v>
      </c>
      <c r="Y431" t="s">
        <v>8236</v>
      </c>
      <c r="Z431" t="s">
        <v>8237</v>
      </c>
      <c r="AA431" t="s">
        <v>74</v>
      </c>
      <c r="AB431" t="s">
        <v>74</v>
      </c>
      <c r="AC431" t="s">
        <v>8238</v>
      </c>
      <c r="AD431" t="s">
        <v>8239</v>
      </c>
      <c r="AE431" t="s">
        <v>8240</v>
      </c>
      <c r="AF431" t="s">
        <v>74</v>
      </c>
      <c r="AG431">
        <v>55</v>
      </c>
      <c r="AH431">
        <v>30</v>
      </c>
      <c r="AI431">
        <v>31</v>
      </c>
      <c r="AJ431">
        <v>1</v>
      </c>
      <c r="AK431">
        <v>90</v>
      </c>
      <c r="AL431" t="s">
        <v>250</v>
      </c>
      <c r="AM431" t="s">
        <v>413</v>
      </c>
      <c r="AN431" t="s">
        <v>514</v>
      </c>
      <c r="AO431" t="s">
        <v>8241</v>
      </c>
      <c r="AP431" t="s">
        <v>8242</v>
      </c>
      <c r="AQ431" t="s">
        <v>74</v>
      </c>
      <c r="AR431" t="s">
        <v>8231</v>
      </c>
      <c r="AS431" t="s">
        <v>8243</v>
      </c>
      <c r="AT431" t="s">
        <v>7122</v>
      </c>
      <c r="AU431">
        <v>2011</v>
      </c>
      <c r="AV431">
        <v>167</v>
      </c>
      <c r="AW431">
        <v>4</v>
      </c>
      <c r="AX431" t="s">
        <v>74</v>
      </c>
      <c r="AY431" t="s">
        <v>74</v>
      </c>
      <c r="AZ431" t="s">
        <v>74</v>
      </c>
      <c r="BA431" t="s">
        <v>74</v>
      </c>
      <c r="BB431">
        <v>951</v>
      </c>
      <c r="BC431">
        <v>965</v>
      </c>
      <c r="BD431" t="s">
        <v>74</v>
      </c>
      <c r="BE431" t="s">
        <v>8244</v>
      </c>
      <c r="BF431" t="str">
        <f>HYPERLINK("http://dx.doi.org/10.1007/s00442-011-2044-7","http://dx.doi.org/10.1007/s00442-011-2044-7")</f>
        <v>http://dx.doi.org/10.1007/s00442-011-2044-7</v>
      </c>
      <c r="BG431" t="s">
        <v>74</v>
      </c>
      <c r="BH431" t="s">
        <v>74</v>
      </c>
      <c r="BI431">
        <v>15</v>
      </c>
      <c r="BJ431" t="s">
        <v>2835</v>
      </c>
      <c r="BK431" t="s">
        <v>100</v>
      </c>
      <c r="BL431" t="s">
        <v>2837</v>
      </c>
      <c r="BM431" t="s">
        <v>8245</v>
      </c>
      <c r="BN431">
        <v>21691857</v>
      </c>
      <c r="BO431" t="s">
        <v>74</v>
      </c>
      <c r="BP431" t="s">
        <v>74</v>
      </c>
      <c r="BQ431" t="s">
        <v>74</v>
      </c>
      <c r="BR431" t="s">
        <v>102</v>
      </c>
      <c r="BS431" t="s">
        <v>8246</v>
      </c>
      <c r="BT431" t="str">
        <f>HYPERLINK("https%3A%2F%2Fwww.webofscience.com%2Fwos%2Fwoscc%2Ffull-record%2FWOS:000297133800009","View Full Record in Web of Science")</f>
        <v>View Full Record in Web of Science</v>
      </c>
    </row>
    <row r="432" spans="1:72" x14ac:dyDescent="0.15">
      <c r="A432" t="s">
        <v>72</v>
      </c>
      <c r="B432" t="s">
        <v>8247</v>
      </c>
      <c r="C432" t="s">
        <v>74</v>
      </c>
      <c r="D432" t="s">
        <v>74</v>
      </c>
      <c r="E432" t="s">
        <v>74</v>
      </c>
      <c r="F432" t="s">
        <v>8248</v>
      </c>
      <c r="G432" t="s">
        <v>74</v>
      </c>
      <c r="H432" t="s">
        <v>74</v>
      </c>
      <c r="I432" t="s">
        <v>8249</v>
      </c>
      <c r="J432" t="s">
        <v>7128</v>
      </c>
      <c r="K432" t="s">
        <v>74</v>
      </c>
      <c r="L432" t="s">
        <v>74</v>
      </c>
      <c r="M432" t="s">
        <v>78</v>
      </c>
      <c r="N432" t="s">
        <v>79</v>
      </c>
      <c r="O432" t="s">
        <v>74</v>
      </c>
      <c r="P432" t="s">
        <v>74</v>
      </c>
      <c r="Q432" t="s">
        <v>74</v>
      </c>
      <c r="R432" t="s">
        <v>74</v>
      </c>
      <c r="S432" t="s">
        <v>74</v>
      </c>
      <c r="T432" t="s">
        <v>8250</v>
      </c>
      <c r="U432" t="s">
        <v>74</v>
      </c>
      <c r="V432" t="s">
        <v>8251</v>
      </c>
      <c r="W432" t="s">
        <v>8252</v>
      </c>
      <c r="X432" t="s">
        <v>8253</v>
      </c>
      <c r="Y432" t="s">
        <v>8254</v>
      </c>
      <c r="Z432" t="s">
        <v>8255</v>
      </c>
      <c r="AA432" t="s">
        <v>8256</v>
      </c>
      <c r="AB432" t="s">
        <v>8257</v>
      </c>
      <c r="AC432" t="s">
        <v>8258</v>
      </c>
      <c r="AD432" t="s">
        <v>8259</v>
      </c>
      <c r="AE432" t="s">
        <v>8260</v>
      </c>
      <c r="AF432" t="s">
        <v>74</v>
      </c>
      <c r="AG432">
        <v>26</v>
      </c>
      <c r="AH432">
        <v>51</v>
      </c>
      <c r="AI432">
        <v>65</v>
      </c>
      <c r="AJ432">
        <v>2</v>
      </c>
      <c r="AK432">
        <v>135</v>
      </c>
      <c r="AL432" t="s">
        <v>250</v>
      </c>
      <c r="AM432" t="s">
        <v>251</v>
      </c>
      <c r="AN432" t="s">
        <v>252</v>
      </c>
      <c r="AO432" t="s">
        <v>7140</v>
      </c>
      <c r="AP432" t="s">
        <v>7141</v>
      </c>
      <c r="AQ432" t="s">
        <v>74</v>
      </c>
      <c r="AR432" t="s">
        <v>7128</v>
      </c>
      <c r="AS432" t="s">
        <v>7142</v>
      </c>
      <c r="AT432" t="s">
        <v>7122</v>
      </c>
      <c r="AU432">
        <v>2011</v>
      </c>
      <c r="AV432">
        <v>40</v>
      </c>
      <c r="AW432" t="s">
        <v>74</v>
      </c>
      <c r="AX432" t="s">
        <v>74</v>
      </c>
      <c r="AY432">
        <v>1</v>
      </c>
      <c r="AZ432" t="s">
        <v>74</v>
      </c>
      <c r="BA432" t="s">
        <v>74</v>
      </c>
      <c r="BB432">
        <v>111</v>
      </c>
      <c r="BC432">
        <v>118</v>
      </c>
      <c r="BD432" t="s">
        <v>74</v>
      </c>
      <c r="BE432" t="s">
        <v>8261</v>
      </c>
      <c r="BF432" t="str">
        <f>HYPERLINK("http://dx.doi.org/10.1007/s13280-011-0220-y","http://dx.doi.org/10.1007/s13280-011-0220-y")</f>
        <v>http://dx.doi.org/10.1007/s13280-011-0220-y</v>
      </c>
      <c r="BG432" t="s">
        <v>74</v>
      </c>
      <c r="BH432" t="s">
        <v>74</v>
      </c>
      <c r="BI432">
        <v>8</v>
      </c>
      <c r="BJ432" t="s">
        <v>3688</v>
      </c>
      <c r="BK432" t="s">
        <v>100</v>
      </c>
      <c r="BL432" t="s">
        <v>3689</v>
      </c>
      <c r="BM432" t="s">
        <v>7144</v>
      </c>
      <c r="BN432" t="s">
        <v>74</v>
      </c>
      <c r="BO432" t="s">
        <v>4515</v>
      </c>
      <c r="BP432" t="s">
        <v>74</v>
      </c>
      <c r="BQ432" t="s">
        <v>74</v>
      </c>
      <c r="BR432" t="s">
        <v>102</v>
      </c>
      <c r="BS432" t="s">
        <v>8262</v>
      </c>
      <c r="BT432" t="str">
        <f>HYPERLINK("https%3A%2F%2Fwww.webofscience.com%2Fwos%2Fwoscc%2Ffull-record%2FWOS:000305284800012","View Full Record in Web of Science")</f>
        <v>View Full Record in Web of Science</v>
      </c>
    </row>
    <row r="433" spans="1:72" x14ac:dyDescent="0.15">
      <c r="A433" t="s">
        <v>72</v>
      </c>
      <c r="B433" t="s">
        <v>8263</v>
      </c>
      <c r="C433" t="s">
        <v>74</v>
      </c>
      <c r="D433" t="s">
        <v>74</v>
      </c>
      <c r="E433" t="s">
        <v>74</v>
      </c>
      <c r="F433" t="s">
        <v>8264</v>
      </c>
      <c r="G433" t="s">
        <v>74</v>
      </c>
      <c r="H433" t="s">
        <v>74</v>
      </c>
      <c r="I433" t="s">
        <v>8265</v>
      </c>
      <c r="J433" t="s">
        <v>8266</v>
      </c>
      <c r="K433" t="s">
        <v>74</v>
      </c>
      <c r="L433" t="s">
        <v>74</v>
      </c>
      <c r="M433" t="s">
        <v>3199</v>
      </c>
      <c r="N433" t="s">
        <v>810</v>
      </c>
      <c r="O433" t="s">
        <v>74</v>
      </c>
      <c r="P433" t="s">
        <v>74</v>
      </c>
      <c r="Q433" t="s">
        <v>74</v>
      </c>
      <c r="R433" t="s">
        <v>74</v>
      </c>
      <c r="S433" t="s">
        <v>74</v>
      </c>
      <c r="T433" t="s">
        <v>74</v>
      </c>
      <c r="U433" t="s">
        <v>8267</v>
      </c>
      <c r="V433" t="s">
        <v>74</v>
      </c>
      <c r="W433" t="s">
        <v>8268</v>
      </c>
      <c r="X433" t="s">
        <v>8269</v>
      </c>
      <c r="Y433" t="s">
        <v>8270</v>
      </c>
      <c r="Z433" t="s">
        <v>8271</v>
      </c>
      <c r="AA433" t="s">
        <v>74</v>
      </c>
      <c r="AB433" t="s">
        <v>74</v>
      </c>
      <c r="AC433" t="s">
        <v>74</v>
      </c>
      <c r="AD433" t="s">
        <v>74</v>
      </c>
      <c r="AE433" t="s">
        <v>74</v>
      </c>
      <c r="AF433" t="s">
        <v>74</v>
      </c>
      <c r="AG433">
        <v>24</v>
      </c>
      <c r="AH433">
        <v>3</v>
      </c>
      <c r="AI433">
        <v>3</v>
      </c>
      <c r="AJ433">
        <v>0</v>
      </c>
      <c r="AK433">
        <v>6</v>
      </c>
      <c r="AL433" t="s">
        <v>8272</v>
      </c>
      <c r="AM433" t="s">
        <v>8273</v>
      </c>
      <c r="AN433" t="s">
        <v>8274</v>
      </c>
      <c r="AO433" t="s">
        <v>8275</v>
      </c>
      <c r="AP433" t="s">
        <v>8276</v>
      </c>
      <c r="AQ433" t="s">
        <v>74</v>
      </c>
      <c r="AR433" t="s">
        <v>8266</v>
      </c>
      <c r="AS433" t="s">
        <v>8277</v>
      </c>
      <c r="AT433" t="s">
        <v>7122</v>
      </c>
      <c r="AU433">
        <v>2011</v>
      </c>
      <c r="AV433">
        <v>48</v>
      </c>
      <c r="AW433">
        <v>4</v>
      </c>
      <c r="AX433" t="s">
        <v>74</v>
      </c>
      <c r="AY433" t="s">
        <v>74</v>
      </c>
      <c r="AZ433" t="s">
        <v>74</v>
      </c>
      <c r="BA433" t="s">
        <v>74</v>
      </c>
      <c r="BB433">
        <v>668</v>
      </c>
      <c r="BC433">
        <v>673</v>
      </c>
      <c r="BD433" t="s">
        <v>74</v>
      </c>
      <c r="BE433" t="s">
        <v>8278</v>
      </c>
      <c r="BF433" t="str">
        <f>HYPERLINK("http://dx.doi.org/10.5710/AMGH.v48i4(505)","http://dx.doi.org/10.5710/AMGH.v48i4(505)")</f>
        <v>http://dx.doi.org/10.5710/AMGH.v48i4(505)</v>
      </c>
      <c r="BG433" t="s">
        <v>74</v>
      </c>
      <c r="BH433" t="s">
        <v>74</v>
      </c>
      <c r="BI433">
        <v>6</v>
      </c>
      <c r="BJ433" t="s">
        <v>4186</v>
      </c>
      <c r="BK433" t="s">
        <v>100</v>
      </c>
      <c r="BL433" t="s">
        <v>4186</v>
      </c>
      <c r="BM433" t="s">
        <v>8279</v>
      </c>
      <c r="BN433" t="s">
        <v>74</v>
      </c>
      <c r="BO433" t="s">
        <v>342</v>
      </c>
      <c r="BP433" t="s">
        <v>74</v>
      </c>
      <c r="BQ433" t="s">
        <v>74</v>
      </c>
      <c r="BR433" t="s">
        <v>102</v>
      </c>
      <c r="BS433" t="s">
        <v>8280</v>
      </c>
      <c r="BT433" t="str">
        <f>HYPERLINK("https%3A%2F%2Fwww.webofscience.com%2Fwos%2Fwoscc%2Ffull-record%2FWOS:000302508900019","View Full Record in Web of Science")</f>
        <v>View Full Record in Web of Science</v>
      </c>
    </row>
    <row r="434" spans="1:72" x14ac:dyDescent="0.15">
      <c r="A434" t="s">
        <v>72</v>
      </c>
      <c r="B434" t="s">
        <v>8281</v>
      </c>
      <c r="C434" t="s">
        <v>74</v>
      </c>
      <c r="D434" t="s">
        <v>74</v>
      </c>
      <c r="E434" t="s">
        <v>74</v>
      </c>
      <c r="F434" t="s">
        <v>8282</v>
      </c>
      <c r="G434" t="s">
        <v>74</v>
      </c>
      <c r="H434" t="s">
        <v>74</v>
      </c>
      <c r="I434" t="s">
        <v>8283</v>
      </c>
      <c r="J434" t="s">
        <v>8284</v>
      </c>
      <c r="K434" t="s">
        <v>74</v>
      </c>
      <c r="L434" t="s">
        <v>74</v>
      </c>
      <c r="M434" t="s">
        <v>78</v>
      </c>
      <c r="N434" t="s">
        <v>79</v>
      </c>
      <c r="O434" t="s">
        <v>74</v>
      </c>
      <c r="P434" t="s">
        <v>74</v>
      </c>
      <c r="Q434" t="s">
        <v>74</v>
      </c>
      <c r="R434" t="s">
        <v>74</v>
      </c>
      <c r="S434" t="s">
        <v>74</v>
      </c>
      <c r="T434" t="s">
        <v>74</v>
      </c>
      <c r="U434" t="s">
        <v>8285</v>
      </c>
      <c r="V434" t="s">
        <v>8286</v>
      </c>
      <c r="W434" t="s">
        <v>8287</v>
      </c>
      <c r="X434" t="s">
        <v>8288</v>
      </c>
      <c r="Y434" t="s">
        <v>8289</v>
      </c>
      <c r="Z434" t="s">
        <v>8290</v>
      </c>
      <c r="AA434" t="s">
        <v>8291</v>
      </c>
      <c r="AB434" t="s">
        <v>8292</v>
      </c>
      <c r="AC434" t="s">
        <v>8293</v>
      </c>
      <c r="AD434" t="s">
        <v>8294</v>
      </c>
      <c r="AE434" t="s">
        <v>8295</v>
      </c>
      <c r="AF434" t="s">
        <v>74</v>
      </c>
      <c r="AG434">
        <v>75</v>
      </c>
      <c r="AH434">
        <v>25</v>
      </c>
      <c r="AI434">
        <v>28</v>
      </c>
      <c r="AJ434">
        <v>1</v>
      </c>
      <c r="AK434">
        <v>100</v>
      </c>
      <c r="AL434" t="s">
        <v>3802</v>
      </c>
      <c r="AM434" t="s">
        <v>985</v>
      </c>
      <c r="AN434" t="s">
        <v>3803</v>
      </c>
      <c r="AO434" t="s">
        <v>8296</v>
      </c>
      <c r="AP434" t="s">
        <v>74</v>
      </c>
      <c r="AQ434" t="s">
        <v>74</v>
      </c>
      <c r="AR434" t="s">
        <v>8297</v>
      </c>
      <c r="AS434" t="s">
        <v>8298</v>
      </c>
      <c r="AT434" t="s">
        <v>7212</v>
      </c>
      <c r="AU434">
        <v>2011</v>
      </c>
      <c r="AV434">
        <v>83</v>
      </c>
      <c r="AW434">
        <v>23</v>
      </c>
      <c r="AX434" t="s">
        <v>74</v>
      </c>
      <c r="AY434" t="s">
        <v>74</v>
      </c>
      <c r="AZ434" t="s">
        <v>74</v>
      </c>
      <c r="BA434" t="s">
        <v>74</v>
      </c>
      <c r="BB434">
        <v>8968</v>
      </c>
      <c r="BC434">
        <v>8974</v>
      </c>
      <c r="BD434" t="s">
        <v>74</v>
      </c>
      <c r="BE434" t="s">
        <v>8299</v>
      </c>
      <c r="BF434" t="str">
        <f>HYPERLINK("http://dx.doi.org/10.1021/ac201765a","http://dx.doi.org/10.1021/ac201765a")</f>
        <v>http://dx.doi.org/10.1021/ac201765a</v>
      </c>
      <c r="BG434" t="s">
        <v>74</v>
      </c>
      <c r="BH434" t="s">
        <v>74</v>
      </c>
      <c r="BI434">
        <v>7</v>
      </c>
      <c r="BJ434" t="s">
        <v>721</v>
      </c>
      <c r="BK434" t="s">
        <v>100</v>
      </c>
      <c r="BL434" t="s">
        <v>722</v>
      </c>
      <c r="BM434" t="s">
        <v>8300</v>
      </c>
      <c r="BN434">
        <v>21992549</v>
      </c>
      <c r="BO434" t="s">
        <v>74</v>
      </c>
      <c r="BP434" t="s">
        <v>74</v>
      </c>
      <c r="BQ434" t="s">
        <v>74</v>
      </c>
      <c r="BR434" t="s">
        <v>102</v>
      </c>
      <c r="BS434" t="s">
        <v>8301</v>
      </c>
      <c r="BT434" t="str">
        <f>HYPERLINK("https%3A%2F%2Fwww.webofscience.com%2Fwos%2Fwoscc%2Ffull-record%2FWOS:000297481700022","View Full Record in Web of Science")</f>
        <v>View Full Record in Web of Science</v>
      </c>
    </row>
    <row r="435" spans="1:72" x14ac:dyDescent="0.15">
      <c r="A435" t="s">
        <v>72</v>
      </c>
      <c r="B435" t="s">
        <v>8302</v>
      </c>
      <c r="C435" t="s">
        <v>74</v>
      </c>
      <c r="D435" t="s">
        <v>74</v>
      </c>
      <c r="E435" t="s">
        <v>74</v>
      </c>
      <c r="F435" t="s">
        <v>8303</v>
      </c>
      <c r="G435" t="s">
        <v>74</v>
      </c>
      <c r="H435" t="s">
        <v>74</v>
      </c>
      <c r="I435" t="s">
        <v>8304</v>
      </c>
      <c r="J435" t="s">
        <v>8305</v>
      </c>
      <c r="K435" t="s">
        <v>74</v>
      </c>
      <c r="L435" t="s">
        <v>74</v>
      </c>
      <c r="M435" t="s">
        <v>78</v>
      </c>
      <c r="N435" t="s">
        <v>79</v>
      </c>
      <c r="O435" t="s">
        <v>74</v>
      </c>
      <c r="P435" t="s">
        <v>74</v>
      </c>
      <c r="Q435" t="s">
        <v>74</v>
      </c>
      <c r="R435" t="s">
        <v>74</v>
      </c>
      <c r="S435" t="s">
        <v>74</v>
      </c>
      <c r="T435" t="s">
        <v>8306</v>
      </c>
      <c r="U435" t="s">
        <v>8307</v>
      </c>
      <c r="V435" t="s">
        <v>8308</v>
      </c>
      <c r="W435" t="s">
        <v>8309</v>
      </c>
      <c r="X435" t="s">
        <v>8310</v>
      </c>
      <c r="Y435" t="s">
        <v>8311</v>
      </c>
      <c r="Z435" t="s">
        <v>4780</v>
      </c>
      <c r="AA435" t="s">
        <v>8312</v>
      </c>
      <c r="AB435" t="s">
        <v>8313</v>
      </c>
      <c r="AC435" t="s">
        <v>8314</v>
      </c>
      <c r="AD435" t="s">
        <v>8315</v>
      </c>
      <c r="AE435" t="s">
        <v>8316</v>
      </c>
      <c r="AF435" t="s">
        <v>74</v>
      </c>
      <c r="AG435">
        <v>63</v>
      </c>
      <c r="AH435">
        <v>20</v>
      </c>
      <c r="AI435">
        <v>20</v>
      </c>
      <c r="AJ435">
        <v>0</v>
      </c>
      <c r="AK435">
        <v>43</v>
      </c>
      <c r="AL435" t="s">
        <v>2832</v>
      </c>
      <c r="AM435" t="s">
        <v>796</v>
      </c>
      <c r="AN435" t="s">
        <v>797</v>
      </c>
      <c r="AO435" t="s">
        <v>8317</v>
      </c>
      <c r="AP435" t="s">
        <v>8318</v>
      </c>
      <c r="AQ435" t="s">
        <v>74</v>
      </c>
      <c r="AR435" t="s">
        <v>8319</v>
      </c>
      <c r="AS435" t="s">
        <v>8320</v>
      </c>
      <c r="AT435" t="s">
        <v>7122</v>
      </c>
      <c r="AU435">
        <v>2011</v>
      </c>
      <c r="AV435">
        <v>14</v>
      </c>
      <c r="AW435">
        <v>6</v>
      </c>
      <c r="AX435" t="s">
        <v>74</v>
      </c>
      <c r="AY435" t="s">
        <v>74</v>
      </c>
      <c r="AZ435" t="s">
        <v>74</v>
      </c>
      <c r="BA435" t="s">
        <v>74</v>
      </c>
      <c r="BB435">
        <v>630</v>
      </c>
      <c r="BC435">
        <v>641</v>
      </c>
      <c r="BD435" t="s">
        <v>74</v>
      </c>
      <c r="BE435" t="s">
        <v>8321</v>
      </c>
      <c r="BF435" t="str">
        <f>HYPERLINK("http://dx.doi.org/10.1111/j.1469-1795.2011.00479.x","http://dx.doi.org/10.1111/j.1469-1795.2011.00479.x")</f>
        <v>http://dx.doi.org/10.1111/j.1469-1795.2011.00479.x</v>
      </c>
      <c r="BG435" t="s">
        <v>74</v>
      </c>
      <c r="BH435" t="s">
        <v>74</v>
      </c>
      <c r="BI435">
        <v>12</v>
      </c>
      <c r="BJ435" t="s">
        <v>5300</v>
      </c>
      <c r="BK435" t="s">
        <v>100</v>
      </c>
      <c r="BL435" t="s">
        <v>3505</v>
      </c>
      <c r="BM435" t="s">
        <v>8322</v>
      </c>
      <c r="BN435" t="s">
        <v>74</v>
      </c>
      <c r="BO435" t="s">
        <v>74</v>
      </c>
      <c r="BP435" t="s">
        <v>74</v>
      </c>
      <c r="BQ435" t="s">
        <v>74</v>
      </c>
      <c r="BR435" t="s">
        <v>102</v>
      </c>
      <c r="BS435" t="s">
        <v>8323</v>
      </c>
      <c r="BT435" t="str">
        <f>HYPERLINK("https%3A%2F%2Fwww.webofscience.com%2Fwos%2Fwoscc%2Ffull-record%2FWOS:000298331900007","View Full Record in Web of Science")</f>
        <v>View Full Record in Web of Science</v>
      </c>
    </row>
    <row r="436" spans="1:72" x14ac:dyDescent="0.15">
      <c r="A436" t="s">
        <v>72</v>
      </c>
      <c r="B436" t="s">
        <v>8324</v>
      </c>
      <c r="C436" t="s">
        <v>74</v>
      </c>
      <c r="D436" t="s">
        <v>74</v>
      </c>
      <c r="E436" t="s">
        <v>74</v>
      </c>
      <c r="F436" t="s">
        <v>8325</v>
      </c>
      <c r="G436" t="s">
        <v>74</v>
      </c>
      <c r="H436" t="s">
        <v>74</v>
      </c>
      <c r="I436" t="s">
        <v>8326</v>
      </c>
      <c r="J436" t="s">
        <v>7417</v>
      </c>
      <c r="K436" t="s">
        <v>74</v>
      </c>
      <c r="L436" t="s">
        <v>74</v>
      </c>
      <c r="M436" t="s">
        <v>78</v>
      </c>
      <c r="N436" t="s">
        <v>810</v>
      </c>
      <c r="O436" t="s">
        <v>74</v>
      </c>
      <c r="P436" t="s">
        <v>74</v>
      </c>
      <c r="Q436" t="s">
        <v>74</v>
      </c>
      <c r="R436" t="s">
        <v>74</v>
      </c>
      <c r="S436" t="s">
        <v>74</v>
      </c>
      <c r="T436" t="s">
        <v>74</v>
      </c>
      <c r="U436" t="s">
        <v>74</v>
      </c>
      <c r="V436" t="s">
        <v>74</v>
      </c>
      <c r="W436" t="s">
        <v>74</v>
      </c>
      <c r="X436" t="s">
        <v>74</v>
      </c>
      <c r="Y436" t="s">
        <v>74</v>
      </c>
      <c r="Z436" t="s">
        <v>74</v>
      </c>
      <c r="AA436" t="s">
        <v>74</v>
      </c>
      <c r="AB436" t="s">
        <v>5377</v>
      </c>
      <c r="AC436" t="s">
        <v>74</v>
      </c>
      <c r="AD436" t="s">
        <v>74</v>
      </c>
      <c r="AE436" t="s">
        <v>74</v>
      </c>
      <c r="AF436" t="s">
        <v>74</v>
      </c>
      <c r="AG436">
        <v>0</v>
      </c>
      <c r="AH436">
        <v>0</v>
      </c>
      <c r="AI436">
        <v>0</v>
      </c>
      <c r="AJ436">
        <v>0</v>
      </c>
      <c r="AK436">
        <v>4</v>
      </c>
      <c r="AL436" t="s">
        <v>813</v>
      </c>
      <c r="AM436" t="s">
        <v>413</v>
      </c>
      <c r="AN436" t="s">
        <v>7426</v>
      </c>
      <c r="AO436" t="s">
        <v>7427</v>
      </c>
      <c r="AP436" t="s">
        <v>74</v>
      </c>
      <c r="AQ436" t="s">
        <v>74</v>
      </c>
      <c r="AR436" t="s">
        <v>7429</v>
      </c>
      <c r="AS436" t="s">
        <v>7430</v>
      </c>
      <c r="AT436" t="s">
        <v>7122</v>
      </c>
      <c r="AU436">
        <v>2011</v>
      </c>
      <c r="AV436">
        <v>23</v>
      </c>
      <c r="AW436">
        <v>6</v>
      </c>
      <c r="AX436" t="s">
        <v>74</v>
      </c>
      <c r="AY436" t="s">
        <v>74</v>
      </c>
      <c r="AZ436" t="s">
        <v>74</v>
      </c>
      <c r="BA436" t="s">
        <v>74</v>
      </c>
      <c r="BB436">
        <v>501</v>
      </c>
      <c r="BC436">
        <v>501</v>
      </c>
      <c r="BD436" t="s">
        <v>74</v>
      </c>
      <c r="BE436" t="s">
        <v>8327</v>
      </c>
      <c r="BF436" t="str">
        <f>HYPERLINK("http://dx.doi.org/10.1017/S0954102011000848","http://dx.doi.org/10.1017/S0954102011000848")</f>
        <v>http://dx.doi.org/10.1017/S0954102011000848</v>
      </c>
      <c r="BG436" t="s">
        <v>74</v>
      </c>
      <c r="BH436" t="s">
        <v>74</v>
      </c>
      <c r="BI436">
        <v>1</v>
      </c>
      <c r="BJ436" t="s">
        <v>7432</v>
      </c>
      <c r="BK436" t="s">
        <v>100</v>
      </c>
      <c r="BL436" t="s">
        <v>2855</v>
      </c>
      <c r="BM436" t="s">
        <v>7433</v>
      </c>
      <c r="BN436" t="s">
        <v>74</v>
      </c>
      <c r="BO436" t="s">
        <v>365</v>
      </c>
      <c r="BP436" t="s">
        <v>74</v>
      </c>
      <c r="BQ436" t="s">
        <v>74</v>
      </c>
      <c r="BR436" t="s">
        <v>102</v>
      </c>
      <c r="BS436" t="s">
        <v>8328</v>
      </c>
      <c r="BT436" t="str">
        <f>HYPERLINK("https%3A%2F%2Fwww.webofscience.com%2Fwos%2Fwoscc%2Ffull-record%2FWOS:000298286200001","View Full Record in Web of Science")</f>
        <v>View Full Record in Web of Science</v>
      </c>
    </row>
    <row r="437" spans="1:72" x14ac:dyDescent="0.15">
      <c r="A437" t="s">
        <v>72</v>
      </c>
      <c r="B437" t="s">
        <v>8329</v>
      </c>
      <c r="C437" t="s">
        <v>74</v>
      </c>
      <c r="D437" t="s">
        <v>74</v>
      </c>
      <c r="E437" t="s">
        <v>74</v>
      </c>
      <c r="F437" t="s">
        <v>8330</v>
      </c>
      <c r="G437" t="s">
        <v>74</v>
      </c>
      <c r="H437" t="s">
        <v>74</v>
      </c>
      <c r="I437" t="s">
        <v>8331</v>
      </c>
      <c r="J437" t="s">
        <v>7417</v>
      </c>
      <c r="K437" t="s">
        <v>74</v>
      </c>
      <c r="L437" t="s">
        <v>74</v>
      </c>
      <c r="M437" t="s">
        <v>78</v>
      </c>
      <c r="N437" t="s">
        <v>79</v>
      </c>
      <c r="O437" t="s">
        <v>74</v>
      </c>
      <c r="P437" t="s">
        <v>74</v>
      </c>
      <c r="Q437" t="s">
        <v>74</v>
      </c>
      <c r="R437" t="s">
        <v>74</v>
      </c>
      <c r="S437" t="s">
        <v>74</v>
      </c>
      <c r="T437" t="s">
        <v>8332</v>
      </c>
      <c r="U437" t="s">
        <v>8333</v>
      </c>
      <c r="V437" t="s">
        <v>8334</v>
      </c>
      <c r="W437" t="s">
        <v>8335</v>
      </c>
      <c r="X437" t="s">
        <v>527</v>
      </c>
      <c r="Y437" t="s">
        <v>8336</v>
      </c>
      <c r="Z437" t="s">
        <v>3860</v>
      </c>
      <c r="AA437" t="s">
        <v>8337</v>
      </c>
      <c r="AB437" t="s">
        <v>74</v>
      </c>
      <c r="AC437" t="s">
        <v>585</v>
      </c>
      <c r="AD437" t="s">
        <v>586</v>
      </c>
      <c r="AE437" t="s">
        <v>74</v>
      </c>
      <c r="AF437" t="s">
        <v>74</v>
      </c>
      <c r="AG437">
        <v>48</v>
      </c>
      <c r="AH437">
        <v>45</v>
      </c>
      <c r="AI437">
        <v>48</v>
      </c>
      <c r="AJ437">
        <v>0</v>
      </c>
      <c r="AK437">
        <v>38</v>
      </c>
      <c r="AL437" t="s">
        <v>813</v>
      </c>
      <c r="AM437" t="s">
        <v>413</v>
      </c>
      <c r="AN437" t="s">
        <v>7426</v>
      </c>
      <c r="AO437" t="s">
        <v>7427</v>
      </c>
      <c r="AP437" t="s">
        <v>7428</v>
      </c>
      <c r="AQ437" t="s">
        <v>74</v>
      </c>
      <c r="AR437" t="s">
        <v>7429</v>
      </c>
      <c r="AS437" t="s">
        <v>7430</v>
      </c>
      <c r="AT437" t="s">
        <v>7122</v>
      </c>
      <c r="AU437">
        <v>2011</v>
      </c>
      <c r="AV437">
        <v>23</v>
      </c>
      <c r="AW437">
        <v>6</v>
      </c>
      <c r="AX437" t="s">
        <v>74</v>
      </c>
      <c r="AY437" t="s">
        <v>74</v>
      </c>
      <c r="AZ437" t="s">
        <v>74</v>
      </c>
      <c r="BA437" t="s">
        <v>74</v>
      </c>
      <c r="BB437">
        <v>537</v>
      </c>
      <c r="BC437">
        <v>548</v>
      </c>
      <c r="BD437" t="s">
        <v>74</v>
      </c>
      <c r="BE437" t="s">
        <v>8338</v>
      </c>
      <c r="BF437" t="str">
        <f>HYPERLINK("http://dx.doi.org/10.1017/S095410201100037X","http://dx.doi.org/10.1017/S095410201100037X")</f>
        <v>http://dx.doi.org/10.1017/S095410201100037X</v>
      </c>
      <c r="BG437" t="s">
        <v>74</v>
      </c>
      <c r="BH437" t="s">
        <v>74</v>
      </c>
      <c r="BI437">
        <v>12</v>
      </c>
      <c r="BJ437" t="s">
        <v>7432</v>
      </c>
      <c r="BK437" t="s">
        <v>100</v>
      </c>
      <c r="BL437" t="s">
        <v>2855</v>
      </c>
      <c r="BM437" t="s">
        <v>7433</v>
      </c>
      <c r="BN437" t="s">
        <v>74</v>
      </c>
      <c r="BO437" t="s">
        <v>2679</v>
      </c>
      <c r="BP437" t="s">
        <v>74</v>
      </c>
      <c r="BQ437" t="s">
        <v>74</v>
      </c>
      <c r="BR437" t="s">
        <v>102</v>
      </c>
      <c r="BS437" t="s">
        <v>8339</v>
      </c>
      <c r="BT437" t="str">
        <f>HYPERLINK("https%3A%2F%2Fwww.webofscience.com%2Fwos%2Fwoscc%2Ffull-record%2FWOS:000298286200004","View Full Record in Web of Science")</f>
        <v>View Full Record in Web of Science</v>
      </c>
    </row>
    <row r="438" spans="1:72" x14ac:dyDescent="0.15">
      <c r="A438" t="s">
        <v>72</v>
      </c>
      <c r="B438" t="s">
        <v>8340</v>
      </c>
      <c r="C438" t="s">
        <v>74</v>
      </c>
      <c r="D438" t="s">
        <v>74</v>
      </c>
      <c r="E438" t="s">
        <v>74</v>
      </c>
      <c r="F438" t="s">
        <v>8341</v>
      </c>
      <c r="G438" t="s">
        <v>74</v>
      </c>
      <c r="H438" t="s">
        <v>74</v>
      </c>
      <c r="I438" t="s">
        <v>8342</v>
      </c>
      <c r="J438" t="s">
        <v>7417</v>
      </c>
      <c r="K438" t="s">
        <v>74</v>
      </c>
      <c r="L438" t="s">
        <v>74</v>
      </c>
      <c r="M438" t="s">
        <v>78</v>
      </c>
      <c r="N438" t="s">
        <v>79</v>
      </c>
      <c r="O438" t="s">
        <v>74</v>
      </c>
      <c r="P438" t="s">
        <v>74</v>
      </c>
      <c r="Q438" t="s">
        <v>74</v>
      </c>
      <c r="R438" t="s">
        <v>74</v>
      </c>
      <c r="S438" t="s">
        <v>74</v>
      </c>
      <c r="T438" t="s">
        <v>8343</v>
      </c>
      <c r="U438" t="s">
        <v>8344</v>
      </c>
      <c r="V438" t="s">
        <v>8345</v>
      </c>
      <c r="W438" t="s">
        <v>8346</v>
      </c>
      <c r="X438" t="s">
        <v>8347</v>
      </c>
      <c r="Y438" t="s">
        <v>8348</v>
      </c>
      <c r="Z438" t="s">
        <v>8349</v>
      </c>
      <c r="AA438" t="s">
        <v>8350</v>
      </c>
      <c r="AB438" t="s">
        <v>8351</v>
      </c>
      <c r="AC438" t="s">
        <v>8352</v>
      </c>
      <c r="AD438" t="s">
        <v>8353</v>
      </c>
      <c r="AE438" t="s">
        <v>8354</v>
      </c>
      <c r="AF438" t="s">
        <v>74</v>
      </c>
      <c r="AG438">
        <v>49</v>
      </c>
      <c r="AH438">
        <v>35</v>
      </c>
      <c r="AI438">
        <v>42</v>
      </c>
      <c r="AJ438">
        <v>2</v>
      </c>
      <c r="AK438">
        <v>65</v>
      </c>
      <c r="AL438" t="s">
        <v>813</v>
      </c>
      <c r="AM438" t="s">
        <v>413</v>
      </c>
      <c r="AN438" t="s">
        <v>7426</v>
      </c>
      <c r="AO438" t="s">
        <v>7427</v>
      </c>
      <c r="AP438" t="s">
        <v>7428</v>
      </c>
      <c r="AQ438" t="s">
        <v>74</v>
      </c>
      <c r="AR438" t="s">
        <v>7429</v>
      </c>
      <c r="AS438" t="s">
        <v>7430</v>
      </c>
      <c r="AT438" t="s">
        <v>7122</v>
      </c>
      <c r="AU438">
        <v>2011</v>
      </c>
      <c r="AV438">
        <v>23</v>
      </c>
      <c r="AW438">
        <v>6</v>
      </c>
      <c r="AX438" t="s">
        <v>74</v>
      </c>
      <c r="AY438" t="s">
        <v>74</v>
      </c>
      <c r="AZ438" t="s">
        <v>74</v>
      </c>
      <c r="BA438" t="s">
        <v>74</v>
      </c>
      <c r="BB438">
        <v>556</v>
      </c>
      <c r="BC438">
        <v>566</v>
      </c>
      <c r="BD438" t="s">
        <v>74</v>
      </c>
      <c r="BE438" t="s">
        <v>8355</v>
      </c>
      <c r="BF438" t="str">
        <f>HYPERLINK("http://dx.doi.org/10.1017/S0954102011000435","http://dx.doi.org/10.1017/S0954102011000435")</f>
        <v>http://dx.doi.org/10.1017/S0954102011000435</v>
      </c>
      <c r="BG438" t="s">
        <v>74</v>
      </c>
      <c r="BH438" t="s">
        <v>74</v>
      </c>
      <c r="BI438">
        <v>11</v>
      </c>
      <c r="BJ438" t="s">
        <v>7432</v>
      </c>
      <c r="BK438" t="s">
        <v>7768</v>
      </c>
      <c r="BL438" t="s">
        <v>2855</v>
      </c>
      <c r="BM438" t="s">
        <v>7433</v>
      </c>
      <c r="BN438" t="s">
        <v>74</v>
      </c>
      <c r="BO438" t="s">
        <v>74</v>
      </c>
      <c r="BP438" t="s">
        <v>74</v>
      </c>
      <c r="BQ438" t="s">
        <v>74</v>
      </c>
      <c r="BR438" t="s">
        <v>102</v>
      </c>
      <c r="BS438" t="s">
        <v>8356</v>
      </c>
      <c r="BT438" t="str">
        <f>HYPERLINK("https%3A%2F%2Fwww.webofscience.com%2Fwos%2Fwoscc%2Ffull-record%2FWOS:000298286200006","View Full Record in Web of Science")</f>
        <v>View Full Record in Web of Science</v>
      </c>
    </row>
    <row r="439" spans="1:72" x14ac:dyDescent="0.15">
      <c r="A439" t="s">
        <v>72</v>
      </c>
      <c r="B439" t="s">
        <v>8357</v>
      </c>
      <c r="C439" t="s">
        <v>74</v>
      </c>
      <c r="D439" t="s">
        <v>74</v>
      </c>
      <c r="E439" t="s">
        <v>74</v>
      </c>
      <c r="F439" t="s">
        <v>8358</v>
      </c>
      <c r="G439" t="s">
        <v>74</v>
      </c>
      <c r="H439" t="s">
        <v>74</v>
      </c>
      <c r="I439" t="s">
        <v>8359</v>
      </c>
      <c r="J439" t="s">
        <v>7417</v>
      </c>
      <c r="K439" t="s">
        <v>74</v>
      </c>
      <c r="L439" t="s">
        <v>74</v>
      </c>
      <c r="M439" t="s">
        <v>78</v>
      </c>
      <c r="N439" t="s">
        <v>79</v>
      </c>
      <c r="O439" t="s">
        <v>74</v>
      </c>
      <c r="P439" t="s">
        <v>74</v>
      </c>
      <c r="Q439" t="s">
        <v>74</v>
      </c>
      <c r="R439" t="s">
        <v>74</v>
      </c>
      <c r="S439" t="s">
        <v>74</v>
      </c>
      <c r="T439" t="s">
        <v>8360</v>
      </c>
      <c r="U439" t="s">
        <v>8361</v>
      </c>
      <c r="V439" t="s">
        <v>8362</v>
      </c>
      <c r="W439" t="s">
        <v>8363</v>
      </c>
      <c r="X439" t="s">
        <v>8364</v>
      </c>
      <c r="Y439" t="s">
        <v>8365</v>
      </c>
      <c r="Z439" t="s">
        <v>8366</v>
      </c>
      <c r="AA439" t="s">
        <v>8367</v>
      </c>
      <c r="AB439" t="s">
        <v>8368</v>
      </c>
      <c r="AC439" t="s">
        <v>8369</v>
      </c>
      <c r="AD439" t="s">
        <v>8370</v>
      </c>
      <c r="AE439" t="s">
        <v>8371</v>
      </c>
      <c r="AF439" t="s">
        <v>74</v>
      </c>
      <c r="AG439">
        <v>50</v>
      </c>
      <c r="AH439">
        <v>20</v>
      </c>
      <c r="AI439">
        <v>23</v>
      </c>
      <c r="AJ439">
        <v>3</v>
      </c>
      <c r="AK439">
        <v>26</v>
      </c>
      <c r="AL439" t="s">
        <v>813</v>
      </c>
      <c r="AM439" t="s">
        <v>413</v>
      </c>
      <c r="AN439" t="s">
        <v>7426</v>
      </c>
      <c r="AO439" t="s">
        <v>7427</v>
      </c>
      <c r="AP439" t="s">
        <v>74</v>
      </c>
      <c r="AQ439" t="s">
        <v>74</v>
      </c>
      <c r="AR439" t="s">
        <v>7429</v>
      </c>
      <c r="AS439" t="s">
        <v>7430</v>
      </c>
      <c r="AT439" t="s">
        <v>7122</v>
      </c>
      <c r="AU439">
        <v>2011</v>
      </c>
      <c r="AV439">
        <v>23</v>
      </c>
      <c r="AW439">
        <v>6</v>
      </c>
      <c r="AX439" t="s">
        <v>74</v>
      </c>
      <c r="AY439" t="s">
        <v>74</v>
      </c>
      <c r="AZ439" t="s">
        <v>74</v>
      </c>
      <c r="BA439" t="s">
        <v>74</v>
      </c>
      <c r="BB439">
        <v>567</v>
      </c>
      <c r="BC439">
        <v>577</v>
      </c>
      <c r="BD439" t="s">
        <v>74</v>
      </c>
      <c r="BE439" t="s">
        <v>8372</v>
      </c>
      <c r="BF439" t="str">
        <f>HYPERLINK("http://dx.doi.org/10.1017/S0954102011000447","http://dx.doi.org/10.1017/S0954102011000447")</f>
        <v>http://dx.doi.org/10.1017/S0954102011000447</v>
      </c>
      <c r="BG439" t="s">
        <v>74</v>
      </c>
      <c r="BH439" t="s">
        <v>74</v>
      </c>
      <c r="BI439">
        <v>11</v>
      </c>
      <c r="BJ439" t="s">
        <v>7432</v>
      </c>
      <c r="BK439" t="s">
        <v>100</v>
      </c>
      <c r="BL439" t="s">
        <v>2855</v>
      </c>
      <c r="BM439" t="s">
        <v>7433</v>
      </c>
      <c r="BN439" t="s">
        <v>74</v>
      </c>
      <c r="BO439" t="s">
        <v>1796</v>
      </c>
      <c r="BP439" t="s">
        <v>74</v>
      </c>
      <c r="BQ439" t="s">
        <v>74</v>
      </c>
      <c r="BR439" t="s">
        <v>102</v>
      </c>
      <c r="BS439" t="s">
        <v>8373</v>
      </c>
      <c r="BT439" t="str">
        <f>HYPERLINK("https%3A%2F%2Fwww.webofscience.com%2Fwos%2Fwoscc%2Ffull-record%2FWOS:000298286200007","View Full Record in Web of Science")</f>
        <v>View Full Record in Web of Science</v>
      </c>
    </row>
    <row r="440" spans="1:72" x14ac:dyDescent="0.15">
      <c r="A440" t="s">
        <v>72</v>
      </c>
      <c r="B440" t="s">
        <v>8374</v>
      </c>
      <c r="C440" t="s">
        <v>74</v>
      </c>
      <c r="D440" t="s">
        <v>74</v>
      </c>
      <c r="E440" t="s">
        <v>74</v>
      </c>
      <c r="F440" t="s">
        <v>8375</v>
      </c>
      <c r="G440" t="s">
        <v>74</v>
      </c>
      <c r="H440" t="s">
        <v>74</v>
      </c>
      <c r="I440" t="s">
        <v>8376</v>
      </c>
      <c r="J440" t="s">
        <v>8377</v>
      </c>
      <c r="K440" t="s">
        <v>74</v>
      </c>
      <c r="L440" t="s">
        <v>74</v>
      </c>
      <c r="M440" t="s">
        <v>78</v>
      </c>
      <c r="N440" t="s">
        <v>79</v>
      </c>
      <c r="O440" t="s">
        <v>74</v>
      </c>
      <c r="P440" t="s">
        <v>74</v>
      </c>
      <c r="Q440" t="s">
        <v>74</v>
      </c>
      <c r="R440" t="s">
        <v>74</v>
      </c>
      <c r="S440" t="s">
        <v>74</v>
      </c>
      <c r="T440" t="s">
        <v>8378</v>
      </c>
      <c r="U440" t="s">
        <v>8379</v>
      </c>
      <c r="V440" t="s">
        <v>8380</v>
      </c>
      <c r="W440" t="s">
        <v>8381</v>
      </c>
      <c r="X440" t="s">
        <v>8382</v>
      </c>
      <c r="Y440" t="s">
        <v>8383</v>
      </c>
      <c r="Z440" t="s">
        <v>8384</v>
      </c>
      <c r="AA440" t="s">
        <v>8385</v>
      </c>
      <c r="AB440" t="s">
        <v>8386</v>
      </c>
      <c r="AC440" t="s">
        <v>8387</v>
      </c>
      <c r="AD440" t="s">
        <v>8388</v>
      </c>
      <c r="AE440" t="s">
        <v>8389</v>
      </c>
      <c r="AF440" t="s">
        <v>74</v>
      </c>
      <c r="AG440">
        <v>109</v>
      </c>
      <c r="AH440">
        <v>40</v>
      </c>
      <c r="AI440">
        <v>44</v>
      </c>
      <c r="AJ440">
        <v>0</v>
      </c>
      <c r="AK440">
        <v>49</v>
      </c>
      <c r="AL440" t="s">
        <v>8390</v>
      </c>
      <c r="AM440" t="s">
        <v>8391</v>
      </c>
      <c r="AN440" t="s">
        <v>8392</v>
      </c>
      <c r="AO440" t="s">
        <v>8393</v>
      </c>
      <c r="AP440" t="s">
        <v>8394</v>
      </c>
      <c r="AQ440" t="s">
        <v>74</v>
      </c>
      <c r="AR440" t="s">
        <v>8377</v>
      </c>
      <c r="AS440" t="s">
        <v>8395</v>
      </c>
      <c r="AT440" t="s">
        <v>7122</v>
      </c>
      <c r="AU440">
        <v>2011</v>
      </c>
      <c r="AV440">
        <v>11</v>
      </c>
      <c r="AW440">
        <v>10</v>
      </c>
      <c r="AX440" t="s">
        <v>74</v>
      </c>
      <c r="AY440" t="s">
        <v>74</v>
      </c>
      <c r="AZ440" t="s">
        <v>74</v>
      </c>
      <c r="BA440" t="s">
        <v>74</v>
      </c>
      <c r="BB440">
        <v>997</v>
      </c>
      <c r="BC440">
        <v>1016</v>
      </c>
      <c r="BD440" t="s">
        <v>74</v>
      </c>
      <c r="BE440" t="s">
        <v>8396</v>
      </c>
      <c r="BF440" t="str">
        <f>HYPERLINK("http://dx.doi.org/10.1089/ast.2011.0663","http://dx.doi.org/10.1089/ast.2011.0663")</f>
        <v>http://dx.doi.org/10.1089/ast.2011.0663</v>
      </c>
      <c r="BG440" t="s">
        <v>74</v>
      </c>
      <c r="BH440" t="s">
        <v>74</v>
      </c>
      <c r="BI440">
        <v>20</v>
      </c>
      <c r="BJ440" t="s">
        <v>8397</v>
      </c>
      <c r="BK440" t="s">
        <v>100</v>
      </c>
      <c r="BL440" t="s">
        <v>8398</v>
      </c>
      <c r="BM440" t="s">
        <v>8399</v>
      </c>
      <c r="BN440">
        <v>22149884</v>
      </c>
      <c r="BO440" t="s">
        <v>74</v>
      </c>
      <c r="BP440" t="s">
        <v>74</v>
      </c>
      <c r="BQ440" t="s">
        <v>74</v>
      </c>
      <c r="BR440" t="s">
        <v>102</v>
      </c>
      <c r="BS440" t="s">
        <v>8400</v>
      </c>
      <c r="BT440" t="str">
        <f>HYPERLINK("https%3A%2F%2Fwww.webofscience.com%2Fwos%2Fwoscc%2Ffull-record%2FWOS:000298345600005","View Full Record in Web of Science")</f>
        <v>View Full Record in Web of Science</v>
      </c>
    </row>
    <row r="441" spans="1:72" x14ac:dyDescent="0.15">
      <c r="A441" t="s">
        <v>72</v>
      </c>
      <c r="B441" t="s">
        <v>8401</v>
      </c>
      <c r="C441" t="s">
        <v>74</v>
      </c>
      <c r="D441" t="s">
        <v>74</v>
      </c>
      <c r="E441" t="s">
        <v>74</v>
      </c>
      <c r="F441" t="s">
        <v>8402</v>
      </c>
      <c r="G441" t="s">
        <v>74</v>
      </c>
      <c r="H441" t="s">
        <v>74</v>
      </c>
      <c r="I441" t="s">
        <v>8403</v>
      </c>
      <c r="J441" t="s">
        <v>8404</v>
      </c>
      <c r="K441" t="s">
        <v>74</v>
      </c>
      <c r="L441" t="s">
        <v>74</v>
      </c>
      <c r="M441" t="s">
        <v>78</v>
      </c>
      <c r="N441" t="s">
        <v>79</v>
      </c>
      <c r="O441" t="s">
        <v>74</v>
      </c>
      <c r="P441" t="s">
        <v>74</v>
      </c>
      <c r="Q441" t="s">
        <v>74</v>
      </c>
      <c r="R441" t="s">
        <v>74</v>
      </c>
      <c r="S441" t="s">
        <v>74</v>
      </c>
      <c r="T441" t="s">
        <v>74</v>
      </c>
      <c r="U441" t="s">
        <v>74</v>
      </c>
      <c r="V441" t="s">
        <v>8405</v>
      </c>
      <c r="W441" t="s">
        <v>8406</v>
      </c>
      <c r="X441" t="s">
        <v>8407</v>
      </c>
      <c r="Y441" t="s">
        <v>8408</v>
      </c>
      <c r="Z441" t="s">
        <v>8409</v>
      </c>
      <c r="AA441" t="s">
        <v>74</v>
      </c>
      <c r="AB441" t="s">
        <v>8410</v>
      </c>
      <c r="AC441" t="s">
        <v>8411</v>
      </c>
      <c r="AD441" t="s">
        <v>8412</v>
      </c>
      <c r="AE441" t="s">
        <v>8413</v>
      </c>
      <c r="AF441" t="s">
        <v>74</v>
      </c>
      <c r="AG441">
        <v>11</v>
      </c>
      <c r="AH441">
        <v>13</v>
      </c>
      <c r="AI441">
        <v>14</v>
      </c>
      <c r="AJ441">
        <v>0</v>
      </c>
      <c r="AK441">
        <v>25</v>
      </c>
      <c r="AL441" t="s">
        <v>813</v>
      </c>
      <c r="AM441" t="s">
        <v>413</v>
      </c>
      <c r="AN441" t="s">
        <v>7426</v>
      </c>
      <c r="AO441" t="s">
        <v>8414</v>
      </c>
      <c r="AP441" t="s">
        <v>8415</v>
      </c>
      <c r="AQ441" t="s">
        <v>74</v>
      </c>
      <c r="AR441" t="s">
        <v>8416</v>
      </c>
      <c r="AS441" t="s">
        <v>8417</v>
      </c>
      <c r="AT441" t="s">
        <v>7122</v>
      </c>
      <c r="AU441">
        <v>2011</v>
      </c>
      <c r="AV441">
        <v>21</v>
      </c>
      <c r="AW441">
        <v>4</v>
      </c>
      <c r="AX441" t="s">
        <v>74</v>
      </c>
      <c r="AY441" t="s">
        <v>74</v>
      </c>
      <c r="AZ441" t="s">
        <v>74</v>
      </c>
      <c r="BA441" t="s">
        <v>74</v>
      </c>
      <c r="BB441">
        <v>454</v>
      </c>
      <c r="BC441">
        <v>459</v>
      </c>
      <c r="BD441" t="s">
        <v>74</v>
      </c>
      <c r="BE441" t="s">
        <v>8418</v>
      </c>
      <c r="BF441" t="str">
        <f>HYPERLINK("http://dx.doi.org/10.1017/S0959270911000013","http://dx.doi.org/10.1017/S0959270911000013")</f>
        <v>http://dx.doi.org/10.1017/S0959270911000013</v>
      </c>
      <c r="BG441" t="s">
        <v>74</v>
      </c>
      <c r="BH441" t="s">
        <v>74</v>
      </c>
      <c r="BI441">
        <v>6</v>
      </c>
      <c r="BJ441" t="s">
        <v>8419</v>
      </c>
      <c r="BK441" t="s">
        <v>100</v>
      </c>
      <c r="BL441" t="s">
        <v>8420</v>
      </c>
      <c r="BM441" t="s">
        <v>8421</v>
      </c>
      <c r="BN441" t="s">
        <v>74</v>
      </c>
      <c r="BO441" t="s">
        <v>365</v>
      </c>
      <c r="BP441" t="s">
        <v>74</v>
      </c>
      <c r="BQ441" t="s">
        <v>74</v>
      </c>
      <c r="BR441" t="s">
        <v>102</v>
      </c>
      <c r="BS441" t="s">
        <v>8422</v>
      </c>
      <c r="BT441" t="str">
        <f>HYPERLINK("https%3A%2F%2Fwww.webofscience.com%2Fwos%2Fwoscc%2Ffull-record%2FWOS:000297981600008","View Full Record in Web of Science")</f>
        <v>View Full Record in Web of Science</v>
      </c>
    </row>
    <row r="442" spans="1:72" x14ac:dyDescent="0.15">
      <c r="A442" t="s">
        <v>72</v>
      </c>
      <c r="B442" t="s">
        <v>8423</v>
      </c>
      <c r="C442" t="s">
        <v>74</v>
      </c>
      <c r="D442" t="s">
        <v>74</v>
      </c>
      <c r="E442" t="s">
        <v>74</v>
      </c>
      <c r="F442" t="s">
        <v>8424</v>
      </c>
      <c r="G442" t="s">
        <v>74</v>
      </c>
      <c r="H442" t="s">
        <v>74</v>
      </c>
      <c r="I442" t="s">
        <v>8425</v>
      </c>
      <c r="J442" t="s">
        <v>1759</v>
      </c>
      <c r="K442" t="s">
        <v>74</v>
      </c>
      <c r="L442" t="s">
        <v>74</v>
      </c>
      <c r="M442" t="s">
        <v>78</v>
      </c>
      <c r="N442" t="s">
        <v>79</v>
      </c>
      <c r="O442" t="s">
        <v>74</v>
      </c>
      <c r="P442" t="s">
        <v>74</v>
      </c>
      <c r="Q442" t="s">
        <v>74</v>
      </c>
      <c r="R442" t="s">
        <v>74</v>
      </c>
      <c r="S442" t="s">
        <v>74</v>
      </c>
      <c r="T442" t="s">
        <v>8426</v>
      </c>
      <c r="U442" t="s">
        <v>8427</v>
      </c>
      <c r="V442" t="s">
        <v>8428</v>
      </c>
      <c r="W442" t="s">
        <v>1720</v>
      </c>
      <c r="X442" t="s">
        <v>527</v>
      </c>
      <c r="Y442" t="s">
        <v>8429</v>
      </c>
      <c r="Z442" t="s">
        <v>8430</v>
      </c>
      <c r="AA442" t="s">
        <v>8431</v>
      </c>
      <c r="AB442" t="s">
        <v>8432</v>
      </c>
      <c r="AC442" t="s">
        <v>8433</v>
      </c>
      <c r="AD442" t="s">
        <v>1726</v>
      </c>
      <c r="AE442" t="s">
        <v>8434</v>
      </c>
      <c r="AF442" t="s">
        <v>74</v>
      </c>
      <c r="AG442">
        <v>44</v>
      </c>
      <c r="AH442">
        <v>6</v>
      </c>
      <c r="AI442">
        <v>6</v>
      </c>
      <c r="AJ442">
        <v>0</v>
      </c>
      <c r="AK442">
        <v>11</v>
      </c>
      <c r="AL442" t="s">
        <v>250</v>
      </c>
      <c r="AM442" t="s">
        <v>413</v>
      </c>
      <c r="AN442" t="s">
        <v>514</v>
      </c>
      <c r="AO442" t="s">
        <v>1772</v>
      </c>
      <c r="AP442" t="s">
        <v>1773</v>
      </c>
      <c r="AQ442" t="s">
        <v>74</v>
      </c>
      <c r="AR442" t="s">
        <v>1774</v>
      </c>
      <c r="AS442" t="s">
        <v>1775</v>
      </c>
      <c r="AT442" t="s">
        <v>7122</v>
      </c>
      <c r="AU442">
        <v>2011</v>
      </c>
      <c r="AV442">
        <v>37</v>
      </c>
      <c r="AW442" t="s">
        <v>8435</v>
      </c>
      <c r="AX442" t="s">
        <v>74</v>
      </c>
      <c r="AY442" t="s">
        <v>74</v>
      </c>
      <c r="AZ442" t="s">
        <v>74</v>
      </c>
      <c r="BA442" t="s">
        <v>74</v>
      </c>
      <c r="BB442">
        <v>2323</v>
      </c>
      <c r="BC442">
        <v>2333</v>
      </c>
      <c r="BD442" t="s">
        <v>74</v>
      </c>
      <c r="BE442" t="s">
        <v>8436</v>
      </c>
      <c r="BF442" t="str">
        <f>HYPERLINK("http://dx.doi.org/10.1007/s00382-011-1014-4","http://dx.doi.org/10.1007/s00382-011-1014-4")</f>
        <v>http://dx.doi.org/10.1007/s00382-011-1014-4</v>
      </c>
      <c r="BG442" t="s">
        <v>74</v>
      </c>
      <c r="BH442" t="s">
        <v>74</v>
      </c>
      <c r="BI442">
        <v>11</v>
      </c>
      <c r="BJ442" t="s">
        <v>463</v>
      </c>
      <c r="BK442" t="s">
        <v>100</v>
      </c>
      <c r="BL442" t="s">
        <v>463</v>
      </c>
      <c r="BM442" t="s">
        <v>8437</v>
      </c>
      <c r="BN442" t="s">
        <v>74</v>
      </c>
      <c r="BO442" t="s">
        <v>74</v>
      </c>
      <c r="BP442" t="s">
        <v>74</v>
      </c>
      <c r="BQ442" t="s">
        <v>74</v>
      </c>
      <c r="BR442" t="s">
        <v>102</v>
      </c>
      <c r="BS442" t="s">
        <v>8438</v>
      </c>
      <c r="BT442" t="str">
        <f>HYPERLINK("https%3A%2F%2Fwww.webofscience.com%2Fwos%2Fwoscc%2Ffull-record%2FWOS:000297345800012","View Full Record in Web of Science")</f>
        <v>View Full Record in Web of Science</v>
      </c>
    </row>
    <row r="443" spans="1:72" x14ac:dyDescent="0.15">
      <c r="A443" t="s">
        <v>72</v>
      </c>
      <c r="B443" t="s">
        <v>8439</v>
      </c>
      <c r="C443" t="s">
        <v>74</v>
      </c>
      <c r="D443" t="s">
        <v>74</v>
      </c>
      <c r="E443" t="s">
        <v>74</v>
      </c>
      <c r="F443" t="s">
        <v>8440</v>
      </c>
      <c r="G443" t="s">
        <v>74</v>
      </c>
      <c r="H443" t="s">
        <v>74</v>
      </c>
      <c r="I443" t="s">
        <v>8441</v>
      </c>
      <c r="J443" t="s">
        <v>8442</v>
      </c>
      <c r="K443" t="s">
        <v>74</v>
      </c>
      <c r="L443" t="s">
        <v>74</v>
      </c>
      <c r="M443" t="s">
        <v>78</v>
      </c>
      <c r="N443" t="s">
        <v>79</v>
      </c>
      <c r="O443" t="s">
        <v>74</v>
      </c>
      <c r="P443" t="s">
        <v>74</v>
      </c>
      <c r="Q443" t="s">
        <v>74</v>
      </c>
      <c r="R443" t="s">
        <v>74</v>
      </c>
      <c r="S443" t="s">
        <v>74</v>
      </c>
      <c r="T443" t="s">
        <v>74</v>
      </c>
      <c r="U443" t="s">
        <v>8443</v>
      </c>
      <c r="V443" t="s">
        <v>8444</v>
      </c>
      <c r="W443" t="s">
        <v>8445</v>
      </c>
      <c r="X443" t="s">
        <v>8446</v>
      </c>
      <c r="Y443" t="s">
        <v>8447</v>
      </c>
      <c r="Z443" t="s">
        <v>8448</v>
      </c>
      <c r="AA443" t="s">
        <v>8449</v>
      </c>
      <c r="AB443" t="s">
        <v>8450</v>
      </c>
      <c r="AC443" t="s">
        <v>8451</v>
      </c>
      <c r="AD443" t="s">
        <v>8452</v>
      </c>
      <c r="AE443" t="s">
        <v>8453</v>
      </c>
      <c r="AF443" t="s">
        <v>74</v>
      </c>
      <c r="AG443">
        <v>108</v>
      </c>
      <c r="AH443">
        <v>137</v>
      </c>
      <c r="AI443">
        <v>148</v>
      </c>
      <c r="AJ443">
        <v>0</v>
      </c>
      <c r="AK443">
        <v>80</v>
      </c>
      <c r="AL443" t="s">
        <v>250</v>
      </c>
      <c r="AM443" t="s">
        <v>251</v>
      </c>
      <c r="AN443" t="s">
        <v>252</v>
      </c>
      <c r="AO443" t="s">
        <v>8454</v>
      </c>
      <c r="AP443" t="s">
        <v>8455</v>
      </c>
      <c r="AQ443" t="s">
        <v>74</v>
      </c>
      <c r="AR443" t="s">
        <v>8442</v>
      </c>
      <c r="AS443" t="s">
        <v>8456</v>
      </c>
      <c r="AT443" t="s">
        <v>7122</v>
      </c>
      <c r="AU443">
        <v>2011</v>
      </c>
      <c r="AV443">
        <v>109</v>
      </c>
      <c r="AW443" t="s">
        <v>6679</v>
      </c>
      <c r="AX443" t="s">
        <v>74</v>
      </c>
      <c r="AY443" t="s">
        <v>74</v>
      </c>
      <c r="AZ443" t="s">
        <v>74</v>
      </c>
      <c r="BA443" t="s">
        <v>74</v>
      </c>
      <c r="BB443">
        <v>617</v>
      </c>
      <c r="BC443">
        <v>645</v>
      </c>
      <c r="BD443" t="s">
        <v>74</v>
      </c>
      <c r="BE443" t="s">
        <v>8457</v>
      </c>
      <c r="BF443" t="str">
        <f>HYPERLINK("http://dx.doi.org/10.1007/s10584-011-0037-5","http://dx.doi.org/10.1007/s10584-011-0037-5")</f>
        <v>http://dx.doi.org/10.1007/s10584-011-0037-5</v>
      </c>
      <c r="BG443" t="s">
        <v>74</v>
      </c>
      <c r="BH443" t="s">
        <v>74</v>
      </c>
      <c r="BI443">
        <v>29</v>
      </c>
      <c r="BJ443" t="s">
        <v>1181</v>
      </c>
      <c r="BK443" t="s">
        <v>100</v>
      </c>
      <c r="BL443" t="s">
        <v>1182</v>
      </c>
      <c r="BM443" t="s">
        <v>8458</v>
      </c>
      <c r="BN443" t="s">
        <v>74</v>
      </c>
      <c r="BO443" t="s">
        <v>8459</v>
      </c>
      <c r="BP443" t="s">
        <v>74</v>
      </c>
      <c r="BQ443" t="s">
        <v>74</v>
      </c>
      <c r="BR443" t="s">
        <v>102</v>
      </c>
      <c r="BS443" t="s">
        <v>8460</v>
      </c>
      <c r="BT443" t="str">
        <f>HYPERLINK("https%3A%2F%2Fwww.webofscience.com%2Fwos%2Fwoscc%2Ffull-record%2FWOS:000297350700022","View Full Record in Web of Science")</f>
        <v>View Full Record in Web of Science</v>
      </c>
    </row>
    <row r="444" spans="1:72" x14ac:dyDescent="0.15">
      <c r="A444" t="s">
        <v>72</v>
      </c>
      <c r="B444" t="s">
        <v>8461</v>
      </c>
      <c r="C444" t="s">
        <v>74</v>
      </c>
      <c r="D444" t="s">
        <v>74</v>
      </c>
      <c r="E444" t="s">
        <v>74</v>
      </c>
      <c r="F444" t="s">
        <v>8462</v>
      </c>
      <c r="G444" t="s">
        <v>74</v>
      </c>
      <c r="H444" t="s">
        <v>74</v>
      </c>
      <c r="I444" t="s">
        <v>8463</v>
      </c>
      <c r="J444" t="s">
        <v>8464</v>
      </c>
      <c r="K444" t="s">
        <v>74</v>
      </c>
      <c r="L444" t="s">
        <v>74</v>
      </c>
      <c r="M444" t="s">
        <v>78</v>
      </c>
      <c r="N444" t="s">
        <v>79</v>
      </c>
      <c r="O444" t="s">
        <v>74</v>
      </c>
      <c r="P444" t="s">
        <v>74</v>
      </c>
      <c r="Q444" t="s">
        <v>74</v>
      </c>
      <c r="R444" t="s">
        <v>74</v>
      </c>
      <c r="S444" t="s">
        <v>74</v>
      </c>
      <c r="T444" t="s">
        <v>8465</v>
      </c>
      <c r="U444" t="s">
        <v>8466</v>
      </c>
      <c r="V444" t="s">
        <v>8467</v>
      </c>
      <c r="W444" t="s">
        <v>8468</v>
      </c>
      <c r="X444" t="s">
        <v>8469</v>
      </c>
      <c r="Y444" t="s">
        <v>8470</v>
      </c>
      <c r="Z444" t="s">
        <v>8471</v>
      </c>
      <c r="AA444" t="s">
        <v>8472</v>
      </c>
      <c r="AB444" t="s">
        <v>8473</v>
      </c>
      <c r="AC444" t="s">
        <v>8474</v>
      </c>
      <c r="AD444" t="s">
        <v>8475</v>
      </c>
      <c r="AE444" t="s">
        <v>8476</v>
      </c>
      <c r="AF444" t="s">
        <v>74</v>
      </c>
      <c r="AG444">
        <v>84</v>
      </c>
      <c r="AH444">
        <v>15</v>
      </c>
      <c r="AI444">
        <v>15</v>
      </c>
      <c r="AJ444">
        <v>0</v>
      </c>
      <c r="AK444">
        <v>39</v>
      </c>
      <c r="AL444" t="s">
        <v>250</v>
      </c>
      <c r="AM444" t="s">
        <v>251</v>
      </c>
      <c r="AN444" t="s">
        <v>252</v>
      </c>
      <c r="AO444" t="s">
        <v>8477</v>
      </c>
      <c r="AP444" t="s">
        <v>8478</v>
      </c>
      <c r="AQ444" t="s">
        <v>74</v>
      </c>
      <c r="AR444" t="s">
        <v>8479</v>
      </c>
      <c r="AS444" t="s">
        <v>8480</v>
      </c>
      <c r="AT444" t="s">
        <v>7122</v>
      </c>
      <c r="AU444">
        <v>2011</v>
      </c>
      <c r="AV444">
        <v>12</v>
      </c>
      <c r="AW444">
        <v>6</v>
      </c>
      <c r="AX444" t="s">
        <v>74</v>
      </c>
      <c r="AY444" t="s">
        <v>74</v>
      </c>
      <c r="AZ444" t="s">
        <v>74</v>
      </c>
      <c r="BA444" t="s">
        <v>74</v>
      </c>
      <c r="BB444">
        <v>1435</v>
      </c>
      <c r="BC444">
        <v>1446</v>
      </c>
      <c r="BD444" t="s">
        <v>74</v>
      </c>
      <c r="BE444" t="s">
        <v>8481</v>
      </c>
      <c r="BF444" t="str">
        <f>HYPERLINK("http://dx.doi.org/10.1007/s10592-011-0241-x","http://dx.doi.org/10.1007/s10592-011-0241-x")</f>
        <v>http://dx.doi.org/10.1007/s10592-011-0241-x</v>
      </c>
      <c r="BG444" t="s">
        <v>74</v>
      </c>
      <c r="BH444" t="s">
        <v>74</v>
      </c>
      <c r="BI444">
        <v>12</v>
      </c>
      <c r="BJ444" t="s">
        <v>8482</v>
      </c>
      <c r="BK444" t="s">
        <v>100</v>
      </c>
      <c r="BL444" t="s">
        <v>8483</v>
      </c>
      <c r="BM444" t="s">
        <v>8484</v>
      </c>
      <c r="BN444" t="s">
        <v>74</v>
      </c>
      <c r="BO444" t="s">
        <v>74</v>
      </c>
      <c r="BP444" t="s">
        <v>74</v>
      </c>
      <c r="BQ444" t="s">
        <v>74</v>
      </c>
      <c r="BR444" t="s">
        <v>102</v>
      </c>
      <c r="BS444" t="s">
        <v>8485</v>
      </c>
      <c r="BT444" t="str">
        <f>HYPERLINK("https%3A%2F%2Fwww.webofscience.com%2Fwos%2Fwoscc%2Ffull-record%2FWOS:000300092900004","View Full Record in Web of Science")</f>
        <v>View Full Record in Web of Science</v>
      </c>
    </row>
    <row r="445" spans="1:72" x14ac:dyDescent="0.15">
      <c r="A445" t="s">
        <v>72</v>
      </c>
      <c r="B445" t="s">
        <v>8486</v>
      </c>
      <c r="C445" t="s">
        <v>74</v>
      </c>
      <c r="D445" t="s">
        <v>74</v>
      </c>
      <c r="E445" t="s">
        <v>74</v>
      </c>
      <c r="F445" t="s">
        <v>8487</v>
      </c>
      <c r="G445" t="s">
        <v>74</v>
      </c>
      <c r="H445" t="s">
        <v>74</v>
      </c>
      <c r="I445" t="s">
        <v>8488</v>
      </c>
      <c r="J445" t="s">
        <v>2065</v>
      </c>
      <c r="K445" t="s">
        <v>74</v>
      </c>
      <c r="L445" t="s">
        <v>74</v>
      </c>
      <c r="M445" t="s">
        <v>78</v>
      </c>
      <c r="N445" t="s">
        <v>79</v>
      </c>
      <c r="O445" t="s">
        <v>74</v>
      </c>
      <c r="P445" t="s">
        <v>74</v>
      </c>
      <c r="Q445" t="s">
        <v>74</v>
      </c>
      <c r="R445" t="s">
        <v>74</v>
      </c>
      <c r="S445" t="s">
        <v>74</v>
      </c>
      <c r="T445" t="s">
        <v>8489</v>
      </c>
      <c r="U445" t="s">
        <v>8490</v>
      </c>
      <c r="V445" t="s">
        <v>8491</v>
      </c>
      <c r="W445" t="s">
        <v>8492</v>
      </c>
      <c r="X445" t="s">
        <v>8493</v>
      </c>
      <c r="Y445" t="s">
        <v>8494</v>
      </c>
      <c r="Z445" t="s">
        <v>8495</v>
      </c>
      <c r="AA445" t="s">
        <v>8496</v>
      </c>
      <c r="AB445" t="s">
        <v>8497</v>
      </c>
      <c r="AC445" t="s">
        <v>8498</v>
      </c>
      <c r="AD445" t="s">
        <v>8499</v>
      </c>
      <c r="AE445" t="s">
        <v>8500</v>
      </c>
      <c r="AF445" t="s">
        <v>74</v>
      </c>
      <c r="AG445">
        <v>97</v>
      </c>
      <c r="AH445">
        <v>22</v>
      </c>
      <c r="AI445">
        <v>24</v>
      </c>
      <c r="AJ445">
        <v>0</v>
      </c>
      <c r="AK445">
        <v>35</v>
      </c>
      <c r="AL445" t="s">
        <v>250</v>
      </c>
      <c r="AM445" t="s">
        <v>413</v>
      </c>
      <c r="AN445" t="s">
        <v>514</v>
      </c>
      <c r="AO445" t="s">
        <v>2078</v>
      </c>
      <c r="AP445" t="s">
        <v>2079</v>
      </c>
      <c r="AQ445" t="s">
        <v>74</v>
      </c>
      <c r="AR445" t="s">
        <v>2080</v>
      </c>
      <c r="AS445" t="s">
        <v>2081</v>
      </c>
      <c r="AT445" t="s">
        <v>7122</v>
      </c>
      <c r="AU445">
        <v>2011</v>
      </c>
      <c r="AV445">
        <v>162</v>
      </c>
      <c r="AW445">
        <v>6</v>
      </c>
      <c r="AX445" t="s">
        <v>74</v>
      </c>
      <c r="AY445" t="s">
        <v>74</v>
      </c>
      <c r="AZ445" t="s">
        <v>74</v>
      </c>
      <c r="BA445" t="s">
        <v>74</v>
      </c>
      <c r="BB445">
        <v>1175</v>
      </c>
      <c r="BC445">
        <v>1199</v>
      </c>
      <c r="BD445" t="s">
        <v>74</v>
      </c>
      <c r="BE445" t="s">
        <v>8501</v>
      </c>
      <c r="BF445" t="str">
        <f>HYPERLINK("http://dx.doi.org/10.1007/s00410-011-0646-z","http://dx.doi.org/10.1007/s00410-011-0646-z")</f>
        <v>http://dx.doi.org/10.1007/s00410-011-0646-z</v>
      </c>
      <c r="BG445" t="s">
        <v>74</v>
      </c>
      <c r="BH445" t="s">
        <v>74</v>
      </c>
      <c r="BI445">
        <v>25</v>
      </c>
      <c r="BJ445" t="s">
        <v>2083</v>
      </c>
      <c r="BK445" t="s">
        <v>100</v>
      </c>
      <c r="BL445" t="s">
        <v>2083</v>
      </c>
      <c r="BM445" t="s">
        <v>8502</v>
      </c>
      <c r="BN445" t="s">
        <v>74</v>
      </c>
      <c r="BO445" t="s">
        <v>74</v>
      </c>
      <c r="BP445" t="s">
        <v>74</v>
      </c>
      <c r="BQ445" t="s">
        <v>74</v>
      </c>
      <c r="BR445" t="s">
        <v>102</v>
      </c>
      <c r="BS445" t="s">
        <v>8503</v>
      </c>
      <c r="BT445" t="str">
        <f>HYPERLINK("https%3A%2F%2Fwww.webofscience.com%2Fwos%2Fwoscc%2Ffull-record%2FWOS:000296733800004","View Full Record in Web of Science")</f>
        <v>View Full Record in Web of Science</v>
      </c>
    </row>
    <row r="446" spans="1:72" x14ac:dyDescent="0.15">
      <c r="A446" t="s">
        <v>72</v>
      </c>
      <c r="B446" t="s">
        <v>8504</v>
      </c>
      <c r="C446" t="s">
        <v>74</v>
      </c>
      <c r="D446" t="s">
        <v>74</v>
      </c>
      <c r="E446" t="s">
        <v>74</v>
      </c>
      <c r="F446" t="s">
        <v>8505</v>
      </c>
      <c r="G446" t="s">
        <v>74</v>
      </c>
      <c r="H446" t="s">
        <v>74</v>
      </c>
      <c r="I446" t="s">
        <v>8506</v>
      </c>
      <c r="J446" t="s">
        <v>8507</v>
      </c>
      <c r="K446" t="s">
        <v>74</v>
      </c>
      <c r="L446" t="s">
        <v>74</v>
      </c>
      <c r="M446" t="s">
        <v>78</v>
      </c>
      <c r="N446" t="s">
        <v>79</v>
      </c>
      <c r="O446" t="s">
        <v>74</v>
      </c>
      <c r="P446" t="s">
        <v>74</v>
      </c>
      <c r="Q446" t="s">
        <v>74</v>
      </c>
      <c r="R446" t="s">
        <v>74</v>
      </c>
      <c r="S446" t="s">
        <v>74</v>
      </c>
      <c r="T446" t="s">
        <v>8508</v>
      </c>
      <c r="U446" t="s">
        <v>8509</v>
      </c>
      <c r="V446" t="s">
        <v>8510</v>
      </c>
      <c r="W446" t="s">
        <v>8511</v>
      </c>
      <c r="X446" t="s">
        <v>8512</v>
      </c>
      <c r="Y446" t="s">
        <v>8513</v>
      </c>
      <c r="Z446" t="s">
        <v>8514</v>
      </c>
      <c r="AA446" t="s">
        <v>8515</v>
      </c>
      <c r="AB446" t="s">
        <v>8516</v>
      </c>
      <c r="AC446" t="s">
        <v>8517</v>
      </c>
      <c r="AD446" t="s">
        <v>8518</v>
      </c>
      <c r="AE446" t="s">
        <v>8519</v>
      </c>
      <c r="AF446" t="s">
        <v>74</v>
      </c>
      <c r="AG446">
        <v>115</v>
      </c>
      <c r="AH446">
        <v>240</v>
      </c>
      <c r="AI446">
        <v>261</v>
      </c>
      <c r="AJ446">
        <v>10</v>
      </c>
      <c r="AK446">
        <v>138</v>
      </c>
      <c r="AL446" t="s">
        <v>2832</v>
      </c>
      <c r="AM446" t="s">
        <v>796</v>
      </c>
      <c r="AN446" t="s">
        <v>797</v>
      </c>
      <c r="AO446" t="s">
        <v>8520</v>
      </c>
      <c r="AP446" t="s">
        <v>74</v>
      </c>
      <c r="AQ446" t="s">
        <v>74</v>
      </c>
      <c r="AR446" t="s">
        <v>8507</v>
      </c>
      <c r="AS446" t="s">
        <v>8521</v>
      </c>
      <c r="AT446" t="s">
        <v>7122</v>
      </c>
      <c r="AU446">
        <v>2011</v>
      </c>
      <c r="AV446">
        <v>2</v>
      </c>
      <c r="AW446">
        <v>12</v>
      </c>
      <c r="AX446" t="s">
        <v>74</v>
      </c>
      <c r="AY446" t="s">
        <v>74</v>
      </c>
      <c r="AZ446" t="s">
        <v>74</v>
      </c>
      <c r="BA446" t="s">
        <v>74</v>
      </c>
      <c r="BB446" t="s">
        <v>74</v>
      </c>
      <c r="BC446" t="s">
        <v>74</v>
      </c>
      <c r="BD446">
        <v>129</v>
      </c>
      <c r="BE446" t="s">
        <v>8522</v>
      </c>
      <c r="BF446" t="str">
        <f>HYPERLINK("http://dx.doi.org/10.1890/ES11-00216.1","http://dx.doi.org/10.1890/ES11-00216.1")</f>
        <v>http://dx.doi.org/10.1890/ES11-00216.1</v>
      </c>
      <c r="BG446" t="s">
        <v>74</v>
      </c>
      <c r="BH446" t="s">
        <v>74</v>
      </c>
      <c r="BI446">
        <v>26</v>
      </c>
      <c r="BJ446" t="s">
        <v>2835</v>
      </c>
      <c r="BK446" t="s">
        <v>100</v>
      </c>
      <c r="BL446" t="s">
        <v>2837</v>
      </c>
      <c r="BM446" t="s">
        <v>8523</v>
      </c>
      <c r="BN446" t="s">
        <v>74</v>
      </c>
      <c r="BO446" t="s">
        <v>777</v>
      </c>
      <c r="BP446" t="s">
        <v>74</v>
      </c>
      <c r="BQ446" t="s">
        <v>74</v>
      </c>
      <c r="BR446" t="s">
        <v>102</v>
      </c>
      <c r="BS446" t="s">
        <v>8524</v>
      </c>
      <c r="BT446" t="str">
        <f>HYPERLINK("https%3A%2F%2Fwww.webofscience.com%2Fwos%2Fwoscc%2Ffull-record%2FWOS:000208811300001","View Full Record in Web of Science")</f>
        <v>View Full Record in Web of Science</v>
      </c>
    </row>
    <row r="447" spans="1:72" x14ac:dyDescent="0.15">
      <c r="A447" t="s">
        <v>72</v>
      </c>
      <c r="B447" t="s">
        <v>8525</v>
      </c>
      <c r="C447" t="s">
        <v>74</v>
      </c>
      <c r="D447" t="s">
        <v>74</v>
      </c>
      <c r="E447" t="s">
        <v>74</v>
      </c>
      <c r="F447" t="s">
        <v>8526</v>
      </c>
      <c r="G447" t="s">
        <v>74</v>
      </c>
      <c r="H447" t="s">
        <v>74</v>
      </c>
      <c r="I447" t="s">
        <v>8527</v>
      </c>
      <c r="J447" t="s">
        <v>8135</v>
      </c>
      <c r="K447" t="s">
        <v>74</v>
      </c>
      <c r="L447" t="s">
        <v>74</v>
      </c>
      <c r="M447" t="s">
        <v>78</v>
      </c>
      <c r="N447" t="s">
        <v>79</v>
      </c>
      <c r="O447" t="s">
        <v>74</v>
      </c>
      <c r="P447" t="s">
        <v>74</v>
      </c>
      <c r="Q447" t="s">
        <v>74</v>
      </c>
      <c r="R447" t="s">
        <v>74</v>
      </c>
      <c r="S447" t="s">
        <v>74</v>
      </c>
      <c r="T447" t="s">
        <v>74</v>
      </c>
      <c r="U447" t="s">
        <v>8528</v>
      </c>
      <c r="V447" t="s">
        <v>8529</v>
      </c>
      <c r="W447" t="s">
        <v>8530</v>
      </c>
      <c r="X447" t="s">
        <v>8531</v>
      </c>
      <c r="Y447" t="s">
        <v>3030</v>
      </c>
      <c r="Z447" t="s">
        <v>3031</v>
      </c>
      <c r="AA447" t="s">
        <v>8532</v>
      </c>
      <c r="AB447" t="s">
        <v>8533</v>
      </c>
      <c r="AC447" t="s">
        <v>8534</v>
      </c>
      <c r="AD447" t="s">
        <v>8535</v>
      </c>
      <c r="AE447" t="s">
        <v>8536</v>
      </c>
      <c r="AF447" t="s">
        <v>74</v>
      </c>
      <c r="AG447">
        <v>45</v>
      </c>
      <c r="AH447">
        <v>23</v>
      </c>
      <c r="AI447">
        <v>31</v>
      </c>
      <c r="AJ447">
        <v>1</v>
      </c>
      <c r="AK447">
        <v>49</v>
      </c>
      <c r="AL447" t="s">
        <v>2832</v>
      </c>
      <c r="AM447" t="s">
        <v>796</v>
      </c>
      <c r="AN447" t="s">
        <v>797</v>
      </c>
      <c r="AO447" t="s">
        <v>8147</v>
      </c>
      <c r="AP447" t="s">
        <v>74</v>
      </c>
      <c r="AQ447" t="s">
        <v>74</v>
      </c>
      <c r="AR447" t="s">
        <v>8148</v>
      </c>
      <c r="AS447" t="s">
        <v>8149</v>
      </c>
      <c r="AT447" t="s">
        <v>7122</v>
      </c>
      <c r="AU447">
        <v>2011</v>
      </c>
      <c r="AV447">
        <v>3</v>
      </c>
      <c r="AW447">
        <v>6</v>
      </c>
      <c r="AX447" t="s">
        <v>74</v>
      </c>
      <c r="AY447" t="s">
        <v>74</v>
      </c>
      <c r="AZ447" t="s">
        <v>74</v>
      </c>
      <c r="BA447" t="s">
        <v>74</v>
      </c>
      <c r="BB447">
        <v>774</v>
      </c>
      <c r="BC447">
        <v>782</v>
      </c>
      <c r="BD447" t="s">
        <v>74</v>
      </c>
      <c r="BE447" t="s">
        <v>8537</v>
      </c>
      <c r="BF447" t="str">
        <f>HYPERLINK("http://dx.doi.org/10.1111/j.1758-2229.2011.00298.x","http://dx.doi.org/10.1111/j.1758-2229.2011.00298.x")</f>
        <v>http://dx.doi.org/10.1111/j.1758-2229.2011.00298.x</v>
      </c>
      <c r="BG447" t="s">
        <v>74</v>
      </c>
      <c r="BH447" t="s">
        <v>74</v>
      </c>
      <c r="BI447">
        <v>9</v>
      </c>
      <c r="BJ447" t="s">
        <v>8151</v>
      </c>
      <c r="BK447" t="s">
        <v>100</v>
      </c>
      <c r="BL447" t="s">
        <v>535</v>
      </c>
      <c r="BM447" t="s">
        <v>8152</v>
      </c>
      <c r="BN447">
        <v>23761369</v>
      </c>
      <c r="BO447" t="s">
        <v>74</v>
      </c>
      <c r="BP447" t="s">
        <v>74</v>
      </c>
      <c r="BQ447" t="s">
        <v>74</v>
      </c>
      <c r="BR447" t="s">
        <v>102</v>
      </c>
      <c r="BS447" t="s">
        <v>8538</v>
      </c>
      <c r="BT447" t="str">
        <f>HYPERLINK("https%3A%2F%2Fwww.webofscience.com%2Fwos%2Fwoscc%2Ffull-record%2FWOS:000297148800018","View Full Record in Web of Science")</f>
        <v>View Full Record in Web of Science</v>
      </c>
    </row>
    <row r="448" spans="1:72" x14ac:dyDescent="0.15">
      <c r="A448" t="s">
        <v>72</v>
      </c>
      <c r="B448" t="s">
        <v>8539</v>
      </c>
      <c r="C448" t="s">
        <v>74</v>
      </c>
      <c r="D448" t="s">
        <v>74</v>
      </c>
      <c r="E448" t="s">
        <v>74</v>
      </c>
      <c r="F448" t="s">
        <v>8540</v>
      </c>
      <c r="G448" t="s">
        <v>74</v>
      </c>
      <c r="H448" t="s">
        <v>74</v>
      </c>
      <c r="I448" t="s">
        <v>8541</v>
      </c>
      <c r="J448" t="s">
        <v>8542</v>
      </c>
      <c r="K448" t="s">
        <v>74</v>
      </c>
      <c r="L448" t="s">
        <v>74</v>
      </c>
      <c r="M448" t="s">
        <v>78</v>
      </c>
      <c r="N448" t="s">
        <v>79</v>
      </c>
      <c r="O448" t="s">
        <v>74</v>
      </c>
      <c r="P448" t="s">
        <v>74</v>
      </c>
      <c r="Q448" t="s">
        <v>74</v>
      </c>
      <c r="R448" t="s">
        <v>74</v>
      </c>
      <c r="S448" t="s">
        <v>74</v>
      </c>
      <c r="T448" t="s">
        <v>74</v>
      </c>
      <c r="U448" t="s">
        <v>8543</v>
      </c>
      <c r="V448" t="s">
        <v>8544</v>
      </c>
      <c r="W448" t="s">
        <v>8545</v>
      </c>
      <c r="X448" t="s">
        <v>8546</v>
      </c>
      <c r="Y448" t="s">
        <v>8547</v>
      </c>
      <c r="Z448" t="s">
        <v>8548</v>
      </c>
      <c r="AA448" t="s">
        <v>74</v>
      </c>
      <c r="AB448" t="s">
        <v>8549</v>
      </c>
      <c r="AC448" t="s">
        <v>8550</v>
      </c>
      <c r="AD448" t="s">
        <v>8550</v>
      </c>
      <c r="AE448" t="s">
        <v>8551</v>
      </c>
      <c r="AF448" t="s">
        <v>74</v>
      </c>
      <c r="AG448">
        <v>41</v>
      </c>
      <c r="AH448">
        <v>45</v>
      </c>
      <c r="AI448">
        <v>49</v>
      </c>
      <c r="AJ448">
        <v>3</v>
      </c>
      <c r="AK448">
        <v>54</v>
      </c>
      <c r="AL448" t="s">
        <v>3802</v>
      </c>
      <c r="AM448" t="s">
        <v>985</v>
      </c>
      <c r="AN448" t="s">
        <v>3803</v>
      </c>
      <c r="AO448" t="s">
        <v>8552</v>
      </c>
      <c r="AP448" t="s">
        <v>8553</v>
      </c>
      <c r="AQ448" t="s">
        <v>74</v>
      </c>
      <c r="AR448" t="s">
        <v>8554</v>
      </c>
      <c r="AS448" t="s">
        <v>8555</v>
      </c>
      <c r="AT448" t="s">
        <v>7212</v>
      </c>
      <c r="AU448">
        <v>2011</v>
      </c>
      <c r="AV448">
        <v>45</v>
      </c>
      <c r="AW448">
        <v>23</v>
      </c>
      <c r="AX448" t="s">
        <v>74</v>
      </c>
      <c r="AY448" t="s">
        <v>74</v>
      </c>
      <c r="AZ448" t="s">
        <v>74</v>
      </c>
      <c r="BA448" t="s">
        <v>74</v>
      </c>
      <c r="BB448">
        <v>9944</v>
      </c>
      <c r="BC448">
        <v>9950</v>
      </c>
      <c r="BD448" t="s">
        <v>74</v>
      </c>
      <c r="BE448" t="s">
        <v>8556</v>
      </c>
      <c r="BF448" t="str">
        <f>HYPERLINK("http://dx.doi.org/10.1021/es203512t","http://dx.doi.org/10.1021/es203512t")</f>
        <v>http://dx.doi.org/10.1021/es203512t</v>
      </c>
      <c r="BG448" t="s">
        <v>74</v>
      </c>
      <c r="BH448" t="s">
        <v>74</v>
      </c>
      <c r="BI448">
        <v>7</v>
      </c>
      <c r="BJ448" t="s">
        <v>3688</v>
      </c>
      <c r="BK448" t="s">
        <v>100</v>
      </c>
      <c r="BL448" t="s">
        <v>3689</v>
      </c>
      <c r="BM448" t="s">
        <v>8557</v>
      </c>
      <c r="BN448">
        <v>22017709</v>
      </c>
      <c r="BO448" t="s">
        <v>74</v>
      </c>
      <c r="BP448" t="s">
        <v>74</v>
      </c>
      <c r="BQ448" t="s">
        <v>74</v>
      </c>
      <c r="BR448" t="s">
        <v>102</v>
      </c>
      <c r="BS448" t="s">
        <v>8558</v>
      </c>
      <c r="BT448" t="str">
        <f>HYPERLINK("https%3A%2F%2Fwww.webofscience.com%2Fwos%2Fwoscc%2Ffull-record%2FWOS:000297382700020","View Full Record in Web of Science")</f>
        <v>View Full Record in Web of Science</v>
      </c>
    </row>
    <row r="449" spans="1:72" x14ac:dyDescent="0.15">
      <c r="A449" t="s">
        <v>72</v>
      </c>
      <c r="B449" t="s">
        <v>8559</v>
      </c>
      <c r="C449" t="s">
        <v>74</v>
      </c>
      <c r="D449" t="s">
        <v>74</v>
      </c>
      <c r="E449" t="s">
        <v>74</v>
      </c>
      <c r="F449" t="s">
        <v>8560</v>
      </c>
      <c r="G449" t="s">
        <v>74</v>
      </c>
      <c r="H449" t="s">
        <v>74</v>
      </c>
      <c r="I449" t="s">
        <v>8561</v>
      </c>
      <c r="J449" t="s">
        <v>8562</v>
      </c>
      <c r="K449" t="s">
        <v>74</v>
      </c>
      <c r="L449" t="s">
        <v>74</v>
      </c>
      <c r="M449" t="s">
        <v>78</v>
      </c>
      <c r="N449" t="s">
        <v>79</v>
      </c>
      <c r="O449" t="s">
        <v>74</v>
      </c>
      <c r="P449" t="s">
        <v>74</v>
      </c>
      <c r="Q449" t="s">
        <v>74</v>
      </c>
      <c r="R449" t="s">
        <v>74</v>
      </c>
      <c r="S449" t="s">
        <v>74</v>
      </c>
      <c r="T449" t="s">
        <v>8563</v>
      </c>
      <c r="U449" t="s">
        <v>8564</v>
      </c>
      <c r="V449" t="s">
        <v>8565</v>
      </c>
      <c r="W449" t="s">
        <v>8566</v>
      </c>
      <c r="X449" t="s">
        <v>4301</v>
      </c>
      <c r="Y449" t="s">
        <v>8567</v>
      </c>
      <c r="Z449" t="s">
        <v>4303</v>
      </c>
      <c r="AA449" t="s">
        <v>8568</v>
      </c>
      <c r="AB449" t="s">
        <v>8569</v>
      </c>
      <c r="AC449" t="s">
        <v>8570</v>
      </c>
      <c r="AD449" t="s">
        <v>8571</v>
      </c>
      <c r="AE449" t="s">
        <v>8572</v>
      </c>
      <c r="AF449" t="s">
        <v>74</v>
      </c>
      <c r="AG449">
        <v>32</v>
      </c>
      <c r="AH449">
        <v>35</v>
      </c>
      <c r="AI449">
        <v>40</v>
      </c>
      <c r="AJ449">
        <v>1</v>
      </c>
      <c r="AK449">
        <v>37</v>
      </c>
      <c r="AL449" t="s">
        <v>333</v>
      </c>
      <c r="AM449" t="s">
        <v>334</v>
      </c>
      <c r="AN449" t="s">
        <v>335</v>
      </c>
      <c r="AO449" t="s">
        <v>8573</v>
      </c>
      <c r="AP449" t="s">
        <v>8574</v>
      </c>
      <c r="AQ449" t="s">
        <v>74</v>
      </c>
      <c r="AR449" t="s">
        <v>8575</v>
      </c>
      <c r="AS449" t="s">
        <v>8576</v>
      </c>
      <c r="AT449" t="s">
        <v>7122</v>
      </c>
      <c r="AU449">
        <v>2011</v>
      </c>
      <c r="AV449">
        <v>112</v>
      </c>
      <c r="AW449" t="s">
        <v>1776</v>
      </c>
      <c r="AX449" t="s">
        <v>74</v>
      </c>
      <c r="AY449" t="s">
        <v>74</v>
      </c>
      <c r="AZ449" t="s">
        <v>74</v>
      </c>
      <c r="BA449" t="s">
        <v>74</v>
      </c>
      <c r="BB449">
        <v>13</v>
      </c>
      <c r="BC449">
        <v>21</v>
      </c>
      <c r="BD449" t="s">
        <v>74</v>
      </c>
      <c r="BE449" t="s">
        <v>8577</v>
      </c>
      <c r="BF449" t="str">
        <f>HYPERLINK("http://dx.doi.org/10.1016/j.fishres.2011.08.005","http://dx.doi.org/10.1016/j.fishres.2011.08.005")</f>
        <v>http://dx.doi.org/10.1016/j.fishres.2011.08.005</v>
      </c>
      <c r="BG449" t="s">
        <v>74</v>
      </c>
      <c r="BH449" t="s">
        <v>74</v>
      </c>
      <c r="BI449">
        <v>9</v>
      </c>
      <c r="BJ449" t="s">
        <v>1663</v>
      </c>
      <c r="BK449" t="s">
        <v>100</v>
      </c>
      <c r="BL449" t="s">
        <v>1663</v>
      </c>
      <c r="BM449" t="s">
        <v>8578</v>
      </c>
      <c r="BN449" t="s">
        <v>74</v>
      </c>
      <c r="BO449" t="s">
        <v>74</v>
      </c>
      <c r="BP449" t="s">
        <v>74</v>
      </c>
      <c r="BQ449" t="s">
        <v>74</v>
      </c>
      <c r="BR449" t="s">
        <v>102</v>
      </c>
      <c r="BS449" t="s">
        <v>8579</v>
      </c>
      <c r="BT449" t="str">
        <f>HYPERLINK("https%3A%2F%2Fwww.webofscience.com%2Fwos%2Fwoscc%2Ffull-record%2FWOS:000296999200003","View Full Record in Web of Science")</f>
        <v>View Full Record in Web of Science</v>
      </c>
    </row>
    <row r="450" spans="1:72" x14ac:dyDescent="0.15">
      <c r="A450" t="s">
        <v>72</v>
      </c>
      <c r="B450" t="s">
        <v>8580</v>
      </c>
      <c r="C450" t="s">
        <v>74</v>
      </c>
      <c r="D450" t="s">
        <v>74</v>
      </c>
      <c r="E450" t="s">
        <v>74</v>
      </c>
      <c r="F450" t="s">
        <v>8581</v>
      </c>
      <c r="G450" t="s">
        <v>74</v>
      </c>
      <c r="H450" t="s">
        <v>74</v>
      </c>
      <c r="I450" t="s">
        <v>8582</v>
      </c>
      <c r="J450" t="s">
        <v>8583</v>
      </c>
      <c r="K450" t="s">
        <v>74</v>
      </c>
      <c r="L450" t="s">
        <v>74</v>
      </c>
      <c r="M450" t="s">
        <v>78</v>
      </c>
      <c r="N450" t="s">
        <v>79</v>
      </c>
      <c r="O450" t="s">
        <v>74</v>
      </c>
      <c r="P450" t="s">
        <v>74</v>
      </c>
      <c r="Q450" t="s">
        <v>74</v>
      </c>
      <c r="R450" t="s">
        <v>74</v>
      </c>
      <c r="S450" t="s">
        <v>74</v>
      </c>
      <c r="T450" t="s">
        <v>74</v>
      </c>
      <c r="U450" t="s">
        <v>8584</v>
      </c>
      <c r="V450" t="s">
        <v>8585</v>
      </c>
      <c r="W450" t="s">
        <v>8586</v>
      </c>
      <c r="X450" t="s">
        <v>8587</v>
      </c>
      <c r="Y450" t="s">
        <v>8588</v>
      </c>
      <c r="Z450" t="s">
        <v>74</v>
      </c>
      <c r="AA450" t="s">
        <v>8589</v>
      </c>
      <c r="AB450" t="s">
        <v>8590</v>
      </c>
      <c r="AC450" t="s">
        <v>8591</v>
      </c>
      <c r="AD450" t="s">
        <v>8592</v>
      </c>
      <c r="AE450" t="s">
        <v>8593</v>
      </c>
      <c r="AF450" t="s">
        <v>74</v>
      </c>
      <c r="AG450">
        <v>34</v>
      </c>
      <c r="AH450">
        <v>8</v>
      </c>
      <c r="AI450">
        <v>8</v>
      </c>
      <c r="AJ450">
        <v>0</v>
      </c>
      <c r="AK450">
        <v>1</v>
      </c>
      <c r="AL450" t="s">
        <v>7342</v>
      </c>
      <c r="AM450" t="s">
        <v>413</v>
      </c>
      <c r="AN450" t="s">
        <v>7343</v>
      </c>
      <c r="AO450" t="s">
        <v>8594</v>
      </c>
      <c r="AP450" t="s">
        <v>8595</v>
      </c>
      <c r="AQ450" t="s">
        <v>74</v>
      </c>
      <c r="AR450" t="s">
        <v>8596</v>
      </c>
      <c r="AS450" t="s">
        <v>8597</v>
      </c>
      <c r="AT450" t="s">
        <v>7122</v>
      </c>
      <c r="AU450">
        <v>2011</v>
      </c>
      <c r="AV450">
        <v>51</v>
      </c>
      <c r="AW450">
        <v>8</v>
      </c>
      <c r="AX450" t="s">
        <v>74</v>
      </c>
      <c r="AY450" t="s">
        <v>74</v>
      </c>
      <c r="AZ450" t="s">
        <v>339</v>
      </c>
      <c r="BA450" t="s">
        <v>74</v>
      </c>
      <c r="BB450">
        <v>1109</v>
      </c>
      <c r="BC450">
        <v>1120</v>
      </c>
      <c r="BD450" t="s">
        <v>74</v>
      </c>
      <c r="BE450" t="s">
        <v>8598</v>
      </c>
      <c r="BF450" t="str">
        <f>HYPERLINK("http://dx.doi.org/10.1134/S0016793211080160","http://dx.doi.org/10.1134/S0016793211080160")</f>
        <v>http://dx.doi.org/10.1134/S0016793211080160</v>
      </c>
      <c r="BG450" t="s">
        <v>74</v>
      </c>
      <c r="BH450" t="s">
        <v>74</v>
      </c>
      <c r="BI450">
        <v>12</v>
      </c>
      <c r="BJ450" t="s">
        <v>164</v>
      </c>
      <c r="BK450" t="s">
        <v>100</v>
      </c>
      <c r="BL450" t="s">
        <v>164</v>
      </c>
      <c r="BM450" t="s">
        <v>8599</v>
      </c>
      <c r="BN450" t="s">
        <v>74</v>
      </c>
      <c r="BO450" t="s">
        <v>74</v>
      </c>
      <c r="BP450" t="s">
        <v>74</v>
      </c>
      <c r="BQ450" t="s">
        <v>74</v>
      </c>
      <c r="BR450" t="s">
        <v>102</v>
      </c>
      <c r="BS450" t="s">
        <v>8600</v>
      </c>
      <c r="BT450" t="str">
        <f>HYPERLINK("https%3A%2F%2Fwww.webofscience.com%2Fwos%2Fwoscc%2Ffull-record%2FWOS:000302295900015","View Full Record in Web of Science")</f>
        <v>View Full Record in Web of Science</v>
      </c>
    </row>
    <row r="451" spans="1:72" x14ac:dyDescent="0.15">
      <c r="A451" t="s">
        <v>72</v>
      </c>
      <c r="B451" t="s">
        <v>8601</v>
      </c>
      <c r="C451" t="s">
        <v>74</v>
      </c>
      <c r="D451" t="s">
        <v>74</v>
      </c>
      <c r="E451" t="s">
        <v>74</v>
      </c>
      <c r="F451" t="s">
        <v>8602</v>
      </c>
      <c r="G451" t="s">
        <v>74</v>
      </c>
      <c r="H451" t="s">
        <v>74</v>
      </c>
      <c r="I451" t="s">
        <v>8603</v>
      </c>
      <c r="J451" t="s">
        <v>3444</v>
      </c>
      <c r="K451" t="s">
        <v>74</v>
      </c>
      <c r="L451" t="s">
        <v>74</v>
      </c>
      <c r="M451" t="s">
        <v>78</v>
      </c>
      <c r="N451" t="s">
        <v>79</v>
      </c>
      <c r="O451" t="s">
        <v>74</v>
      </c>
      <c r="P451" t="s">
        <v>74</v>
      </c>
      <c r="Q451" t="s">
        <v>74</v>
      </c>
      <c r="R451" t="s">
        <v>74</v>
      </c>
      <c r="S451" t="s">
        <v>74</v>
      </c>
      <c r="T451" t="s">
        <v>8604</v>
      </c>
      <c r="U451" t="s">
        <v>8605</v>
      </c>
      <c r="V451" t="s">
        <v>8606</v>
      </c>
      <c r="W451" t="s">
        <v>8607</v>
      </c>
      <c r="X451" t="s">
        <v>8608</v>
      </c>
      <c r="Y451" t="s">
        <v>8609</v>
      </c>
      <c r="Z451" t="s">
        <v>8610</v>
      </c>
      <c r="AA451" t="s">
        <v>1723</v>
      </c>
      <c r="AB451" t="s">
        <v>1724</v>
      </c>
      <c r="AC451" t="s">
        <v>8611</v>
      </c>
      <c r="AD451" t="s">
        <v>1007</v>
      </c>
      <c r="AE451" t="s">
        <v>74</v>
      </c>
      <c r="AF451" t="s">
        <v>74</v>
      </c>
      <c r="AG451">
        <v>78</v>
      </c>
      <c r="AH451">
        <v>19</v>
      </c>
      <c r="AI451">
        <v>22</v>
      </c>
      <c r="AJ451">
        <v>1</v>
      </c>
      <c r="AK451">
        <v>79</v>
      </c>
      <c r="AL451" t="s">
        <v>333</v>
      </c>
      <c r="AM451" t="s">
        <v>334</v>
      </c>
      <c r="AN451" t="s">
        <v>335</v>
      </c>
      <c r="AO451" t="s">
        <v>3457</v>
      </c>
      <c r="AP451" t="s">
        <v>3458</v>
      </c>
      <c r="AQ451" t="s">
        <v>74</v>
      </c>
      <c r="AR451" t="s">
        <v>3459</v>
      </c>
      <c r="AS451" t="s">
        <v>3460</v>
      </c>
      <c r="AT451" t="s">
        <v>7122</v>
      </c>
      <c r="AU451">
        <v>2011</v>
      </c>
      <c r="AV451">
        <v>79</v>
      </c>
      <c r="AW451" t="s">
        <v>6679</v>
      </c>
      <c r="AX451" t="s">
        <v>74</v>
      </c>
      <c r="AY451" t="s">
        <v>74</v>
      </c>
      <c r="AZ451" t="s">
        <v>339</v>
      </c>
      <c r="BA451" t="s">
        <v>74</v>
      </c>
      <c r="BB451">
        <v>157</v>
      </c>
      <c r="BC451">
        <v>162</v>
      </c>
      <c r="BD451" t="s">
        <v>74</v>
      </c>
      <c r="BE451" t="s">
        <v>8612</v>
      </c>
      <c r="BF451" t="str">
        <f>HYPERLINK("http://dx.doi.org/10.1016/j.gloplacha.2010.10.005","http://dx.doi.org/10.1016/j.gloplacha.2010.10.005")</f>
        <v>http://dx.doi.org/10.1016/j.gloplacha.2010.10.005</v>
      </c>
      <c r="BG451" t="s">
        <v>74</v>
      </c>
      <c r="BH451" t="s">
        <v>74</v>
      </c>
      <c r="BI451">
        <v>6</v>
      </c>
      <c r="BJ451" t="s">
        <v>226</v>
      </c>
      <c r="BK451" t="s">
        <v>100</v>
      </c>
      <c r="BL451" t="s">
        <v>227</v>
      </c>
      <c r="BM451" t="s">
        <v>7387</v>
      </c>
      <c r="BN451" t="s">
        <v>74</v>
      </c>
      <c r="BO451" t="s">
        <v>74</v>
      </c>
      <c r="BP451" t="s">
        <v>74</v>
      </c>
      <c r="BQ451" t="s">
        <v>74</v>
      </c>
      <c r="BR451" t="s">
        <v>102</v>
      </c>
      <c r="BS451" t="s">
        <v>8613</v>
      </c>
      <c r="BT451" t="str">
        <f>HYPERLINK("https%3A%2F%2Fwww.webofscience.com%2Fwos%2Fwoscc%2Ffull-record%2FWOS:000297886500001","View Full Record in Web of Science")</f>
        <v>View Full Record in Web of Science</v>
      </c>
    </row>
    <row r="452" spans="1:72" x14ac:dyDescent="0.15">
      <c r="A452" t="s">
        <v>72</v>
      </c>
      <c r="B452" t="s">
        <v>8614</v>
      </c>
      <c r="C452" t="s">
        <v>74</v>
      </c>
      <c r="D452" t="s">
        <v>74</v>
      </c>
      <c r="E452" t="s">
        <v>74</v>
      </c>
      <c r="F452" t="s">
        <v>8615</v>
      </c>
      <c r="G452" t="s">
        <v>74</v>
      </c>
      <c r="H452" t="s">
        <v>74</v>
      </c>
      <c r="I452" t="s">
        <v>8616</v>
      </c>
      <c r="J452" t="s">
        <v>3444</v>
      </c>
      <c r="K452" t="s">
        <v>74</v>
      </c>
      <c r="L452" t="s">
        <v>74</v>
      </c>
      <c r="M452" t="s">
        <v>78</v>
      </c>
      <c r="N452" t="s">
        <v>79</v>
      </c>
      <c r="O452" t="s">
        <v>74</v>
      </c>
      <c r="P452" t="s">
        <v>74</v>
      </c>
      <c r="Q452" t="s">
        <v>74</v>
      </c>
      <c r="R452" t="s">
        <v>74</v>
      </c>
      <c r="S452" t="s">
        <v>74</v>
      </c>
      <c r="T452" t="s">
        <v>8617</v>
      </c>
      <c r="U452" t="s">
        <v>8618</v>
      </c>
      <c r="V452" t="s">
        <v>8619</v>
      </c>
      <c r="W452" t="s">
        <v>8620</v>
      </c>
      <c r="X452" t="s">
        <v>8621</v>
      </c>
      <c r="Y452" t="s">
        <v>8622</v>
      </c>
      <c r="Z452" t="s">
        <v>8623</v>
      </c>
      <c r="AA452" t="s">
        <v>8624</v>
      </c>
      <c r="AB452" t="s">
        <v>8625</v>
      </c>
      <c r="AC452" t="s">
        <v>8626</v>
      </c>
      <c r="AD452" t="s">
        <v>8627</v>
      </c>
      <c r="AE452" t="s">
        <v>8628</v>
      </c>
      <c r="AF452" t="s">
        <v>74</v>
      </c>
      <c r="AG452">
        <v>86</v>
      </c>
      <c r="AH452">
        <v>81</v>
      </c>
      <c r="AI452">
        <v>84</v>
      </c>
      <c r="AJ452">
        <v>1</v>
      </c>
      <c r="AK452">
        <v>91</v>
      </c>
      <c r="AL452" t="s">
        <v>333</v>
      </c>
      <c r="AM452" t="s">
        <v>334</v>
      </c>
      <c r="AN452" t="s">
        <v>335</v>
      </c>
      <c r="AO452" t="s">
        <v>3457</v>
      </c>
      <c r="AP452" t="s">
        <v>3458</v>
      </c>
      <c r="AQ452" t="s">
        <v>74</v>
      </c>
      <c r="AR452" t="s">
        <v>3459</v>
      </c>
      <c r="AS452" t="s">
        <v>3460</v>
      </c>
      <c r="AT452" t="s">
        <v>7122</v>
      </c>
      <c r="AU452">
        <v>2011</v>
      </c>
      <c r="AV452">
        <v>79</v>
      </c>
      <c r="AW452" t="s">
        <v>6679</v>
      </c>
      <c r="AX452" t="s">
        <v>74</v>
      </c>
      <c r="AY452" t="s">
        <v>74</v>
      </c>
      <c r="AZ452" t="s">
        <v>339</v>
      </c>
      <c r="BA452" t="s">
        <v>74</v>
      </c>
      <c r="BB452">
        <v>288</v>
      </c>
      <c r="BC452">
        <v>302</v>
      </c>
      <c r="BD452" t="s">
        <v>74</v>
      </c>
      <c r="BE452" t="s">
        <v>8629</v>
      </c>
      <c r="BF452" t="str">
        <f>HYPERLINK("http://dx.doi.org/10.1016/j.gloplacha.2011.03.006","http://dx.doi.org/10.1016/j.gloplacha.2011.03.006")</f>
        <v>http://dx.doi.org/10.1016/j.gloplacha.2011.03.006</v>
      </c>
      <c r="BG452" t="s">
        <v>74</v>
      </c>
      <c r="BH452" t="s">
        <v>74</v>
      </c>
      <c r="BI452">
        <v>15</v>
      </c>
      <c r="BJ452" t="s">
        <v>226</v>
      </c>
      <c r="BK452" t="s">
        <v>100</v>
      </c>
      <c r="BL452" t="s">
        <v>227</v>
      </c>
      <c r="BM452" t="s">
        <v>7387</v>
      </c>
      <c r="BN452" t="s">
        <v>74</v>
      </c>
      <c r="BO452" t="s">
        <v>74</v>
      </c>
      <c r="BP452" t="s">
        <v>74</v>
      </c>
      <c r="BQ452" t="s">
        <v>74</v>
      </c>
      <c r="BR452" t="s">
        <v>102</v>
      </c>
      <c r="BS452" t="s">
        <v>8630</v>
      </c>
      <c r="BT452" t="str">
        <f>HYPERLINK("https%3A%2F%2Fwww.webofscience.com%2Fwos%2Fwoscc%2Ffull-record%2FWOS:000297886500013","View Full Record in Web of Science")</f>
        <v>View Full Record in Web of Science</v>
      </c>
    </row>
    <row r="453" spans="1:72" x14ac:dyDescent="0.15">
      <c r="A453" t="s">
        <v>72</v>
      </c>
      <c r="B453" t="s">
        <v>8631</v>
      </c>
      <c r="C453" t="s">
        <v>74</v>
      </c>
      <c r="D453" t="s">
        <v>74</v>
      </c>
      <c r="E453" t="s">
        <v>74</v>
      </c>
      <c r="F453" t="s">
        <v>8632</v>
      </c>
      <c r="G453" t="s">
        <v>74</v>
      </c>
      <c r="H453" t="s">
        <v>74</v>
      </c>
      <c r="I453" t="s">
        <v>8633</v>
      </c>
      <c r="J453" t="s">
        <v>8634</v>
      </c>
      <c r="K453" t="s">
        <v>74</v>
      </c>
      <c r="L453" t="s">
        <v>74</v>
      </c>
      <c r="M453" t="s">
        <v>78</v>
      </c>
      <c r="N453" t="s">
        <v>79</v>
      </c>
      <c r="O453" t="s">
        <v>74</v>
      </c>
      <c r="P453" t="s">
        <v>74</v>
      </c>
      <c r="Q453" t="s">
        <v>74</v>
      </c>
      <c r="R453" t="s">
        <v>74</v>
      </c>
      <c r="S453" t="s">
        <v>74</v>
      </c>
      <c r="T453" t="s">
        <v>8635</v>
      </c>
      <c r="U453" t="s">
        <v>74</v>
      </c>
      <c r="V453" t="s">
        <v>8636</v>
      </c>
      <c r="W453" t="s">
        <v>8637</v>
      </c>
      <c r="X453" t="s">
        <v>8638</v>
      </c>
      <c r="Y453" t="s">
        <v>8639</v>
      </c>
      <c r="Z453" t="s">
        <v>8640</v>
      </c>
      <c r="AA453" t="s">
        <v>8641</v>
      </c>
      <c r="AB453" t="s">
        <v>74</v>
      </c>
      <c r="AC453" t="s">
        <v>8642</v>
      </c>
      <c r="AD453" t="s">
        <v>8643</v>
      </c>
      <c r="AE453" t="s">
        <v>8644</v>
      </c>
      <c r="AF453" t="s">
        <v>74</v>
      </c>
      <c r="AG453">
        <v>7</v>
      </c>
      <c r="AH453">
        <v>2</v>
      </c>
      <c r="AI453">
        <v>2</v>
      </c>
      <c r="AJ453">
        <v>0</v>
      </c>
      <c r="AK453">
        <v>4</v>
      </c>
      <c r="AL453" t="s">
        <v>8645</v>
      </c>
      <c r="AM453" t="s">
        <v>6506</v>
      </c>
      <c r="AN453" t="s">
        <v>8646</v>
      </c>
      <c r="AO453" t="s">
        <v>8647</v>
      </c>
      <c r="AP453" t="s">
        <v>8648</v>
      </c>
      <c r="AQ453" t="s">
        <v>74</v>
      </c>
      <c r="AR453" t="s">
        <v>8649</v>
      </c>
      <c r="AS453" t="s">
        <v>8650</v>
      </c>
      <c r="AT453" t="s">
        <v>7122</v>
      </c>
      <c r="AU453">
        <v>2011</v>
      </c>
      <c r="AV453">
        <v>28</v>
      </c>
      <c r="AW453">
        <v>4</v>
      </c>
      <c r="AX453" t="s">
        <v>74</v>
      </c>
      <c r="AY453" t="s">
        <v>74</v>
      </c>
      <c r="AZ453" t="s">
        <v>74</v>
      </c>
      <c r="BA453" t="s">
        <v>74</v>
      </c>
      <c r="BB453">
        <v>305</v>
      </c>
      <c r="BC453">
        <v>310</v>
      </c>
      <c r="BD453" t="s">
        <v>74</v>
      </c>
      <c r="BE453" t="s">
        <v>8651</v>
      </c>
      <c r="BF453" t="str">
        <f>HYPERLINK("http://dx.doi.org/10.5140/JASS.2011.28.4.305","http://dx.doi.org/10.5140/JASS.2011.28.4.305")</f>
        <v>http://dx.doi.org/10.5140/JASS.2011.28.4.305</v>
      </c>
      <c r="BG453" t="s">
        <v>74</v>
      </c>
      <c r="BH453" t="s">
        <v>74</v>
      </c>
      <c r="BI453">
        <v>6</v>
      </c>
      <c r="BJ453" t="s">
        <v>5208</v>
      </c>
      <c r="BK453" t="s">
        <v>1158</v>
      </c>
      <c r="BL453" t="s">
        <v>5208</v>
      </c>
      <c r="BM453" t="s">
        <v>8652</v>
      </c>
      <c r="BN453" t="s">
        <v>74</v>
      </c>
      <c r="BO453" t="s">
        <v>1108</v>
      </c>
      <c r="BP453" t="s">
        <v>74</v>
      </c>
      <c r="BQ453" t="s">
        <v>74</v>
      </c>
      <c r="BR453" t="s">
        <v>102</v>
      </c>
      <c r="BS453" t="s">
        <v>8653</v>
      </c>
      <c r="BT453" t="str">
        <f>HYPERLINK("https%3A%2F%2Fwww.webofscience.com%2Fwos%2Fwoscc%2Ffull-record%2FWOS:000417261900008","View Full Record in Web of Science")</f>
        <v>View Full Record in Web of Science</v>
      </c>
    </row>
    <row r="454" spans="1:72" x14ac:dyDescent="0.15">
      <c r="A454" t="s">
        <v>72</v>
      </c>
      <c r="B454" t="s">
        <v>8654</v>
      </c>
      <c r="C454" t="s">
        <v>74</v>
      </c>
      <c r="D454" t="s">
        <v>74</v>
      </c>
      <c r="E454" t="s">
        <v>74</v>
      </c>
      <c r="F454" t="s">
        <v>8655</v>
      </c>
      <c r="G454" t="s">
        <v>74</v>
      </c>
      <c r="H454" t="s">
        <v>74</v>
      </c>
      <c r="I454" t="s">
        <v>8656</v>
      </c>
      <c r="J454" t="s">
        <v>8657</v>
      </c>
      <c r="K454" t="s">
        <v>74</v>
      </c>
      <c r="L454" t="s">
        <v>74</v>
      </c>
      <c r="M454" t="s">
        <v>78</v>
      </c>
      <c r="N454" t="s">
        <v>79</v>
      </c>
      <c r="O454" t="s">
        <v>74</v>
      </c>
      <c r="P454" t="s">
        <v>74</v>
      </c>
      <c r="Q454" t="s">
        <v>74</v>
      </c>
      <c r="R454" t="s">
        <v>74</v>
      </c>
      <c r="S454" t="s">
        <v>74</v>
      </c>
      <c r="T454" t="s">
        <v>8658</v>
      </c>
      <c r="U454" t="s">
        <v>8659</v>
      </c>
      <c r="V454" t="s">
        <v>8660</v>
      </c>
      <c r="W454" t="s">
        <v>8661</v>
      </c>
      <c r="X454" t="s">
        <v>8662</v>
      </c>
      <c r="Y454" t="s">
        <v>8663</v>
      </c>
      <c r="Z454" t="s">
        <v>8664</v>
      </c>
      <c r="AA454" t="s">
        <v>8665</v>
      </c>
      <c r="AB454" t="s">
        <v>8666</v>
      </c>
      <c r="AC454" t="s">
        <v>8667</v>
      </c>
      <c r="AD454" t="s">
        <v>8668</v>
      </c>
      <c r="AE454" t="s">
        <v>8669</v>
      </c>
      <c r="AF454" t="s">
        <v>74</v>
      </c>
      <c r="AG454">
        <v>58</v>
      </c>
      <c r="AH454">
        <v>93</v>
      </c>
      <c r="AI454">
        <v>107</v>
      </c>
      <c r="AJ454">
        <v>3</v>
      </c>
      <c r="AK454">
        <v>45</v>
      </c>
      <c r="AL454" t="s">
        <v>8670</v>
      </c>
      <c r="AM454" t="s">
        <v>814</v>
      </c>
      <c r="AN454" t="s">
        <v>8671</v>
      </c>
      <c r="AO454" t="s">
        <v>8672</v>
      </c>
      <c r="AP454" t="s">
        <v>8673</v>
      </c>
      <c r="AQ454" t="s">
        <v>74</v>
      </c>
      <c r="AR454" t="s">
        <v>8674</v>
      </c>
      <c r="AS454" t="s">
        <v>8675</v>
      </c>
      <c r="AT454" t="s">
        <v>7122</v>
      </c>
      <c r="AU454">
        <v>2011</v>
      </c>
      <c r="AV454">
        <v>214</v>
      </c>
      <c r="AW454">
        <v>23</v>
      </c>
      <c r="AX454" t="s">
        <v>74</v>
      </c>
      <c r="AY454" t="s">
        <v>74</v>
      </c>
      <c r="AZ454" t="s">
        <v>74</v>
      </c>
      <c r="BA454" t="s">
        <v>74</v>
      </c>
      <c r="BB454">
        <v>4021</v>
      </c>
      <c r="BC454">
        <v>4029</v>
      </c>
      <c r="BD454" t="s">
        <v>74</v>
      </c>
      <c r="BE454" t="s">
        <v>8676</v>
      </c>
      <c r="BF454" t="str">
        <f>HYPERLINK("http://dx.doi.org/10.1242/jeb.059535","http://dx.doi.org/10.1242/jeb.059535")</f>
        <v>http://dx.doi.org/10.1242/jeb.059535</v>
      </c>
      <c r="BG454" t="s">
        <v>74</v>
      </c>
      <c r="BH454" t="s">
        <v>74</v>
      </c>
      <c r="BI454">
        <v>9</v>
      </c>
      <c r="BJ454" t="s">
        <v>8677</v>
      </c>
      <c r="BK454" t="s">
        <v>100</v>
      </c>
      <c r="BL454" t="s">
        <v>8678</v>
      </c>
      <c r="BM454" t="s">
        <v>8679</v>
      </c>
      <c r="BN454">
        <v>22071194</v>
      </c>
      <c r="BO454" t="s">
        <v>365</v>
      </c>
      <c r="BP454" t="s">
        <v>74</v>
      </c>
      <c r="BQ454" t="s">
        <v>74</v>
      </c>
      <c r="BR454" t="s">
        <v>102</v>
      </c>
      <c r="BS454" t="s">
        <v>8680</v>
      </c>
      <c r="BT454" t="str">
        <f>HYPERLINK("https%3A%2F%2Fwww.webofscience.com%2Fwos%2Fwoscc%2Ffull-record%2FWOS:000296807200023","View Full Record in Web of Science")</f>
        <v>View Full Record in Web of Science</v>
      </c>
    </row>
    <row r="455" spans="1:72" x14ac:dyDescent="0.15">
      <c r="A455" t="s">
        <v>72</v>
      </c>
      <c r="B455" t="s">
        <v>8681</v>
      </c>
      <c r="C455" t="s">
        <v>74</v>
      </c>
      <c r="D455" t="s">
        <v>74</v>
      </c>
      <c r="E455" t="s">
        <v>74</v>
      </c>
      <c r="F455" t="s">
        <v>8682</v>
      </c>
      <c r="G455" t="s">
        <v>74</v>
      </c>
      <c r="H455" t="s">
        <v>74</v>
      </c>
      <c r="I455" t="s">
        <v>8683</v>
      </c>
      <c r="J455" t="s">
        <v>8684</v>
      </c>
      <c r="K455" t="s">
        <v>74</v>
      </c>
      <c r="L455" t="s">
        <v>74</v>
      </c>
      <c r="M455" t="s">
        <v>78</v>
      </c>
      <c r="N455" t="s">
        <v>79</v>
      </c>
      <c r="O455" t="s">
        <v>74</v>
      </c>
      <c r="P455" t="s">
        <v>74</v>
      </c>
      <c r="Q455" t="s">
        <v>74</v>
      </c>
      <c r="R455" t="s">
        <v>74</v>
      </c>
      <c r="S455" t="s">
        <v>74</v>
      </c>
      <c r="T455" t="s">
        <v>8685</v>
      </c>
      <c r="U455" t="s">
        <v>8686</v>
      </c>
      <c r="V455" t="s">
        <v>8687</v>
      </c>
      <c r="W455" t="s">
        <v>8688</v>
      </c>
      <c r="X455" t="s">
        <v>787</v>
      </c>
      <c r="Y455" t="s">
        <v>8689</v>
      </c>
      <c r="Z455" t="s">
        <v>8690</v>
      </c>
      <c r="AA455" t="s">
        <v>8691</v>
      </c>
      <c r="AB455" t="s">
        <v>8692</v>
      </c>
      <c r="AC455" t="s">
        <v>8693</v>
      </c>
      <c r="AD455" t="s">
        <v>8694</v>
      </c>
      <c r="AE455" t="s">
        <v>8695</v>
      </c>
      <c r="AF455" t="s">
        <v>74</v>
      </c>
      <c r="AG455">
        <v>77</v>
      </c>
      <c r="AH455">
        <v>27</v>
      </c>
      <c r="AI455">
        <v>37</v>
      </c>
      <c r="AJ455">
        <v>0</v>
      </c>
      <c r="AK455">
        <v>48</v>
      </c>
      <c r="AL455" t="s">
        <v>2832</v>
      </c>
      <c r="AM455" t="s">
        <v>796</v>
      </c>
      <c r="AN455" t="s">
        <v>797</v>
      </c>
      <c r="AO455" t="s">
        <v>8696</v>
      </c>
      <c r="AP455" t="s">
        <v>8697</v>
      </c>
      <c r="AQ455" t="s">
        <v>74</v>
      </c>
      <c r="AR455" t="s">
        <v>8698</v>
      </c>
      <c r="AS455" t="s">
        <v>8699</v>
      </c>
      <c r="AT455" t="s">
        <v>7122</v>
      </c>
      <c r="AU455">
        <v>2011</v>
      </c>
      <c r="AV455">
        <v>47</v>
      </c>
      <c r="AW455">
        <v>6</v>
      </c>
      <c r="AX455" t="s">
        <v>74</v>
      </c>
      <c r="AY455" t="s">
        <v>74</v>
      </c>
      <c r="AZ455" t="s">
        <v>74</v>
      </c>
      <c r="BA455" t="s">
        <v>74</v>
      </c>
      <c r="BB455">
        <v>1413</v>
      </c>
      <c r="BC455">
        <v>1424</v>
      </c>
      <c r="BD455" t="s">
        <v>74</v>
      </c>
      <c r="BE455" t="s">
        <v>8700</v>
      </c>
      <c r="BF455" t="str">
        <f>HYPERLINK("http://dx.doi.org/10.1111/j.1529-8817.2011.01079.x","http://dx.doi.org/10.1111/j.1529-8817.2011.01079.x")</f>
        <v>http://dx.doi.org/10.1111/j.1529-8817.2011.01079.x</v>
      </c>
      <c r="BG455" t="s">
        <v>74</v>
      </c>
      <c r="BH455" t="s">
        <v>74</v>
      </c>
      <c r="BI455">
        <v>12</v>
      </c>
      <c r="BJ455" t="s">
        <v>8701</v>
      </c>
      <c r="BK455" t="s">
        <v>100</v>
      </c>
      <c r="BL455" t="s">
        <v>8701</v>
      </c>
      <c r="BM455" t="s">
        <v>8702</v>
      </c>
      <c r="BN455">
        <v>27020365</v>
      </c>
      <c r="BO455" t="s">
        <v>74</v>
      </c>
      <c r="BP455" t="s">
        <v>74</v>
      </c>
      <c r="BQ455" t="s">
        <v>74</v>
      </c>
      <c r="BR455" t="s">
        <v>102</v>
      </c>
      <c r="BS455" t="s">
        <v>8703</v>
      </c>
      <c r="BT455" t="str">
        <f>HYPERLINK("https%3A%2F%2Fwww.webofscience.com%2Fwos%2Fwoscc%2Ffull-record%2FWOS:000297880500020","View Full Record in Web of Science")</f>
        <v>View Full Record in Web of Science</v>
      </c>
    </row>
    <row r="456" spans="1:72" x14ac:dyDescent="0.15">
      <c r="A456" t="s">
        <v>72</v>
      </c>
      <c r="B456" t="s">
        <v>8704</v>
      </c>
      <c r="C456" t="s">
        <v>74</v>
      </c>
      <c r="D456" t="s">
        <v>74</v>
      </c>
      <c r="E456" t="s">
        <v>74</v>
      </c>
      <c r="F456" t="s">
        <v>8705</v>
      </c>
      <c r="G456" t="s">
        <v>74</v>
      </c>
      <c r="H456" t="s">
        <v>74</v>
      </c>
      <c r="I456" t="s">
        <v>8706</v>
      </c>
      <c r="J456" t="s">
        <v>7775</v>
      </c>
      <c r="K456" t="s">
        <v>74</v>
      </c>
      <c r="L456" t="s">
        <v>74</v>
      </c>
      <c r="M456" t="s">
        <v>78</v>
      </c>
      <c r="N456" t="s">
        <v>79</v>
      </c>
      <c r="O456" t="s">
        <v>74</v>
      </c>
      <c r="P456" t="s">
        <v>74</v>
      </c>
      <c r="Q456" t="s">
        <v>74</v>
      </c>
      <c r="R456" t="s">
        <v>74</v>
      </c>
      <c r="S456" t="s">
        <v>74</v>
      </c>
      <c r="T456" t="s">
        <v>74</v>
      </c>
      <c r="U456" t="s">
        <v>8707</v>
      </c>
      <c r="V456" t="s">
        <v>8708</v>
      </c>
      <c r="W456" t="s">
        <v>526</v>
      </c>
      <c r="X456" t="s">
        <v>527</v>
      </c>
      <c r="Y456" t="s">
        <v>8709</v>
      </c>
      <c r="Z456" t="s">
        <v>8710</v>
      </c>
      <c r="AA456" t="s">
        <v>8711</v>
      </c>
      <c r="AB456" t="s">
        <v>8712</v>
      </c>
      <c r="AC456" t="s">
        <v>8713</v>
      </c>
      <c r="AD456" t="s">
        <v>586</v>
      </c>
      <c r="AE456" t="s">
        <v>74</v>
      </c>
      <c r="AF456" t="s">
        <v>74</v>
      </c>
      <c r="AG456">
        <v>46</v>
      </c>
      <c r="AH456">
        <v>328</v>
      </c>
      <c r="AI456">
        <v>366</v>
      </c>
      <c r="AJ456">
        <v>1</v>
      </c>
      <c r="AK456">
        <v>56</v>
      </c>
      <c r="AL456" t="s">
        <v>3775</v>
      </c>
      <c r="AM456" t="s">
        <v>3776</v>
      </c>
      <c r="AN456" t="s">
        <v>3777</v>
      </c>
      <c r="AO456" t="s">
        <v>7788</v>
      </c>
      <c r="AP456" t="s">
        <v>74</v>
      </c>
      <c r="AQ456" t="s">
        <v>74</v>
      </c>
      <c r="AR456" t="s">
        <v>7790</v>
      </c>
      <c r="AS456" t="s">
        <v>7791</v>
      </c>
      <c r="AT456" t="s">
        <v>7122</v>
      </c>
      <c r="AU456">
        <v>2011</v>
      </c>
      <c r="AV456">
        <v>41</v>
      </c>
      <c r="AW456">
        <v>12</v>
      </c>
      <c r="AX456" t="s">
        <v>74</v>
      </c>
      <c r="AY456" t="s">
        <v>74</v>
      </c>
      <c r="AZ456" t="s">
        <v>74</v>
      </c>
      <c r="BA456" t="s">
        <v>74</v>
      </c>
      <c r="BB456">
        <v>2279</v>
      </c>
      <c r="BC456">
        <v>2294</v>
      </c>
      <c r="BD456" t="s">
        <v>74</v>
      </c>
      <c r="BE456" t="s">
        <v>8714</v>
      </c>
      <c r="BF456" t="str">
        <f>HYPERLINK("http://dx.doi.org/10.1175/JPO-D-11-03.1","http://dx.doi.org/10.1175/JPO-D-11-03.1")</f>
        <v>http://dx.doi.org/10.1175/JPO-D-11-03.1</v>
      </c>
      <c r="BG456" t="s">
        <v>74</v>
      </c>
      <c r="BH456" t="s">
        <v>74</v>
      </c>
      <c r="BI456">
        <v>16</v>
      </c>
      <c r="BJ456" t="s">
        <v>496</v>
      </c>
      <c r="BK456" t="s">
        <v>100</v>
      </c>
      <c r="BL456" t="s">
        <v>496</v>
      </c>
      <c r="BM456" t="s">
        <v>7793</v>
      </c>
      <c r="BN456" t="s">
        <v>74</v>
      </c>
      <c r="BO456" t="s">
        <v>4515</v>
      </c>
      <c r="BP456" t="s">
        <v>74</v>
      </c>
      <c r="BQ456" t="s">
        <v>74</v>
      </c>
      <c r="BR456" t="s">
        <v>102</v>
      </c>
      <c r="BS456" t="s">
        <v>8715</v>
      </c>
      <c r="BT456" t="str">
        <f>HYPERLINK("https%3A%2F%2Fwww.webofscience.com%2Fwos%2Fwoscc%2Ffull-record%2FWOS:000298830700002","View Full Record in Web of Science")</f>
        <v>View Full Record in Web of Science</v>
      </c>
    </row>
    <row r="457" spans="1:72" x14ac:dyDescent="0.15">
      <c r="A457" t="s">
        <v>72</v>
      </c>
      <c r="B457" t="s">
        <v>8716</v>
      </c>
      <c r="C457" t="s">
        <v>74</v>
      </c>
      <c r="D457" t="s">
        <v>74</v>
      </c>
      <c r="E457" t="s">
        <v>74</v>
      </c>
      <c r="F457" t="s">
        <v>8717</v>
      </c>
      <c r="G457" t="s">
        <v>74</v>
      </c>
      <c r="H457" t="s">
        <v>74</v>
      </c>
      <c r="I457" t="s">
        <v>8718</v>
      </c>
      <c r="J457" t="s">
        <v>7775</v>
      </c>
      <c r="K457" t="s">
        <v>74</v>
      </c>
      <c r="L457" t="s">
        <v>74</v>
      </c>
      <c r="M457" t="s">
        <v>78</v>
      </c>
      <c r="N457" t="s">
        <v>79</v>
      </c>
      <c r="O457" t="s">
        <v>74</v>
      </c>
      <c r="P457" t="s">
        <v>74</v>
      </c>
      <c r="Q457" t="s">
        <v>74</v>
      </c>
      <c r="R457" t="s">
        <v>74</v>
      </c>
      <c r="S457" t="s">
        <v>74</v>
      </c>
      <c r="T457" t="s">
        <v>74</v>
      </c>
      <c r="U457" t="s">
        <v>8719</v>
      </c>
      <c r="V457" t="s">
        <v>8720</v>
      </c>
      <c r="W457" t="s">
        <v>8721</v>
      </c>
      <c r="X457" t="s">
        <v>7779</v>
      </c>
      <c r="Y457" t="s">
        <v>8722</v>
      </c>
      <c r="Z457" t="s">
        <v>8723</v>
      </c>
      <c r="AA457" t="s">
        <v>8724</v>
      </c>
      <c r="AB457" t="s">
        <v>8725</v>
      </c>
      <c r="AC457" t="s">
        <v>8726</v>
      </c>
      <c r="AD457" t="s">
        <v>8727</v>
      </c>
      <c r="AE457" t="s">
        <v>8728</v>
      </c>
      <c r="AF457" t="s">
        <v>74</v>
      </c>
      <c r="AG457">
        <v>22</v>
      </c>
      <c r="AH457">
        <v>37</v>
      </c>
      <c r="AI457">
        <v>40</v>
      </c>
      <c r="AJ457">
        <v>0</v>
      </c>
      <c r="AK457">
        <v>28</v>
      </c>
      <c r="AL457" t="s">
        <v>3775</v>
      </c>
      <c r="AM457" t="s">
        <v>3776</v>
      </c>
      <c r="AN457" t="s">
        <v>3777</v>
      </c>
      <c r="AO457" t="s">
        <v>7788</v>
      </c>
      <c r="AP457" t="s">
        <v>74</v>
      </c>
      <c r="AQ457" t="s">
        <v>74</v>
      </c>
      <c r="AR457" t="s">
        <v>7790</v>
      </c>
      <c r="AS457" t="s">
        <v>7791</v>
      </c>
      <c r="AT457" t="s">
        <v>7122</v>
      </c>
      <c r="AU457">
        <v>2011</v>
      </c>
      <c r="AV457">
        <v>41</v>
      </c>
      <c r="AW457">
        <v>12</v>
      </c>
      <c r="AX457" t="s">
        <v>74</v>
      </c>
      <c r="AY457" t="s">
        <v>74</v>
      </c>
      <c r="AZ457" t="s">
        <v>74</v>
      </c>
      <c r="BA457" t="s">
        <v>74</v>
      </c>
      <c r="BB457">
        <v>2328</v>
      </c>
      <c r="BC457">
        <v>2342</v>
      </c>
      <c r="BD457" t="s">
        <v>74</v>
      </c>
      <c r="BE457" t="s">
        <v>8729</v>
      </c>
      <c r="BF457" t="str">
        <f>HYPERLINK("http://dx.doi.org/10.1175/JPO-D-11-024.1","http://dx.doi.org/10.1175/JPO-D-11-024.1")</f>
        <v>http://dx.doi.org/10.1175/JPO-D-11-024.1</v>
      </c>
      <c r="BG457" t="s">
        <v>74</v>
      </c>
      <c r="BH457" t="s">
        <v>74</v>
      </c>
      <c r="BI457">
        <v>15</v>
      </c>
      <c r="BJ457" t="s">
        <v>496</v>
      </c>
      <c r="BK457" t="s">
        <v>100</v>
      </c>
      <c r="BL457" t="s">
        <v>496</v>
      </c>
      <c r="BM457" t="s">
        <v>7793</v>
      </c>
      <c r="BN457" t="s">
        <v>74</v>
      </c>
      <c r="BO457" t="s">
        <v>6160</v>
      </c>
      <c r="BP457" t="s">
        <v>74</v>
      </c>
      <c r="BQ457" t="s">
        <v>74</v>
      </c>
      <c r="BR457" t="s">
        <v>102</v>
      </c>
      <c r="BS457" t="s">
        <v>8730</v>
      </c>
      <c r="BT457" t="str">
        <f>HYPERLINK("https%3A%2F%2Fwww.webofscience.com%2Fwos%2Fwoscc%2Ffull-record%2FWOS:000298830700005","View Full Record in Web of Science")</f>
        <v>View Full Record in Web of Science</v>
      </c>
    </row>
    <row r="458" spans="1:72" x14ac:dyDescent="0.15">
      <c r="A458" t="s">
        <v>72</v>
      </c>
      <c r="B458" t="s">
        <v>8731</v>
      </c>
      <c r="C458" t="s">
        <v>74</v>
      </c>
      <c r="D458" t="s">
        <v>74</v>
      </c>
      <c r="E458" t="s">
        <v>74</v>
      </c>
      <c r="F458" t="s">
        <v>8732</v>
      </c>
      <c r="G458" t="s">
        <v>74</v>
      </c>
      <c r="H458" t="s">
        <v>74</v>
      </c>
      <c r="I458" t="s">
        <v>8733</v>
      </c>
      <c r="J458" t="s">
        <v>7775</v>
      </c>
      <c r="K458" t="s">
        <v>74</v>
      </c>
      <c r="L458" t="s">
        <v>74</v>
      </c>
      <c r="M458" t="s">
        <v>78</v>
      </c>
      <c r="N458" t="s">
        <v>79</v>
      </c>
      <c r="O458" t="s">
        <v>74</v>
      </c>
      <c r="P458" t="s">
        <v>74</v>
      </c>
      <c r="Q458" t="s">
        <v>74</v>
      </c>
      <c r="R458" t="s">
        <v>74</v>
      </c>
      <c r="S458" t="s">
        <v>74</v>
      </c>
      <c r="T458" t="s">
        <v>74</v>
      </c>
      <c r="U458" t="s">
        <v>8734</v>
      </c>
      <c r="V458" t="s">
        <v>8735</v>
      </c>
      <c r="W458" t="s">
        <v>8736</v>
      </c>
      <c r="X458" t="s">
        <v>8737</v>
      </c>
      <c r="Y458" t="s">
        <v>8738</v>
      </c>
      <c r="Z458" t="s">
        <v>8739</v>
      </c>
      <c r="AA458" t="s">
        <v>8740</v>
      </c>
      <c r="AB458" t="s">
        <v>8741</v>
      </c>
      <c r="AC458" t="s">
        <v>8742</v>
      </c>
      <c r="AD458" t="s">
        <v>8743</v>
      </c>
      <c r="AE458" t="s">
        <v>8744</v>
      </c>
      <c r="AF458" t="s">
        <v>74</v>
      </c>
      <c r="AG458">
        <v>58</v>
      </c>
      <c r="AH458">
        <v>151</v>
      </c>
      <c r="AI458">
        <v>168</v>
      </c>
      <c r="AJ458">
        <v>2</v>
      </c>
      <c r="AK458">
        <v>69</v>
      </c>
      <c r="AL458" t="s">
        <v>3775</v>
      </c>
      <c r="AM458" t="s">
        <v>3776</v>
      </c>
      <c r="AN458" t="s">
        <v>3777</v>
      </c>
      <c r="AO458" t="s">
        <v>7788</v>
      </c>
      <c r="AP458" t="s">
        <v>74</v>
      </c>
      <c r="AQ458" t="s">
        <v>74</v>
      </c>
      <c r="AR458" t="s">
        <v>7790</v>
      </c>
      <c r="AS458" t="s">
        <v>7791</v>
      </c>
      <c r="AT458" t="s">
        <v>7122</v>
      </c>
      <c r="AU458">
        <v>2011</v>
      </c>
      <c r="AV458">
        <v>41</v>
      </c>
      <c r="AW458">
        <v>12</v>
      </c>
      <c r="AX458" t="s">
        <v>74</v>
      </c>
      <c r="AY458" t="s">
        <v>74</v>
      </c>
      <c r="AZ458" t="s">
        <v>74</v>
      </c>
      <c r="BA458" t="s">
        <v>74</v>
      </c>
      <c r="BB458">
        <v>2381</v>
      </c>
      <c r="BC458">
        <v>2401</v>
      </c>
      <c r="BD458" t="s">
        <v>74</v>
      </c>
      <c r="BE458" t="s">
        <v>8745</v>
      </c>
      <c r="BF458" t="str">
        <f>HYPERLINK("http://dx.doi.org/10.1175/JPO-D-10-05011.1","http://dx.doi.org/10.1175/JPO-D-10-05011.1")</f>
        <v>http://dx.doi.org/10.1175/JPO-D-10-05011.1</v>
      </c>
      <c r="BG458" t="s">
        <v>74</v>
      </c>
      <c r="BH458" t="s">
        <v>74</v>
      </c>
      <c r="BI458">
        <v>21</v>
      </c>
      <c r="BJ458" t="s">
        <v>496</v>
      </c>
      <c r="BK458" t="s">
        <v>100</v>
      </c>
      <c r="BL458" t="s">
        <v>496</v>
      </c>
      <c r="BM458" t="s">
        <v>7793</v>
      </c>
      <c r="BN458" t="s">
        <v>74</v>
      </c>
      <c r="BO458" t="s">
        <v>8746</v>
      </c>
      <c r="BP458" t="s">
        <v>74</v>
      </c>
      <c r="BQ458" t="s">
        <v>74</v>
      </c>
      <c r="BR458" t="s">
        <v>102</v>
      </c>
      <c r="BS458" t="s">
        <v>8747</v>
      </c>
      <c r="BT458" t="str">
        <f>HYPERLINK("https%3A%2F%2Fwww.webofscience.com%2Fwos%2Fwoscc%2Ffull-record%2FWOS:000298830700008","View Full Record in Web of Science")</f>
        <v>View Full Record in Web of Science</v>
      </c>
    </row>
    <row r="459" spans="1:72" x14ac:dyDescent="0.15">
      <c r="A459" t="s">
        <v>72</v>
      </c>
      <c r="B459" t="s">
        <v>8748</v>
      </c>
      <c r="C459" t="s">
        <v>74</v>
      </c>
      <c r="D459" t="s">
        <v>74</v>
      </c>
      <c r="E459" t="s">
        <v>74</v>
      </c>
      <c r="F459" t="s">
        <v>8749</v>
      </c>
      <c r="G459" t="s">
        <v>74</v>
      </c>
      <c r="H459" t="s">
        <v>74</v>
      </c>
      <c r="I459" t="s">
        <v>8750</v>
      </c>
      <c r="J459" t="s">
        <v>8751</v>
      </c>
      <c r="K459" t="s">
        <v>74</v>
      </c>
      <c r="L459" t="s">
        <v>74</v>
      </c>
      <c r="M459" t="s">
        <v>78</v>
      </c>
      <c r="N459" t="s">
        <v>79</v>
      </c>
      <c r="O459" t="s">
        <v>74</v>
      </c>
      <c r="P459" t="s">
        <v>74</v>
      </c>
      <c r="Q459" t="s">
        <v>74</v>
      </c>
      <c r="R459" t="s">
        <v>74</v>
      </c>
      <c r="S459" t="s">
        <v>74</v>
      </c>
      <c r="T459" t="s">
        <v>8752</v>
      </c>
      <c r="U459" t="s">
        <v>8753</v>
      </c>
      <c r="V459" t="s">
        <v>8754</v>
      </c>
      <c r="W459" t="s">
        <v>8755</v>
      </c>
      <c r="X459" t="s">
        <v>8756</v>
      </c>
      <c r="Y459" t="s">
        <v>8757</v>
      </c>
      <c r="Z459" t="s">
        <v>8758</v>
      </c>
      <c r="AA459" t="s">
        <v>8759</v>
      </c>
      <c r="AB459" t="s">
        <v>8760</v>
      </c>
      <c r="AC459" t="s">
        <v>8761</v>
      </c>
      <c r="AD459" t="s">
        <v>8762</v>
      </c>
      <c r="AE459" t="s">
        <v>8763</v>
      </c>
      <c r="AF459" t="s">
        <v>74</v>
      </c>
      <c r="AG459">
        <v>46</v>
      </c>
      <c r="AH459">
        <v>37</v>
      </c>
      <c r="AI459">
        <v>41</v>
      </c>
      <c r="AJ459">
        <v>0</v>
      </c>
      <c r="AK459">
        <v>12</v>
      </c>
      <c r="AL459" t="s">
        <v>155</v>
      </c>
      <c r="AM459" t="s">
        <v>156</v>
      </c>
      <c r="AN459" t="s">
        <v>157</v>
      </c>
      <c r="AO459" t="s">
        <v>8764</v>
      </c>
      <c r="AP459" t="s">
        <v>74</v>
      </c>
      <c r="AQ459" t="s">
        <v>74</v>
      </c>
      <c r="AR459" t="s">
        <v>8765</v>
      </c>
      <c r="AS459" t="s">
        <v>8766</v>
      </c>
      <c r="AT459" t="s">
        <v>7122</v>
      </c>
      <c r="AU459">
        <v>2011</v>
      </c>
      <c r="AV459">
        <v>32</v>
      </c>
      <c r="AW459">
        <v>4</v>
      </c>
      <c r="AX459" t="s">
        <v>74</v>
      </c>
      <c r="AY459" t="s">
        <v>74</v>
      </c>
      <c r="AZ459" t="s">
        <v>339</v>
      </c>
      <c r="BA459" t="s">
        <v>74</v>
      </c>
      <c r="BB459">
        <v>485</v>
      </c>
      <c r="BC459">
        <v>496</v>
      </c>
      <c r="BD459" t="s">
        <v>74</v>
      </c>
      <c r="BE459" t="s">
        <v>8767</v>
      </c>
      <c r="BF459" t="str">
        <f>HYPERLINK("http://dx.doi.org/10.1016/j.jsames.2011.03.007","http://dx.doi.org/10.1016/j.jsames.2011.03.007")</f>
        <v>http://dx.doi.org/10.1016/j.jsames.2011.03.007</v>
      </c>
      <c r="BG459" t="s">
        <v>74</v>
      </c>
      <c r="BH459" t="s">
        <v>74</v>
      </c>
      <c r="BI459">
        <v>12</v>
      </c>
      <c r="BJ459" t="s">
        <v>287</v>
      </c>
      <c r="BK459" t="s">
        <v>100</v>
      </c>
      <c r="BL459" t="s">
        <v>288</v>
      </c>
      <c r="BM459" t="s">
        <v>8768</v>
      </c>
      <c r="BN459" t="s">
        <v>74</v>
      </c>
      <c r="BO459" t="s">
        <v>74</v>
      </c>
      <c r="BP459" t="s">
        <v>74</v>
      </c>
      <c r="BQ459" t="s">
        <v>74</v>
      </c>
      <c r="BR459" t="s">
        <v>102</v>
      </c>
      <c r="BS459" t="s">
        <v>8769</v>
      </c>
      <c r="BT459" t="str">
        <f>HYPERLINK("https%3A%2F%2Fwww.webofscience.com%2Fwos%2Fwoscc%2Ffull-record%2FWOS:000298464900018","View Full Record in Web of Science")</f>
        <v>View Full Record in Web of Science</v>
      </c>
    </row>
    <row r="460" spans="1:72" x14ac:dyDescent="0.15">
      <c r="A460" t="s">
        <v>72</v>
      </c>
      <c r="B460" t="s">
        <v>8770</v>
      </c>
      <c r="C460" t="s">
        <v>74</v>
      </c>
      <c r="D460" t="s">
        <v>74</v>
      </c>
      <c r="E460" t="s">
        <v>74</v>
      </c>
      <c r="F460" t="s">
        <v>8771</v>
      </c>
      <c r="G460" t="s">
        <v>74</v>
      </c>
      <c r="H460" t="s">
        <v>74</v>
      </c>
      <c r="I460" t="s">
        <v>8772</v>
      </c>
      <c r="J460" t="s">
        <v>8773</v>
      </c>
      <c r="K460" t="s">
        <v>74</v>
      </c>
      <c r="L460" t="s">
        <v>74</v>
      </c>
      <c r="M460" t="s">
        <v>78</v>
      </c>
      <c r="N460" t="s">
        <v>79</v>
      </c>
      <c r="O460" t="s">
        <v>74</v>
      </c>
      <c r="P460" t="s">
        <v>74</v>
      </c>
      <c r="Q460" t="s">
        <v>74</v>
      </c>
      <c r="R460" t="s">
        <v>74</v>
      </c>
      <c r="S460" t="s">
        <v>74</v>
      </c>
      <c r="T460" t="s">
        <v>74</v>
      </c>
      <c r="U460" t="s">
        <v>8774</v>
      </c>
      <c r="V460" t="s">
        <v>8775</v>
      </c>
      <c r="W460" t="s">
        <v>8776</v>
      </c>
      <c r="X460" t="s">
        <v>8777</v>
      </c>
      <c r="Y460" t="s">
        <v>8778</v>
      </c>
      <c r="Z460" t="s">
        <v>8779</v>
      </c>
      <c r="AA460" t="s">
        <v>8780</v>
      </c>
      <c r="AB460" t="s">
        <v>8781</v>
      </c>
      <c r="AC460" t="s">
        <v>8782</v>
      </c>
      <c r="AD460" t="s">
        <v>8783</v>
      </c>
      <c r="AE460" t="s">
        <v>8784</v>
      </c>
      <c r="AF460" t="s">
        <v>74</v>
      </c>
      <c r="AG460">
        <v>67</v>
      </c>
      <c r="AH460">
        <v>72</v>
      </c>
      <c r="AI460">
        <v>74</v>
      </c>
      <c r="AJ460">
        <v>0</v>
      </c>
      <c r="AK460">
        <v>25</v>
      </c>
      <c r="AL460" t="s">
        <v>3775</v>
      </c>
      <c r="AM460" t="s">
        <v>3776</v>
      </c>
      <c r="AN460" t="s">
        <v>3777</v>
      </c>
      <c r="AO460" t="s">
        <v>8785</v>
      </c>
      <c r="AP460" t="s">
        <v>8786</v>
      </c>
      <c r="AQ460" t="s">
        <v>74</v>
      </c>
      <c r="AR460" t="s">
        <v>8787</v>
      </c>
      <c r="AS460" t="s">
        <v>8788</v>
      </c>
      <c r="AT460" t="s">
        <v>7122</v>
      </c>
      <c r="AU460">
        <v>2011</v>
      </c>
      <c r="AV460">
        <v>68</v>
      </c>
      <c r="AW460">
        <v>12</v>
      </c>
      <c r="AX460" t="s">
        <v>74</v>
      </c>
      <c r="AY460" t="s">
        <v>74</v>
      </c>
      <c r="AZ460" t="s">
        <v>74</v>
      </c>
      <c r="BA460" t="s">
        <v>74</v>
      </c>
      <c r="BB460">
        <v>2809</v>
      </c>
      <c r="BC460">
        <v>2825</v>
      </c>
      <c r="BD460" t="s">
        <v>74</v>
      </c>
      <c r="BE460" t="s">
        <v>8789</v>
      </c>
      <c r="BF460" t="str">
        <f>HYPERLINK("http://dx.doi.org/10.1175/JAS-D-11-046.1","http://dx.doi.org/10.1175/JAS-D-11-046.1")</f>
        <v>http://dx.doi.org/10.1175/JAS-D-11-046.1</v>
      </c>
      <c r="BG460" t="s">
        <v>74</v>
      </c>
      <c r="BH460" t="s">
        <v>74</v>
      </c>
      <c r="BI460">
        <v>17</v>
      </c>
      <c r="BJ460" t="s">
        <v>463</v>
      </c>
      <c r="BK460" t="s">
        <v>100</v>
      </c>
      <c r="BL460" t="s">
        <v>463</v>
      </c>
      <c r="BM460" t="s">
        <v>8790</v>
      </c>
      <c r="BN460" t="s">
        <v>74</v>
      </c>
      <c r="BO460" t="s">
        <v>8791</v>
      </c>
      <c r="BP460" t="s">
        <v>74</v>
      </c>
      <c r="BQ460" t="s">
        <v>74</v>
      </c>
      <c r="BR460" t="s">
        <v>102</v>
      </c>
      <c r="BS460" t="s">
        <v>8792</v>
      </c>
      <c r="BT460" t="str">
        <f>HYPERLINK("https%3A%2F%2Fwww.webofscience.com%2Fwos%2Fwoscc%2Ffull-record%2FWOS:000298205400001","View Full Record in Web of Science")</f>
        <v>View Full Record in Web of Science</v>
      </c>
    </row>
    <row r="461" spans="1:72" x14ac:dyDescent="0.15">
      <c r="A461" t="s">
        <v>72</v>
      </c>
      <c r="B461" t="s">
        <v>8793</v>
      </c>
      <c r="C461" t="s">
        <v>74</v>
      </c>
      <c r="D461" t="s">
        <v>74</v>
      </c>
      <c r="E461" t="s">
        <v>74</v>
      </c>
      <c r="F461" t="s">
        <v>8794</v>
      </c>
      <c r="G461" t="s">
        <v>74</v>
      </c>
      <c r="H461" t="s">
        <v>74</v>
      </c>
      <c r="I461" t="s">
        <v>8795</v>
      </c>
      <c r="J461" t="s">
        <v>8796</v>
      </c>
      <c r="K461" t="s">
        <v>74</v>
      </c>
      <c r="L461" t="s">
        <v>74</v>
      </c>
      <c r="M461" t="s">
        <v>78</v>
      </c>
      <c r="N461" t="s">
        <v>79</v>
      </c>
      <c r="O461" t="s">
        <v>74</v>
      </c>
      <c r="P461" t="s">
        <v>74</v>
      </c>
      <c r="Q461" t="s">
        <v>74</v>
      </c>
      <c r="R461" t="s">
        <v>74</v>
      </c>
      <c r="S461" t="s">
        <v>74</v>
      </c>
      <c r="T461" t="s">
        <v>8797</v>
      </c>
      <c r="U461" t="s">
        <v>8798</v>
      </c>
      <c r="V461" t="s">
        <v>8799</v>
      </c>
      <c r="W461" t="s">
        <v>8800</v>
      </c>
      <c r="X461" t="s">
        <v>8801</v>
      </c>
      <c r="Y461" t="s">
        <v>8802</v>
      </c>
      <c r="Z461" t="s">
        <v>8803</v>
      </c>
      <c r="AA461" t="s">
        <v>74</v>
      </c>
      <c r="AB461" t="s">
        <v>8804</v>
      </c>
      <c r="AC461" t="s">
        <v>8805</v>
      </c>
      <c r="AD461" t="s">
        <v>8806</v>
      </c>
      <c r="AE461" t="s">
        <v>8807</v>
      </c>
      <c r="AF461" t="s">
        <v>74</v>
      </c>
      <c r="AG461">
        <v>73</v>
      </c>
      <c r="AH461">
        <v>44</v>
      </c>
      <c r="AI461">
        <v>57</v>
      </c>
      <c r="AJ461">
        <v>1</v>
      </c>
      <c r="AK461">
        <v>36</v>
      </c>
      <c r="AL461" t="s">
        <v>8808</v>
      </c>
      <c r="AM461" t="s">
        <v>8809</v>
      </c>
      <c r="AN461" t="s">
        <v>8810</v>
      </c>
      <c r="AO461" t="s">
        <v>8811</v>
      </c>
      <c r="AP461" t="s">
        <v>74</v>
      </c>
      <c r="AQ461" t="s">
        <v>74</v>
      </c>
      <c r="AR461" t="s">
        <v>8812</v>
      </c>
      <c r="AS461" t="s">
        <v>8813</v>
      </c>
      <c r="AT461" t="s">
        <v>7122</v>
      </c>
      <c r="AU461">
        <v>2011</v>
      </c>
      <c r="AV461">
        <v>30</v>
      </c>
      <c r="AW461">
        <v>4</v>
      </c>
      <c r="AX461" t="s">
        <v>74</v>
      </c>
      <c r="AY461" t="s">
        <v>74</v>
      </c>
      <c r="AZ461" t="s">
        <v>74</v>
      </c>
      <c r="BA461" t="s">
        <v>74</v>
      </c>
      <c r="BB461">
        <v>1057</v>
      </c>
      <c r="BC461">
        <v>1073</v>
      </c>
      <c r="BD461" t="s">
        <v>74</v>
      </c>
      <c r="BE461" t="s">
        <v>8814</v>
      </c>
      <c r="BF461" t="str">
        <f>HYPERLINK("http://dx.doi.org/10.1899/11-008.1","http://dx.doi.org/10.1899/11-008.1")</f>
        <v>http://dx.doi.org/10.1899/11-008.1</v>
      </c>
      <c r="BG461" t="s">
        <v>74</v>
      </c>
      <c r="BH461" t="s">
        <v>74</v>
      </c>
      <c r="BI461">
        <v>17</v>
      </c>
      <c r="BJ461" t="s">
        <v>4394</v>
      </c>
      <c r="BK461" t="s">
        <v>100</v>
      </c>
      <c r="BL461" t="s">
        <v>4395</v>
      </c>
      <c r="BM461" t="s">
        <v>8815</v>
      </c>
      <c r="BN461" t="s">
        <v>74</v>
      </c>
      <c r="BO461" t="s">
        <v>1796</v>
      </c>
      <c r="BP461" t="s">
        <v>74</v>
      </c>
      <c r="BQ461" t="s">
        <v>74</v>
      </c>
      <c r="BR461" t="s">
        <v>102</v>
      </c>
      <c r="BS461" t="s">
        <v>8816</v>
      </c>
      <c r="BT461" t="str">
        <f>HYPERLINK("https%3A%2F%2Fwww.webofscience.com%2Fwos%2Fwoscc%2Ffull-record%2FWOS:000298218600015","View Full Record in Web of Science")</f>
        <v>View Full Record in Web of Science</v>
      </c>
    </row>
    <row r="462" spans="1:72" x14ac:dyDescent="0.15">
      <c r="A462" t="s">
        <v>72</v>
      </c>
      <c r="B462" t="s">
        <v>8817</v>
      </c>
      <c r="C462" t="s">
        <v>74</v>
      </c>
      <c r="D462" t="s">
        <v>74</v>
      </c>
      <c r="E462" t="s">
        <v>74</v>
      </c>
      <c r="F462" t="s">
        <v>8818</v>
      </c>
      <c r="G462" t="s">
        <v>74</v>
      </c>
      <c r="H462" t="s">
        <v>74</v>
      </c>
      <c r="I462" t="s">
        <v>8819</v>
      </c>
      <c r="J462" t="s">
        <v>8820</v>
      </c>
      <c r="K462" t="s">
        <v>74</v>
      </c>
      <c r="L462" t="s">
        <v>74</v>
      </c>
      <c r="M462" t="s">
        <v>78</v>
      </c>
      <c r="N462" t="s">
        <v>79</v>
      </c>
      <c r="O462" t="s">
        <v>74</v>
      </c>
      <c r="P462" t="s">
        <v>74</v>
      </c>
      <c r="Q462" t="s">
        <v>74</v>
      </c>
      <c r="R462" t="s">
        <v>74</v>
      </c>
      <c r="S462" t="s">
        <v>74</v>
      </c>
      <c r="T462" t="s">
        <v>74</v>
      </c>
      <c r="U462" t="s">
        <v>8821</v>
      </c>
      <c r="V462" t="s">
        <v>8822</v>
      </c>
      <c r="W462" t="s">
        <v>8823</v>
      </c>
      <c r="X462" t="s">
        <v>8824</v>
      </c>
      <c r="Y462" t="s">
        <v>8825</v>
      </c>
      <c r="Z462" t="s">
        <v>8826</v>
      </c>
      <c r="AA462" t="s">
        <v>8827</v>
      </c>
      <c r="AB462" t="s">
        <v>8828</v>
      </c>
      <c r="AC462" t="s">
        <v>8829</v>
      </c>
      <c r="AD462" t="s">
        <v>8830</v>
      </c>
      <c r="AE462" t="s">
        <v>8831</v>
      </c>
      <c r="AF462" t="s">
        <v>74</v>
      </c>
      <c r="AG462">
        <v>44</v>
      </c>
      <c r="AH462">
        <v>11</v>
      </c>
      <c r="AI462">
        <v>14</v>
      </c>
      <c r="AJ462">
        <v>0</v>
      </c>
      <c r="AK462">
        <v>26</v>
      </c>
      <c r="AL462" t="s">
        <v>7665</v>
      </c>
      <c r="AM462" t="s">
        <v>7666</v>
      </c>
      <c r="AN462" t="s">
        <v>7667</v>
      </c>
      <c r="AO462" t="s">
        <v>8832</v>
      </c>
      <c r="AP462" t="s">
        <v>74</v>
      </c>
      <c r="AQ462" t="s">
        <v>74</v>
      </c>
      <c r="AR462" t="s">
        <v>8833</v>
      </c>
      <c r="AS462" t="s">
        <v>8834</v>
      </c>
      <c r="AT462" t="s">
        <v>7122</v>
      </c>
      <c r="AU462">
        <v>2011</v>
      </c>
      <c r="AV462">
        <v>3</v>
      </c>
      <c r="AW462">
        <v>6</v>
      </c>
      <c r="AX462" t="s">
        <v>74</v>
      </c>
      <c r="AY462" t="s">
        <v>74</v>
      </c>
      <c r="AZ462" t="s">
        <v>74</v>
      </c>
      <c r="BA462" t="s">
        <v>74</v>
      </c>
      <c r="BB462">
        <v>393</v>
      </c>
      <c r="BC462">
        <v>400</v>
      </c>
      <c r="BD462" t="s">
        <v>74</v>
      </c>
      <c r="BE462" t="s">
        <v>8835</v>
      </c>
      <c r="BF462" t="str">
        <f>HYPERLINK("http://dx.doi.org/10.1130/L139.1","http://dx.doi.org/10.1130/L139.1")</f>
        <v>http://dx.doi.org/10.1130/L139.1</v>
      </c>
      <c r="BG462" t="s">
        <v>74</v>
      </c>
      <c r="BH462" t="s">
        <v>74</v>
      </c>
      <c r="BI462">
        <v>8</v>
      </c>
      <c r="BJ462" t="s">
        <v>8836</v>
      </c>
      <c r="BK462" t="s">
        <v>100</v>
      </c>
      <c r="BL462" t="s">
        <v>8836</v>
      </c>
      <c r="BM462" t="s">
        <v>8837</v>
      </c>
      <c r="BN462" t="s">
        <v>74</v>
      </c>
      <c r="BO462" t="s">
        <v>365</v>
      </c>
      <c r="BP462" t="s">
        <v>74</v>
      </c>
      <c r="BQ462" t="s">
        <v>74</v>
      </c>
      <c r="BR462" t="s">
        <v>102</v>
      </c>
      <c r="BS462" t="s">
        <v>8838</v>
      </c>
      <c r="BT462" t="str">
        <f>HYPERLINK("https%3A%2F%2Fwww.webofscience.com%2Fwos%2Fwoscc%2Ffull-record%2FWOS:000298138500003","View Full Record in Web of Science")</f>
        <v>View Full Record in Web of Science</v>
      </c>
    </row>
    <row r="463" spans="1:72" x14ac:dyDescent="0.15">
      <c r="A463" t="s">
        <v>72</v>
      </c>
      <c r="B463" t="s">
        <v>8839</v>
      </c>
      <c r="C463" t="s">
        <v>74</v>
      </c>
      <c r="D463" t="s">
        <v>74</v>
      </c>
      <c r="E463" t="s">
        <v>74</v>
      </c>
      <c r="F463" t="s">
        <v>8840</v>
      </c>
      <c r="G463" t="s">
        <v>74</v>
      </c>
      <c r="H463" t="s">
        <v>74</v>
      </c>
      <c r="I463" t="s">
        <v>8841</v>
      </c>
      <c r="J463" t="s">
        <v>8842</v>
      </c>
      <c r="K463" t="s">
        <v>74</v>
      </c>
      <c r="L463" t="s">
        <v>74</v>
      </c>
      <c r="M463" t="s">
        <v>78</v>
      </c>
      <c r="N463" t="s">
        <v>1513</v>
      </c>
      <c r="O463" t="s">
        <v>74</v>
      </c>
      <c r="P463" t="s">
        <v>74</v>
      </c>
      <c r="Q463" t="s">
        <v>74</v>
      </c>
      <c r="R463" t="s">
        <v>74</v>
      </c>
      <c r="S463" t="s">
        <v>74</v>
      </c>
      <c r="T463" t="s">
        <v>8843</v>
      </c>
      <c r="U463" t="s">
        <v>8844</v>
      </c>
      <c r="V463" t="s">
        <v>8845</v>
      </c>
      <c r="W463" t="s">
        <v>1720</v>
      </c>
      <c r="X463" t="s">
        <v>527</v>
      </c>
      <c r="Y463" t="s">
        <v>8846</v>
      </c>
      <c r="Z463" t="s">
        <v>8847</v>
      </c>
      <c r="AA463" t="s">
        <v>74</v>
      </c>
      <c r="AB463" t="s">
        <v>74</v>
      </c>
      <c r="AC463" t="s">
        <v>585</v>
      </c>
      <c r="AD463" t="s">
        <v>586</v>
      </c>
      <c r="AE463" t="s">
        <v>74</v>
      </c>
      <c r="AF463" t="s">
        <v>74</v>
      </c>
      <c r="AG463">
        <v>64</v>
      </c>
      <c r="AH463">
        <v>83</v>
      </c>
      <c r="AI463">
        <v>90</v>
      </c>
      <c r="AJ463">
        <v>1</v>
      </c>
      <c r="AK463">
        <v>67</v>
      </c>
      <c r="AL463" t="s">
        <v>333</v>
      </c>
      <c r="AM463" t="s">
        <v>334</v>
      </c>
      <c r="AN463" t="s">
        <v>335</v>
      </c>
      <c r="AO463" t="s">
        <v>8848</v>
      </c>
      <c r="AP463" t="s">
        <v>8849</v>
      </c>
      <c r="AQ463" t="s">
        <v>74</v>
      </c>
      <c r="AR463" t="s">
        <v>8850</v>
      </c>
      <c r="AS463" t="s">
        <v>8851</v>
      </c>
      <c r="AT463" t="s">
        <v>7122</v>
      </c>
      <c r="AU463">
        <v>2011</v>
      </c>
      <c r="AV463">
        <v>4</v>
      </c>
      <c r="AW463">
        <v>4</v>
      </c>
      <c r="AX463" t="s">
        <v>74</v>
      </c>
      <c r="AY463" t="s">
        <v>74</v>
      </c>
      <c r="AZ463" t="s">
        <v>74</v>
      </c>
      <c r="BA463" t="s">
        <v>74</v>
      </c>
      <c r="BB463">
        <v>237</v>
      </c>
      <c r="BC463">
        <v>243</v>
      </c>
      <c r="BD463" t="s">
        <v>74</v>
      </c>
      <c r="BE463" t="s">
        <v>8852</v>
      </c>
      <c r="BF463" t="str">
        <f>HYPERLINK("http://dx.doi.org/10.1016/j.margen.2011.07.001","http://dx.doi.org/10.1016/j.margen.2011.07.001")</f>
        <v>http://dx.doi.org/10.1016/j.margen.2011.07.001</v>
      </c>
      <c r="BG463" t="s">
        <v>74</v>
      </c>
      <c r="BH463" t="s">
        <v>74</v>
      </c>
      <c r="BI463">
        <v>7</v>
      </c>
      <c r="BJ463" t="s">
        <v>8853</v>
      </c>
      <c r="BK463" t="s">
        <v>100</v>
      </c>
      <c r="BL463" t="s">
        <v>8853</v>
      </c>
      <c r="BM463" t="s">
        <v>8854</v>
      </c>
      <c r="BN463">
        <v>22118635</v>
      </c>
      <c r="BO463" t="s">
        <v>74</v>
      </c>
      <c r="BP463" t="s">
        <v>74</v>
      </c>
      <c r="BQ463" t="s">
        <v>74</v>
      </c>
      <c r="BR463" t="s">
        <v>102</v>
      </c>
      <c r="BS463" t="s">
        <v>8855</v>
      </c>
      <c r="BT463" t="str">
        <f>HYPERLINK("https%3A%2F%2Fwww.webofscience.com%2Fwos%2Fwoscc%2Ffull-record%2FWOS:000298448200001","View Full Record in Web of Science")</f>
        <v>View Full Record in Web of Science</v>
      </c>
    </row>
    <row r="464" spans="1:72" x14ac:dyDescent="0.15">
      <c r="A464" t="s">
        <v>72</v>
      </c>
      <c r="B464" t="s">
        <v>8856</v>
      </c>
      <c r="C464" t="s">
        <v>74</v>
      </c>
      <c r="D464" t="s">
        <v>74</v>
      </c>
      <c r="E464" t="s">
        <v>74</v>
      </c>
      <c r="F464" t="s">
        <v>8857</v>
      </c>
      <c r="G464" t="s">
        <v>74</v>
      </c>
      <c r="H464" t="s">
        <v>74</v>
      </c>
      <c r="I464" t="s">
        <v>8858</v>
      </c>
      <c r="J464" t="s">
        <v>8859</v>
      </c>
      <c r="K464" t="s">
        <v>74</v>
      </c>
      <c r="L464" t="s">
        <v>74</v>
      </c>
      <c r="M464" t="s">
        <v>78</v>
      </c>
      <c r="N464" t="s">
        <v>79</v>
      </c>
      <c r="O464" t="s">
        <v>74</v>
      </c>
      <c r="P464" t="s">
        <v>74</v>
      </c>
      <c r="Q464" t="s">
        <v>74</v>
      </c>
      <c r="R464" t="s">
        <v>74</v>
      </c>
      <c r="S464" t="s">
        <v>74</v>
      </c>
      <c r="T464" t="s">
        <v>8860</v>
      </c>
      <c r="U464" t="s">
        <v>8861</v>
      </c>
      <c r="V464" t="s">
        <v>8862</v>
      </c>
      <c r="W464" t="s">
        <v>8863</v>
      </c>
      <c r="X464" t="s">
        <v>8864</v>
      </c>
      <c r="Y464" t="s">
        <v>8865</v>
      </c>
      <c r="Z464" t="s">
        <v>8866</v>
      </c>
      <c r="AA464" t="s">
        <v>8867</v>
      </c>
      <c r="AB464" t="s">
        <v>8868</v>
      </c>
      <c r="AC464" t="s">
        <v>8869</v>
      </c>
      <c r="AD464" t="s">
        <v>8870</v>
      </c>
      <c r="AE464" t="s">
        <v>8871</v>
      </c>
      <c r="AF464" t="s">
        <v>74</v>
      </c>
      <c r="AG464">
        <v>32</v>
      </c>
      <c r="AH464">
        <v>16</v>
      </c>
      <c r="AI464">
        <v>17</v>
      </c>
      <c r="AJ464">
        <v>0</v>
      </c>
      <c r="AK464">
        <v>5</v>
      </c>
      <c r="AL464" t="s">
        <v>3479</v>
      </c>
      <c r="AM464" t="s">
        <v>334</v>
      </c>
      <c r="AN464" t="s">
        <v>3480</v>
      </c>
      <c r="AO464" t="s">
        <v>8872</v>
      </c>
      <c r="AP464" t="s">
        <v>8873</v>
      </c>
      <c r="AQ464" t="s">
        <v>74</v>
      </c>
      <c r="AR464" t="s">
        <v>8874</v>
      </c>
      <c r="AS464" t="s">
        <v>8875</v>
      </c>
      <c r="AT464" t="s">
        <v>7122</v>
      </c>
      <c r="AU464">
        <v>2011</v>
      </c>
      <c r="AV464">
        <v>5</v>
      </c>
      <c r="AW464">
        <v>4</v>
      </c>
      <c r="AX464" t="s">
        <v>74</v>
      </c>
      <c r="AY464" t="s">
        <v>74</v>
      </c>
      <c r="AZ464" t="s">
        <v>74</v>
      </c>
      <c r="BA464" t="s">
        <v>74</v>
      </c>
      <c r="BB464">
        <v>411</v>
      </c>
      <c r="BC464">
        <v>420</v>
      </c>
      <c r="BD464" t="s">
        <v>74</v>
      </c>
      <c r="BE464" t="s">
        <v>8876</v>
      </c>
      <c r="BF464" t="str">
        <f>HYPERLINK("http://dx.doi.org/10.1016/j.polar.2011.08.001","http://dx.doi.org/10.1016/j.polar.2011.08.001")</f>
        <v>http://dx.doi.org/10.1016/j.polar.2011.08.001</v>
      </c>
      <c r="BG464" t="s">
        <v>74</v>
      </c>
      <c r="BH464" t="s">
        <v>74</v>
      </c>
      <c r="BI464">
        <v>10</v>
      </c>
      <c r="BJ464" t="s">
        <v>1551</v>
      </c>
      <c r="BK464" t="s">
        <v>100</v>
      </c>
      <c r="BL464" t="s">
        <v>1552</v>
      </c>
      <c r="BM464" t="s">
        <v>8877</v>
      </c>
      <c r="BN464" t="s">
        <v>74</v>
      </c>
      <c r="BO464" t="s">
        <v>316</v>
      </c>
      <c r="BP464" t="s">
        <v>74</v>
      </c>
      <c r="BQ464" t="s">
        <v>74</v>
      </c>
      <c r="BR464" t="s">
        <v>102</v>
      </c>
      <c r="BS464" t="s">
        <v>8878</v>
      </c>
      <c r="BT464" t="str">
        <f>HYPERLINK("https%3A%2F%2Fwww.webofscience.com%2Fwos%2Fwoscc%2Ffull-record%2FWOS:000209058000002","View Full Record in Web of Science")</f>
        <v>View Full Record in Web of Science</v>
      </c>
    </row>
    <row r="465" spans="1:72" x14ac:dyDescent="0.15">
      <c r="A465" t="s">
        <v>72</v>
      </c>
      <c r="B465" t="s">
        <v>8879</v>
      </c>
      <c r="C465" t="s">
        <v>74</v>
      </c>
      <c r="D465" t="s">
        <v>74</v>
      </c>
      <c r="E465" t="s">
        <v>74</v>
      </c>
      <c r="F465" t="s">
        <v>8880</v>
      </c>
      <c r="G465" t="s">
        <v>74</v>
      </c>
      <c r="H465" t="s">
        <v>74</v>
      </c>
      <c r="I465" t="s">
        <v>8881</v>
      </c>
      <c r="J465" t="s">
        <v>8859</v>
      </c>
      <c r="K465" t="s">
        <v>74</v>
      </c>
      <c r="L465" t="s">
        <v>74</v>
      </c>
      <c r="M465" t="s">
        <v>78</v>
      </c>
      <c r="N465" t="s">
        <v>79</v>
      </c>
      <c r="O465" t="s">
        <v>74</v>
      </c>
      <c r="P465" t="s">
        <v>74</v>
      </c>
      <c r="Q465" t="s">
        <v>74</v>
      </c>
      <c r="R465" t="s">
        <v>74</v>
      </c>
      <c r="S465" t="s">
        <v>74</v>
      </c>
      <c r="T465" t="s">
        <v>8882</v>
      </c>
      <c r="U465" t="s">
        <v>8883</v>
      </c>
      <c r="V465" t="s">
        <v>8884</v>
      </c>
      <c r="W465" t="s">
        <v>8885</v>
      </c>
      <c r="X465" t="s">
        <v>8886</v>
      </c>
      <c r="Y465" t="s">
        <v>8887</v>
      </c>
      <c r="Z465" t="s">
        <v>8888</v>
      </c>
      <c r="AA465" t="s">
        <v>74</v>
      </c>
      <c r="AB465" t="s">
        <v>8889</v>
      </c>
      <c r="AC465" t="s">
        <v>8890</v>
      </c>
      <c r="AD465" t="s">
        <v>8891</v>
      </c>
      <c r="AE465" t="s">
        <v>8892</v>
      </c>
      <c r="AF465" t="s">
        <v>74</v>
      </c>
      <c r="AG465">
        <v>25</v>
      </c>
      <c r="AH465">
        <v>3</v>
      </c>
      <c r="AI465">
        <v>3</v>
      </c>
      <c r="AJ465">
        <v>1</v>
      </c>
      <c r="AK465">
        <v>5</v>
      </c>
      <c r="AL465" t="s">
        <v>333</v>
      </c>
      <c r="AM465" t="s">
        <v>334</v>
      </c>
      <c r="AN465" t="s">
        <v>335</v>
      </c>
      <c r="AO465" t="s">
        <v>8872</v>
      </c>
      <c r="AP465" t="s">
        <v>8873</v>
      </c>
      <c r="AQ465" t="s">
        <v>74</v>
      </c>
      <c r="AR465" t="s">
        <v>8874</v>
      </c>
      <c r="AS465" t="s">
        <v>8875</v>
      </c>
      <c r="AT465" t="s">
        <v>7122</v>
      </c>
      <c r="AU465">
        <v>2011</v>
      </c>
      <c r="AV465">
        <v>5</v>
      </c>
      <c r="AW465">
        <v>4</v>
      </c>
      <c r="AX465" t="s">
        <v>74</v>
      </c>
      <c r="AY465" t="s">
        <v>74</v>
      </c>
      <c r="AZ465" t="s">
        <v>74</v>
      </c>
      <c r="BA465" t="s">
        <v>74</v>
      </c>
      <c r="BB465">
        <v>421</v>
      </c>
      <c r="BC465">
        <v>431</v>
      </c>
      <c r="BD465" t="s">
        <v>74</v>
      </c>
      <c r="BE465" t="s">
        <v>8893</v>
      </c>
      <c r="BF465" t="str">
        <f>HYPERLINK("http://dx.doi.org/10.1016/j.polar.2011.08.002","http://dx.doi.org/10.1016/j.polar.2011.08.002")</f>
        <v>http://dx.doi.org/10.1016/j.polar.2011.08.002</v>
      </c>
      <c r="BG465" t="s">
        <v>74</v>
      </c>
      <c r="BH465" t="s">
        <v>74</v>
      </c>
      <c r="BI465">
        <v>11</v>
      </c>
      <c r="BJ465" t="s">
        <v>1551</v>
      </c>
      <c r="BK465" t="s">
        <v>100</v>
      </c>
      <c r="BL465" t="s">
        <v>1552</v>
      </c>
      <c r="BM465" t="s">
        <v>8877</v>
      </c>
      <c r="BN465" t="s">
        <v>74</v>
      </c>
      <c r="BO465" t="s">
        <v>316</v>
      </c>
      <c r="BP465" t="s">
        <v>74</v>
      </c>
      <c r="BQ465" t="s">
        <v>74</v>
      </c>
      <c r="BR465" t="s">
        <v>102</v>
      </c>
      <c r="BS465" t="s">
        <v>8894</v>
      </c>
      <c r="BT465" t="str">
        <f>HYPERLINK("https%3A%2F%2Fwww.webofscience.com%2Fwos%2Fwoscc%2Ffull-record%2FWOS:000209058000003","View Full Record in Web of Science")</f>
        <v>View Full Record in Web of Science</v>
      </c>
    </row>
    <row r="466" spans="1:72" x14ac:dyDescent="0.15">
      <c r="A466" t="s">
        <v>72</v>
      </c>
      <c r="B466" t="s">
        <v>8895</v>
      </c>
      <c r="C466" t="s">
        <v>74</v>
      </c>
      <c r="D466" t="s">
        <v>74</v>
      </c>
      <c r="E466" t="s">
        <v>74</v>
      </c>
      <c r="F466" t="s">
        <v>8896</v>
      </c>
      <c r="G466" t="s">
        <v>74</v>
      </c>
      <c r="H466" t="s">
        <v>74</v>
      </c>
      <c r="I466" t="s">
        <v>8897</v>
      </c>
      <c r="J466" t="s">
        <v>8859</v>
      </c>
      <c r="K466" t="s">
        <v>74</v>
      </c>
      <c r="L466" t="s">
        <v>74</v>
      </c>
      <c r="M466" t="s">
        <v>78</v>
      </c>
      <c r="N466" t="s">
        <v>79</v>
      </c>
      <c r="O466" t="s">
        <v>74</v>
      </c>
      <c r="P466" t="s">
        <v>74</v>
      </c>
      <c r="Q466" t="s">
        <v>74</v>
      </c>
      <c r="R466" t="s">
        <v>74</v>
      </c>
      <c r="S466" t="s">
        <v>74</v>
      </c>
      <c r="T466" t="s">
        <v>8898</v>
      </c>
      <c r="U466" t="s">
        <v>74</v>
      </c>
      <c r="V466" t="s">
        <v>8899</v>
      </c>
      <c r="W466" t="s">
        <v>8900</v>
      </c>
      <c r="X466" t="s">
        <v>8901</v>
      </c>
      <c r="Y466" t="s">
        <v>8902</v>
      </c>
      <c r="Z466" t="s">
        <v>8903</v>
      </c>
      <c r="AA466" t="s">
        <v>74</v>
      </c>
      <c r="AB466" t="s">
        <v>74</v>
      </c>
      <c r="AC466" t="s">
        <v>74</v>
      </c>
      <c r="AD466" t="s">
        <v>74</v>
      </c>
      <c r="AE466" t="s">
        <v>74</v>
      </c>
      <c r="AF466" t="s">
        <v>74</v>
      </c>
      <c r="AG466">
        <v>17</v>
      </c>
      <c r="AH466">
        <v>1</v>
      </c>
      <c r="AI466">
        <v>1</v>
      </c>
      <c r="AJ466">
        <v>0</v>
      </c>
      <c r="AK466">
        <v>3</v>
      </c>
      <c r="AL466" t="s">
        <v>333</v>
      </c>
      <c r="AM466" t="s">
        <v>334</v>
      </c>
      <c r="AN466" t="s">
        <v>335</v>
      </c>
      <c r="AO466" t="s">
        <v>8872</v>
      </c>
      <c r="AP466" t="s">
        <v>8873</v>
      </c>
      <c r="AQ466" t="s">
        <v>74</v>
      </c>
      <c r="AR466" t="s">
        <v>8874</v>
      </c>
      <c r="AS466" t="s">
        <v>8875</v>
      </c>
      <c r="AT466" t="s">
        <v>7122</v>
      </c>
      <c r="AU466">
        <v>2011</v>
      </c>
      <c r="AV466">
        <v>5</v>
      </c>
      <c r="AW466">
        <v>4</v>
      </c>
      <c r="AX466" t="s">
        <v>74</v>
      </c>
      <c r="AY466" t="s">
        <v>74</v>
      </c>
      <c r="AZ466" t="s">
        <v>74</v>
      </c>
      <c r="BA466" t="s">
        <v>74</v>
      </c>
      <c r="BB466">
        <v>432</v>
      </c>
      <c r="BC466">
        <v>439</v>
      </c>
      <c r="BD466" t="s">
        <v>74</v>
      </c>
      <c r="BE466" t="s">
        <v>8904</v>
      </c>
      <c r="BF466" t="str">
        <f>HYPERLINK("http://dx.doi.org/10.1016/j.polar.2011.10.001","http://dx.doi.org/10.1016/j.polar.2011.10.001")</f>
        <v>http://dx.doi.org/10.1016/j.polar.2011.10.001</v>
      </c>
      <c r="BG466" t="s">
        <v>74</v>
      </c>
      <c r="BH466" t="s">
        <v>74</v>
      </c>
      <c r="BI466">
        <v>8</v>
      </c>
      <c r="BJ466" t="s">
        <v>1551</v>
      </c>
      <c r="BK466" t="s">
        <v>100</v>
      </c>
      <c r="BL466" t="s">
        <v>1552</v>
      </c>
      <c r="BM466" t="s">
        <v>8877</v>
      </c>
      <c r="BN466" t="s">
        <v>74</v>
      </c>
      <c r="BO466" t="s">
        <v>316</v>
      </c>
      <c r="BP466" t="s">
        <v>74</v>
      </c>
      <c r="BQ466" t="s">
        <v>74</v>
      </c>
      <c r="BR466" t="s">
        <v>102</v>
      </c>
      <c r="BS466" t="s">
        <v>8905</v>
      </c>
      <c r="BT466" t="str">
        <f>HYPERLINK("https%3A%2F%2Fwww.webofscience.com%2Fwos%2Fwoscc%2Ffull-record%2FWOS:000209058000004","View Full Record in Web of Science")</f>
        <v>View Full Record in Web of Science</v>
      </c>
    </row>
    <row r="467" spans="1:72" x14ac:dyDescent="0.15">
      <c r="A467" t="s">
        <v>72</v>
      </c>
      <c r="B467" t="s">
        <v>8906</v>
      </c>
      <c r="C467" t="s">
        <v>74</v>
      </c>
      <c r="D467" t="s">
        <v>74</v>
      </c>
      <c r="E467" t="s">
        <v>74</v>
      </c>
      <c r="F467" t="s">
        <v>8907</v>
      </c>
      <c r="G467" t="s">
        <v>74</v>
      </c>
      <c r="H467" t="s">
        <v>74</v>
      </c>
      <c r="I467" t="s">
        <v>8908</v>
      </c>
      <c r="J467" t="s">
        <v>7863</v>
      </c>
      <c r="K467" t="s">
        <v>74</v>
      </c>
      <c r="L467" t="s">
        <v>74</v>
      </c>
      <c r="M467" t="s">
        <v>78</v>
      </c>
      <c r="N467" t="s">
        <v>1513</v>
      </c>
      <c r="O467" t="s">
        <v>74</v>
      </c>
      <c r="P467" t="s">
        <v>74</v>
      </c>
      <c r="Q467" t="s">
        <v>74</v>
      </c>
      <c r="R467" t="s">
        <v>74</v>
      </c>
      <c r="S467" t="s">
        <v>74</v>
      </c>
      <c r="T467" t="s">
        <v>74</v>
      </c>
      <c r="U467" t="s">
        <v>8909</v>
      </c>
      <c r="V467" t="s">
        <v>8910</v>
      </c>
      <c r="W467" t="s">
        <v>8911</v>
      </c>
      <c r="X467" t="s">
        <v>8912</v>
      </c>
      <c r="Y467" t="s">
        <v>8913</v>
      </c>
      <c r="Z467" t="s">
        <v>8914</v>
      </c>
      <c r="AA467" t="s">
        <v>8915</v>
      </c>
      <c r="AB467" t="s">
        <v>8916</v>
      </c>
      <c r="AC467" t="s">
        <v>8917</v>
      </c>
      <c r="AD467" t="s">
        <v>8918</v>
      </c>
      <c r="AE467" t="s">
        <v>8919</v>
      </c>
      <c r="AF467" t="s">
        <v>74</v>
      </c>
      <c r="AG467">
        <v>55</v>
      </c>
      <c r="AH467">
        <v>76</v>
      </c>
      <c r="AI467">
        <v>81</v>
      </c>
      <c r="AJ467">
        <v>1</v>
      </c>
      <c r="AK467">
        <v>32</v>
      </c>
      <c r="AL467" t="s">
        <v>155</v>
      </c>
      <c r="AM467" t="s">
        <v>156</v>
      </c>
      <c r="AN467" t="s">
        <v>157</v>
      </c>
      <c r="AO467" t="s">
        <v>7873</v>
      </c>
      <c r="AP467" t="s">
        <v>74</v>
      </c>
      <c r="AQ467" t="s">
        <v>74</v>
      </c>
      <c r="AR467" t="s">
        <v>7874</v>
      </c>
      <c r="AS467" t="s">
        <v>7875</v>
      </c>
      <c r="AT467" t="s">
        <v>7122</v>
      </c>
      <c r="AU467">
        <v>2011</v>
      </c>
      <c r="AV467">
        <v>91</v>
      </c>
      <c r="AW467">
        <v>4</v>
      </c>
      <c r="AX467" t="s">
        <v>74</v>
      </c>
      <c r="AY467" t="s">
        <v>74</v>
      </c>
      <c r="AZ467" t="s">
        <v>74</v>
      </c>
      <c r="BA467" t="s">
        <v>74</v>
      </c>
      <c r="BB467">
        <v>482</v>
      </c>
      <c r="BC467">
        <v>495</v>
      </c>
      <c r="BD467" t="s">
        <v>74</v>
      </c>
      <c r="BE467" t="s">
        <v>8920</v>
      </c>
      <c r="BF467" t="str">
        <f>HYPERLINK("http://dx.doi.org/10.1016/j.pocean.2011.07.017","http://dx.doi.org/10.1016/j.pocean.2011.07.017")</f>
        <v>http://dx.doi.org/10.1016/j.pocean.2011.07.017</v>
      </c>
      <c r="BG467" t="s">
        <v>74</v>
      </c>
      <c r="BH467" t="s">
        <v>74</v>
      </c>
      <c r="BI467">
        <v>14</v>
      </c>
      <c r="BJ467" t="s">
        <v>496</v>
      </c>
      <c r="BK467" t="s">
        <v>100</v>
      </c>
      <c r="BL467" t="s">
        <v>496</v>
      </c>
      <c r="BM467" t="s">
        <v>7877</v>
      </c>
      <c r="BN467" t="s">
        <v>74</v>
      </c>
      <c r="BO467" t="s">
        <v>2679</v>
      </c>
      <c r="BP467" t="s">
        <v>74</v>
      </c>
      <c r="BQ467" t="s">
        <v>74</v>
      </c>
      <c r="BR467" t="s">
        <v>102</v>
      </c>
      <c r="BS467" t="s">
        <v>8921</v>
      </c>
      <c r="BT467" t="str">
        <f>HYPERLINK("https%3A%2F%2Fwww.webofscience.com%2Fwos%2Fwoscc%2Ffull-record%2FWOS:000298202000009","View Full Record in Web of Science")</f>
        <v>View Full Record in Web of Science</v>
      </c>
    </row>
    <row r="468" spans="1:72" x14ac:dyDescent="0.15">
      <c r="A468" t="s">
        <v>72</v>
      </c>
      <c r="B468" t="s">
        <v>8922</v>
      </c>
      <c r="C468" t="s">
        <v>74</v>
      </c>
      <c r="D468" t="s">
        <v>74</v>
      </c>
      <c r="E468" t="s">
        <v>74</v>
      </c>
      <c r="F468" t="s">
        <v>8923</v>
      </c>
      <c r="G468" t="s">
        <v>74</v>
      </c>
      <c r="H468" t="s">
        <v>74</v>
      </c>
      <c r="I468" t="s">
        <v>8924</v>
      </c>
      <c r="J468" t="s">
        <v>8925</v>
      </c>
      <c r="K468" t="s">
        <v>74</v>
      </c>
      <c r="L468" t="s">
        <v>74</v>
      </c>
      <c r="M468" t="s">
        <v>78</v>
      </c>
      <c r="N468" t="s">
        <v>79</v>
      </c>
      <c r="O468" t="s">
        <v>74</v>
      </c>
      <c r="P468" t="s">
        <v>74</v>
      </c>
      <c r="Q468" t="s">
        <v>74</v>
      </c>
      <c r="R468" t="s">
        <v>74</v>
      </c>
      <c r="S468" t="s">
        <v>74</v>
      </c>
      <c r="T468" t="s">
        <v>8926</v>
      </c>
      <c r="U468" t="s">
        <v>8927</v>
      </c>
      <c r="V468" t="s">
        <v>8928</v>
      </c>
      <c r="W468" t="s">
        <v>8929</v>
      </c>
      <c r="X468" t="s">
        <v>8930</v>
      </c>
      <c r="Y468" t="s">
        <v>8931</v>
      </c>
      <c r="Z468" t="s">
        <v>8932</v>
      </c>
      <c r="AA468" t="s">
        <v>8933</v>
      </c>
      <c r="AB468" t="s">
        <v>8934</v>
      </c>
      <c r="AC468" t="s">
        <v>8935</v>
      </c>
      <c r="AD468" t="s">
        <v>8936</v>
      </c>
      <c r="AE468" t="s">
        <v>8937</v>
      </c>
      <c r="AF468" t="s">
        <v>74</v>
      </c>
      <c r="AG468">
        <v>40</v>
      </c>
      <c r="AH468">
        <v>43</v>
      </c>
      <c r="AI468">
        <v>44</v>
      </c>
      <c r="AJ468">
        <v>0</v>
      </c>
      <c r="AK468">
        <v>30</v>
      </c>
      <c r="AL468" t="s">
        <v>155</v>
      </c>
      <c r="AM468" t="s">
        <v>156</v>
      </c>
      <c r="AN468" t="s">
        <v>157</v>
      </c>
      <c r="AO468" t="s">
        <v>8938</v>
      </c>
      <c r="AP468" t="s">
        <v>74</v>
      </c>
      <c r="AQ468" t="s">
        <v>74</v>
      </c>
      <c r="AR468" t="s">
        <v>8939</v>
      </c>
      <c r="AS468" t="s">
        <v>8940</v>
      </c>
      <c r="AT468" t="s">
        <v>7122</v>
      </c>
      <c r="AU468">
        <v>2011</v>
      </c>
      <c r="AV468">
        <v>30</v>
      </c>
      <c r="AW468" t="s">
        <v>6613</v>
      </c>
      <c r="AX468" t="s">
        <v>74</v>
      </c>
      <c r="AY468" t="s">
        <v>74</v>
      </c>
      <c r="AZ468" t="s">
        <v>74</v>
      </c>
      <c r="BA468" t="s">
        <v>74</v>
      </c>
      <c r="BB468">
        <v>3537</v>
      </c>
      <c r="BC468">
        <v>3541</v>
      </c>
      <c r="BD468" t="s">
        <v>74</v>
      </c>
      <c r="BE468" t="s">
        <v>8941</v>
      </c>
      <c r="BF468" t="str">
        <f>HYPERLINK("http://dx.doi.org/10.1016/j.quascirev.2011.09.007","http://dx.doi.org/10.1016/j.quascirev.2011.09.007")</f>
        <v>http://dx.doi.org/10.1016/j.quascirev.2011.09.007</v>
      </c>
      <c r="BG468" t="s">
        <v>74</v>
      </c>
      <c r="BH468" t="s">
        <v>74</v>
      </c>
      <c r="BI468">
        <v>5</v>
      </c>
      <c r="BJ468" t="s">
        <v>226</v>
      </c>
      <c r="BK468" t="s">
        <v>100</v>
      </c>
      <c r="BL468" t="s">
        <v>227</v>
      </c>
      <c r="BM468" t="s">
        <v>8942</v>
      </c>
      <c r="BN468" t="s">
        <v>74</v>
      </c>
      <c r="BO468" t="s">
        <v>342</v>
      </c>
      <c r="BP468" t="s">
        <v>74</v>
      </c>
      <c r="BQ468" t="s">
        <v>74</v>
      </c>
      <c r="BR468" t="s">
        <v>102</v>
      </c>
      <c r="BS468" t="s">
        <v>8943</v>
      </c>
      <c r="BT468" t="str">
        <f>HYPERLINK("https%3A%2F%2Fwww.webofscience.com%2Fwos%2Fwoscc%2Ffull-record%2FWOS:000298204000001","View Full Record in Web of Science")</f>
        <v>View Full Record in Web of Science</v>
      </c>
    </row>
    <row r="469" spans="1:72" x14ac:dyDescent="0.15">
      <c r="A469" t="s">
        <v>72</v>
      </c>
      <c r="B469" t="s">
        <v>8944</v>
      </c>
      <c r="C469" t="s">
        <v>74</v>
      </c>
      <c r="D469" t="s">
        <v>74</v>
      </c>
      <c r="E469" t="s">
        <v>74</v>
      </c>
      <c r="F469" t="s">
        <v>8945</v>
      </c>
      <c r="G469" t="s">
        <v>74</v>
      </c>
      <c r="H469" t="s">
        <v>74</v>
      </c>
      <c r="I469" t="s">
        <v>8946</v>
      </c>
      <c r="J469" t="s">
        <v>8925</v>
      </c>
      <c r="K469" t="s">
        <v>74</v>
      </c>
      <c r="L469" t="s">
        <v>74</v>
      </c>
      <c r="M469" t="s">
        <v>78</v>
      </c>
      <c r="N469" t="s">
        <v>79</v>
      </c>
      <c r="O469" t="s">
        <v>74</v>
      </c>
      <c r="P469" t="s">
        <v>74</v>
      </c>
      <c r="Q469" t="s">
        <v>74</v>
      </c>
      <c r="R469" t="s">
        <v>74</v>
      </c>
      <c r="S469" t="s">
        <v>74</v>
      </c>
      <c r="T469" t="s">
        <v>8947</v>
      </c>
      <c r="U469" t="s">
        <v>8948</v>
      </c>
      <c r="V469" t="s">
        <v>8949</v>
      </c>
      <c r="W469" t="s">
        <v>8950</v>
      </c>
      <c r="X469" t="s">
        <v>8951</v>
      </c>
      <c r="Y469" t="s">
        <v>8952</v>
      </c>
      <c r="Z469" t="s">
        <v>8953</v>
      </c>
      <c r="AA469" t="s">
        <v>8954</v>
      </c>
      <c r="AB469" t="s">
        <v>8955</v>
      </c>
      <c r="AC469" t="s">
        <v>8956</v>
      </c>
      <c r="AD469" t="s">
        <v>8957</v>
      </c>
      <c r="AE469" t="s">
        <v>8958</v>
      </c>
      <c r="AF469" t="s">
        <v>74</v>
      </c>
      <c r="AG469">
        <v>74</v>
      </c>
      <c r="AH469">
        <v>42</v>
      </c>
      <c r="AI469">
        <v>47</v>
      </c>
      <c r="AJ469">
        <v>0</v>
      </c>
      <c r="AK469">
        <v>19</v>
      </c>
      <c r="AL469" t="s">
        <v>155</v>
      </c>
      <c r="AM469" t="s">
        <v>156</v>
      </c>
      <c r="AN469" t="s">
        <v>157</v>
      </c>
      <c r="AO469" t="s">
        <v>8938</v>
      </c>
      <c r="AP469" t="s">
        <v>8959</v>
      </c>
      <c r="AQ469" t="s">
        <v>74</v>
      </c>
      <c r="AR469" t="s">
        <v>8939</v>
      </c>
      <c r="AS469" t="s">
        <v>8940</v>
      </c>
      <c r="AT469" t="s">
        <v>7122</v>
      </c>
      <c r="AU469">
        <v>2011</v>
      </c>
      <c r="AV469">
        <v>30</v>
      </c>
      <c r="AW469" t="s">
        <v>6613</v>
      </c>
      <c r="AX469" t="s">
        <v>74</v>
      </c>
      <c r="AY469" t="s">
        <v>74</v>
      </c>
      <c r="AZ469" t="s">
        <v>74</v>
      </c>
      <c r="BA469" t="s">
        <v>74</v>
      </c>
      <c r="BB469">
        <v>3603</v>
      </c>
      <c r="BC469">
        <v>3617</v>
      </c>
      <c r="BD469" t="s">
        <v>74</v>
      </c>
      <c r="BE469" t="s">
        <v>8960</v>
      </c>
      <c r="BF469" t="str">
        <f>HYPERLINK("http://dx.doi.org/10.1016/j.quascirev.2011.09.009","http://dx.doi.org/10.1016/j.quascirev.2011.09.009")</f>
        <v>http://dx.doi.org/10.1016/j.quascirev.2011.09.009</v>
      </c>
      <c r="BG469" t="s">
        <v>74</v>
      </c>
      <c r="BH469" t="s">
        <v>74</v>
      </c>
      <c r="BI469">
        <v>15</v>
      </c>
      <c r="BJ469" t="s">
        <v>226</v>
      </c>
      <c r="BK469" t="s">
        <v>100</v>
      </c>
      <c r="BL469" t="s">
        <v>227</v>
      </c>
      <c r="BM469" t="s">
        <v>8942</v>
      </c>
      <c r="BN469" t="s">
        <v>74</v>
      </c>
      <c r="BO469" t="s">
        <v>342</v>
      </c>
      <c r="BP469" t="s">
        <v>74</v>
      </c>
      <c r="BQ469" t="s">
        <v>74</v>
      </c>
      <c r="BR469" t="s">
        <v>102</v>
      </c>
      <c r="BS469" t="s">
        <v>8961</v>
      </c>
      <c r="BT469" t="str">
        <f>HYPERLINK("https%3A%2F%2Fwww.webofscience.com%2Fwos%2Fwoscc%2Ffull-record%2FWOS:000298204000005","View Full Record in Web of Science")</f>
        <v>View Full Record in Web of Science</v>
      </c>
    </row>
    <row r="470" spans="1:72" x14ac:dyDescent="0.15">
      <c r="A470" t="s">
        <v>72</v>
      </c>
      <c r="B470" t="s">
        <v>8962</v>
      </c>
      <c r="C470" t="s">
        <v>74</v>
      </c>
      <c r="D470" t="s">
        <v>74</v>
      </c>
      <c r="E470" t="s">
        <v>74</v>
      </c>
      <c r="F470" t="s">
        <v>8963</v>
      </c>
      <c r="G470" t="s">
        <v>74</v>
      </c>
      <c r="H470" t="s">
        <v>74</v>
      </c>
      <c r="I470" t="s">
        <v>8964</v>
      </c>
      <c r="J470" t="s">
        <v>8925</v>
      </c>
      <c r="K470" t="s">
        <v>74</v>
      </c>
      <c r="L470" t="s">
        <v>74</v>
      </c>
      <c r="M470" t="s">
        <v>78</v>
      </c>
      <c r="N470" t="s">
        <v>79</v>
      </c>
      <c r="O470" t="s">
        <v>74</v>
      </c>
      <c r="P470" t="s">
        <v>74</v>
      </c>
      <c r="Q470" t="s">
        <v>74</v>
      </c>
      <c r="R470" t="s">
        <v>74</v>
      </c>
      <c r="S470" t="s">
        <v>74</v>
      </c>
      <c r="T470" t="s">
        <v>8965</v>
      </c>
      <c r="U470" t="s">
        <v>8966</v>
      </c>
      <c r="V470" t="s">
        <v>8967</v>
      </c>
      <c r="W470" t="s">
        <v>8968</v>
      </c>
      <c r="X470" t="s">
        <v>8969</v>
      </c>
      <c r="Y470" t="s">
        <v>8970</v>
      </c>
      <c r="Z470" t="s">
        <v>8971</v>
      </c>
      <c r="AA470" t="s">
        <v>8972</v>
      </c>
      <c r="AB470" t="s">
        <v>8973</v>
      </c>
      <c r="AC470" t="s">
        <v>8974</v>
      </c>
      <c r="AD470" t="s">
        <v>8975</v>
      </c>
      <c r="AE470" t="s">
        <v>8976</v>
      </c>
      <c r="AF470" t="s">
        <v>74</v>
      </c>
      <c r="AG470">
        <v>71</v>
      </c>
      <c r="AH470">
        <v>29</v>
      </c>
      <c r="AI470">
        <v>34</v>
      </c>
      <c r="AJ470">
        <v>1</v>
      </c>
      <c r="AK470">
        <v>30</v>
      </c>
      <c r="AL470" t="s">
        <v>155</v>
      </c>
      <c r="AM470" t="s">
        <v>156</v>
      </c>
      <c r="AN470" t="s">
        <v>157</v>
      </c>
      <c r="AO470" t="s">
        <v>8938</v>
      </c>
      <c r="AP470" t="s">
        <v>74</v>
      </c>
      <c r="AQ470" t="s">
        <v>74</v>
      </c>
      <c r="AR470" t="s">
        <v>8939</v>
      </c>
      <c r="AS470" t="s">
        <v>8940</v>
      </c>
      <c r="AT470" t="s">
        <v>7122</v>
      </c>
      <c r="AU470">
        <v>2011</v>
      </c>
      <c r="AV470">
        <v>30</v>
      </c>
      <c r="AW470" t="s">
        <v>8977</v>
      </c>
      <c r="AX470" t="s">
        <v>74</v>
      </c>
      <c r="AY470" t="s">
        <v>74</v>
      </c>
      <c r="AZ470" t="s">
        <v>74</v>
      </c>
      <c r="BA470" t="s">
        <v>74</v>
      </c>
      <c r="BB470">
        <v>3791</v>
      </c>
      <c r="BC470">
        <v>3802</v>
      </c>
      <c r="BD470" t="s">
        <v>74</v>
      </c>
      <c r="BE470" t="s">
        <v>8978</v>
      </c>
      <c r="BF470" t="str">
        <f>HYPERLINK("http://dx.doi.org/10.1016/j.quascirev.2011.10.011","http://dx.doi.org/10.1016/j.quascirev.2011.10.011")</f>
        <v>http://dx.doi.org/10.1016/j.quascirev.2011.10.011</v>
      </c>
      <c r="BG470" t="s">
        <v>74</v>
      </c>
      <c r="BH470" t="s">
        <v>74</v>
      </c>
      <c r="BI470">
        <v>12</v>
      </c>
      <c r="BJ470" t="s">
        <v>226</v>
      </c>
      <c r="BK470" t="s">
        <v>100</v>
      </c>
      <c r="BL470" t="s">
        <v>227</v>
      </c>
      <c r="BM470" t="s">
        <v>8979</v>
      </c>
      <c r="BN470" t="s">
        <v>74</v>
      </c>
      <c r="BO470" t="s">
        <v>74</v>
      </c>
      <c r="BP470" t="s">
        <v>74</v>
      </c>
      <c r="BQ470" t="s">
        <v>74</v>
      </c>
      <c r="BR470" t="s">
        <v>102</v>
      </c>
      <c r="BS470" t="s">
        <v>8980</v>
      </c>
      <c r="BT470" t="str">
        <f>HYPERLINK("https%3A%2F%2Fwww.webofscience.com%2Fwos%2Fwoscc%2Ffull-record%2FWOS:000299198000004","View Full Record in Web of Science")</f>
        <v>View Full Record in Web of Science</v>
      </c>
    </row>
    <row r="471" spans="1:72" x14ac:dyDescent="0.15">
      <c r="A471" t="s">
        <v>72</v>
      </c>
      <c r="B471" t="s">
        <v>8981</v>
      </c>
      <c r="C471" t="s">
        <v>74</v>
      </c>
      <c r="D471" t="s">
        <v>74</v>
      </c>
      <c r="E471" t="s">
        <v>74</v>
      </c>
      <c r="F471" t="s">
        <v>8982</v>
      </c>
      <c r="G471" t="s">
        <v>74</v>
      </c>
      <c r="H471" t="s">
        <v>74</v>
      </c>
      <c r="I471" t="s">
        <v>8983</v>
      </c>
      <c r="J471" t="s">
        <v>8925</v>
      </c>
      <c r="K471" t="s">
        <v>74</v>
      </c>
      <c r="L471" t="s">
        <v>74</v>
      </c>
      <c r="M471" t="s">
        <v>78</v>
      </c>
      <c r="N471" t="s">
        <v>79</v>
      </c>
      <c r="O471" t="s">
        <v>74</v>
      </c>
      <c r="P471" t="s">
        <v>74</v>
      </c>
      <c r="Q471" t="s">
        <v>74</v>
      </c>
      <c r="R471" t="s">
        <v>74</v>
      </c>
      <c r="S471" t="s">
        <v>74</v>
      </c>
      <c r="T471" t="s">
        <v>8984</v>
      </c>
      <c r="U471" t="s">
        <v>8985</v>
      </c>
      <c r="V471" t="s">
        <v>8986</v>
      </c>
      <c r="W471" t="s">
        <v>8987</v>
      </c>
      <c r="X471" t="s">
        <v>8988</v>
      </c>
      <c r="Y471" t="s">
        <v>8989</v>
      </c>
      <c r="Z471" t="s">
        <v>8990</v>
      </c>
      <c r="AA471" t="s">
        <v>8991</v>
      </c>
      <c r="AB471" t="s">
        <v>8992</v>
      </c>
      <c r="AC471" t="s">
        <v>8993</v>
      </c>
      <c r="AD471" t="s">
        <v>8994</v>
      </c>
      <c r="AE471" t="s">
        <v>8995</v>
      </c>
      <c r="AF471" t="s">
        <v>74</v>
      </c>
      <c r="AG471">
        <v>135</v>
      </c>
      <c r="AH471">
        <v>22</v>
      </c>
      <c r="AI471">
        <v>23</v>
      </c>
      <c r="AJ471">
        <v>0</v>
      </c>
      <c r="AK471">
        <v>25</v>
      </c>
      <c r="AL471" t="s">
        <v>155</v>
      </c>
      <c r="AM471" t="s">
        <v>156</v>
      </c>
      <c r="AN471" t="s">
        <v>157</v>
      </c>
      <c r="AO471" t="s">
        <v>8938</v>
      </c>
      <c r="AP471" t="s">
        <v>74</v>
      </c>
      <c r="AQ471" t="s">
        <v>74</v>
      </c>
      <c r="AR471" t="s">
        <v>8939</v>
      </c>
      <c r="AS471" t="s">
        <v>8940</v>
      </c>
      <c r="AT471" t="s">
        <v>7122</v>
      </c>
      <c r="AU471">
        <v>2011</v>
      </c>
      <c r="AV471">
        <v>30</v>
      </c>
      <c r="AW471" t="s">
        <v>8977</v>
      </c>
      <c r="AX471" t="s">
        <v>74</v>
      </c>
      <c r="AY471" t="s">
        <v>74</v>
      </c>
      <c r="AZ471" t="s">
        <v>74</v>
      </c>
      <c r="BA471" t="s">
        <v>74</v>
      </c>
      <c r="BB471">
        <v>3823</v>
      </c>
      <c r="BC471">
        <v>3833</v>
      </c>
      <c r="BD471" t="s">
        <v>74</v>
      </c>
      <c r="BE471" t="s">
        <v>8996</v>
      </c>
      <c r="BF471" t="str">
        <f>HYPERLINK("http://dx.doi.org/10.1016/j.quascirev.2011.10.007","http://dx.doi.org/10.1016/j.quascirev.2011.10.007")</f>
        <v>http://dx.doi.org/10.1016/j.quascirev.2011.10.007</v>
      </c>
      <c r="BG471" t="s">
        <v>74</v>
      </c>
      <c r="BH471" t="s">
        <v>74</v>
      </c>
      <c r="BI471">
        <v>11</v>
      </c>
      <c r="BJ471" t="s">
        <v>226</v>
      </c>
      <c r="BK471" t="s">
        <v>100</v>
      </c>
      <c r="BL471" t="s">
        <v>227</v>
      </c>
      <c r="BM471" t="s">
        <v>8979</v>
      </c>
      <c r="BN471" t="s">
        <v>74</v>
      </c>
      <c r="BO471" t="s">
        <v>74</v>
      </c>
      <c r="BP471" t="s">
        <v>74</v>
      </c>
      <c r="BQ471" t="s">
        <v>74</v>
      </c>
      <c r="BR471" t="s">
        <v>102</v>
      </c>
      <c r="BS471" t="s">
        <v>8997</v>
      </c>
      <c r="BT471" t="str">
        <f>HYPERLINK("https%3A%2F%2Fwww.webofscience.com%2Fwos%2Fwoscc%2Ffull-record%2FWOS:000299198000007","View Full Record in Web of Science")</f>
        <v>View Full Record in Web of Science</v>
      </c>
    </row>
    <row r="472" spans="1:72" x14ac:dyDescent="0.15">
      <c r="A472" t="s">
        <v>72</v>
      </c>
      <c r="B472" t="s">
        <v>8998</v>
      </c>
      <c r="C472" t="s">
        <v>74</v>
      </c>
      <c r="D472" t="s">
        <v>74</v>
      </c>
      <c r="E472" t="s">
        <v>74</v>
      </c>
      <c r="F472" t="s">
        <v>8999</v>
      </c>
      <c r="G472" t="s">
        <v>74</v>
      </c>
      <c r="H472" t="s">
        <v>74</v>
      </c>
      <c r="I472" t="s">
        <v>9000</v>
      </c>
      <c r="J472" t="s">
        <v>9001</v>
      </c>
      <c r="K472" t="s">
        <v>74</v>
      </c>
      <c r="L472" t="s">
        <v>74</v>
      </c>
      <c r="M472" t="s">
        <v>78</v>
      </c>
      <c r="N472" t="s">
        <v>79</v>
      </c>
      <c r="O472" t="s">
        <v>74</v>
      </c>
      <c r="P472" t="s">
        <v>74</v>
      </c>
      <c r="Q472" t="s">
        <v>74</v>
      </c>
      <c r="R472" t="s">
        <v>74</v>
      </c>
      <c r="S472" t="s">
        <v>74</v>
      </c>
      <c r="T472" t="s">
        <v>9002</v>
      </c>
      <c r="U472" t="s">
        <v>9003</v>
      </c>
      <c r="V472" t="s">
        <v>9004</v>
      </c>
      <c r="W472" t="s">
        <v>9005</v>
      </c>
      <c r="X472" t="s">
        <v>9006</v>
      </c>
      <c r="Y472" t="s">
        <v>9007</v>
      </c>
      <c r="Z472" t="s">
        <v>9008</v>
      </c>
      <c r="AA472" t="s">
        <v>9009</v>
      </c>
      <c r="AB472" t="s">
        <v>9010</v>
      </c>
      <c r="AC472" t="s">
        <v>9011</v>
      </c>
      <c r="AD472" t="s">
        <v>9012</v>
      </c>
      <c r="AE472" t="s">
        <v>9013</v>
      </c>
      <c r="AF472" t="s">
        <v>74</v>
      </c>
      <c r="AG472">
        <v>45</v>
      </c>
      <c r="AH472">
        <v>118</v>
      </c>
      <c r="AI472">
        <v>136</v>
      </c>
      <c r="AJ472">
        <v>10</v>
      </c>
      <c r="AK472">
        <v>261</v>
      </c>
      <c r="AL472" t="s">
        <v>333</v>
      </c>
      <c r="AM472" t="s">
        <v>334</v>
      </c>
      <c r="AN472" t="s">
        <v>335</v>
      </c>
      <c r="AO472" t="s">
        <v>9014</v>
      </c>
      <c r="AP472" t="s">
        <v>9015</v>
      </c>
      <c r="AQ472" t="s">
        <v>74</v>
      </c>
      <c r="AR472" t="s">
        <v>9016</v>
      </c>
      <c r="AS472" t="s">
        <v>9017</v>
      </c>
      <c r="AT472" t="s">
        <v>7122</v>
      </c>
      <c r="AU472">
        <v>2011</v>
      </c>
      <c r="AV472">
        <v>162</v>
      </c>
      <c r="AW472">
        <v>10</v>
      </c>
      <c r="AX472" t="s">
        <v>74</v>
      </c>
      <c r="AY472" t="s">
        <v>74</v>
      </c>
      <c r="AZ472" t="s">
        <v>74</v>
      </c>
      <c r="BA472" t="s">
        <v>74</v>
      </c>
      <c r="BB472">
        <v>1018</v>
      </c>
      <c r="BC472">
        <v>1026</v>
      </c>
      <c r="BD472" t="s">
        <v>74</v>
      </c>
      <c r="BE472" t="s">
        <v>9018</v>
      </c>
      <c r="BF472" t="str">
        <f>HYPERLINK("http://dx.doi.org/10.1016/j.resmic.2011.07.007","http://dx.doi.org/10.1016/j.resmic.2011.07.007")</f>
        <v>http://dx.doi.org/10.1016/j.resmic.2011.07.007</v>
      </c>
      <c r="BG472" t="s">
        <v>74</v>
      </c>
      <c r="BH472" t="s">
        <v>74</v>
      </c>
      <c r="BI472">
        <v>9</v>
      </c>
      <c r="BJ472" t="s">
        <v>3089</v>
      </c>
      <c r="BK472" t="s">
        <v>100</v>
      </c>
      <c r="BL472" t="s">
        <v>3089</v>
      </c>
      <c r="BM472" t="s">
        <v>9019</v>
      </c>
      <c r="BN472">
        <v>21839168</v>
      </c>
      <c r="BO472" t="s">
        <v>316</v>
      </c>
      <c r="BP472" t="s">
        <v>74</v>
      </c>
      <c r="BQ472" t="s">
        <v>74</v>
      </c>
      <c r="BR472" t="s">
        <v>102</v>
      </c>
      <c r="BS472" t="s">
        <v>9020</v>
      </c>
      <c r="BT472" t="str">
        <f>HYPERLINK("https%3A%2F%2Fwww.webofscience.com%2Fwos%2Fwoscc%2Ffull-record%2FWOS:000298722500005","View Full Record in Web of Science")</f>
        <v>View Full Record in Web of Science</v>
      </c>
    </row>
    <row r="473" spans="1:72" x14ac:dyDescent="0.15">
      <c r="A473" t="s">
        <v>72</v>
      </c>
      <c r="B473" t="s">
        <v>9021</v>
      </c>
      <c r="C473" t="s">
        <v>74</v>
      </c>
      <c r="D473" t="s">
        <v>74</v>
      </c>
      <c r="E473" t="s">
        <v>74</v>
      </c>
      <c r="F473" t="s">
        <v>9022</v>
      </c>
      <c r="G473" t="s">
        <v>74</v>
      </c>
      <c r="H473" t="s">
        <v>74</v>
      </c>
      <c r="I473" t="s">
        <v>9023</v>
      </c>
      <c r="J473" t="s">
        <v>9024</v>
      </c>
      <c r="K473" t="s">
        <v>74</v>
      </c>
      <c r="L473" t="s">
        <v>74</v>
      </c>
      <c r="M473" t="s">
        <v>78</v>
      </c>
      <c r="N473" t="s">
        <v>79</v>
      </c>
      <c r="O473" t="s">
        <v>74</v>
      </c>
      <c r="P473" t="s">
        <v>74</v>
      </c>
      <c r="Q473" t="s">
        <v>74</v>
      </c>
      <c r="R473" t="s">
        <v>74</v>
      </c>
      <c r="S473" t="s">
        <v>74</v>
      </c>
      <c r="T473" t="s">
        <v>9025</v>
      </c>
      <c r="U473" t="s">
        <v>9026</v>
      </c>
      <c r="V473" t="s">
        <v>9027</v>
      </c>
      <c r="W473" t="s">
        <v>9028</v>
      </c>
      <c r="X473" t="s">
        <v>9029</v>
      </c>
      <c r="Y473" t="s">
        <v>9030</v>
      </c>
      <c r="Z473" t="s">
        <v>9031</v>
      </c>
      <c r="AA473" t="s">
        <v>74</v>
      </c>
      <c r="AB473" t="s">
        <v>9032</v>
      </c>
      <c r="AC473" t="s">
        <v>9033</v>
      </c>
      <c r="AD473" t="s">
        <v>9034</v>
      </c>
      <c r="AE473" t="s">
        <v>9035</v>
      </c>
      <c r="AF473" t="s">
        <v>74</v>
      </c>
      <c r="AG473">
        <v>41</v>
      </c>
      <c r="AH473">
        <v>14</v>
      </c>
      <c r="AI473">
        <v>15</v>
      </c>
      <c r="AJ473">
        <v>1</v>
      </c>
      <c r="AK473">
        <v>13</v>
      </c>
      <c r="AL473" t="s">
        <v>9036</v>
      </c>
      <c r="AM473" t="s">
        <v>9037</v>
      </c>
      <c r="AN473" t="s">
        <v>9038</v>
      </c>
      <c r="AO473" t="s">
        <v>9039</v>
      </c>
      <c r="AP473" t="s">
        <v>9040</v>
      </c>
      <c r="AQ473" t="s">
        <v>74</v>
      </c>
      <c r="AR473" t="s">
        <v>9041</v>
      </c>
      <c r="AS473" t="s">
        <v>9042</v>
      </c>
      <c r="AT473" t="s">
        <v>7122</v>
      </c>
      <c r="AU473">
        <v>2011</v>
      </c>
      <c r="AV473">
        <v>84</v>
      </c>
      <c r="AW473">
        <v>4</v>
      </c>
      <c r="AX473" t="s">
        <v>74</v>
      </c>
      <c r="AY473" t="s">
        <v>74</v>
      </c>
      <c r="AZ473" t="s">
        <v>74</v>
      </c>
      <c r="BA473" t="s">
        <v>74</v>
      </c>
      <c r="BB473">
        <v>481</v>
      </c>
      <c r="BC473">
        <v>499</v>
      </c>
      <c r="BD473" t="s">
        <v>74</v>
      </c>
      <c r="BE473" t="s">
        <v>9043</v>
      </c>
      <c r="BF473" t="str">
        <f>HYPERLINK("http://dx.doi.org/10.4067/S0716-078X2011000400002","http://dx.doi.org/10.4067/S0716-078X2011000400002")</f>
        <v>http://dx.doi.org/10.4067/S0716-078X2011000400002</v>
      </c>
      <c r="BG473" t="s">
        <v>74</v>
      </c>
      <c r="BH473" t="s">
        <v>74</v>
      </c>
      <c r="BI473">
        <v>19</v>
      </c>
      <c r="BJ473" t="s">
        <v>5300</v>
      </c>
      <c r="BK473" t="s">
        <v>100</v>
      </c>
      <c r="BL473" t="s">
        <v>3505</v>
      </c>
      <c r="BM473" t="s">
        <v>9044</v>
      </c>
      <c r="BN473" t="s">
        <v>74</v>
      </c>
      <c r="BO473" t="s">
        <v>1237</v>
      </c>
      <c r="BP473" t="s">
        <v>74</v>
      </c>
      <c r="BQ473" t="s">
        <v>74</v>
      </c>
      <c r="BR473" t="s">
        <v>102</v>
      </c>
      <c r="BS473" t="s">
        <v>9045</v>
      </c>
      <c r="BT473" t="str">
        <f>HYPERLINK("https%3A%2F%2Fwww.webofscience.com%2Fwos%2Fwoscc%2Ffull-record%2FWOS:000301396600002","View Full Record in Web of Science")</f>
        <v>View Full Record in Web of Science</v>
      </c>
    </row>
    <row r="474" spans="1:72" x14ac:dyDescent="0.15">
      <c r="A474" t="s">
        <v>72</v>
      </c>
      <c r="B474" t="s">
        <v>9046</v>
      </c>
      <c r="C474" t="s">
        <v>74</v>
      </c>
      <c r="D474" t="s">
        <v>74</v>
      </c>
      <c r="E474" t="s">
        <v>74</v>
      </c>
      <c r="F474" t="s">
        <v>9047</v>
      </c>
      <c r="G474" t="s">
        <v>74</v>
      </c>
      <c r="H474" t="s">
        <v>74</v>
      </c>
      <c r="I474" t="s">
        <v>9048</v>
      </c>
      <c r="J474" t="s">
        <v>9049</v>
      </c>
      <c r="K474" t="s">
        <v>74</v>
      </c>
      <c r="L474" t="s">
        <v>74</v>
      </c>
      <c r="M474" t="s">
        <v>78</v>
      </c>
      <c r="N474" t="s">
        <v>79</v>
      </c>
      <c r="O474" t="s">
        <v>74</v>
      </c>
      <c r="P474" t="s">
        <v>74</v>
      </c>
      <c r="Q474" t="s">
        <v>74</v>
      </c>
      <c r="R474" t="s">
        <v>74</v>
      </c>
      <c r="S474" t="s">
        <v>74</v>
      </c>
      <c r="T474" t="s">
        <v>9050</v>
      </c>
      <c r="U474" t="s">
        <v>9051</v>
      </c>
      <c r="V474" t="s">
        <v>9052</v>
      </c>
      <c r="W474" t="s">
        <v>9053</v>
      </c>
      <c r="X474" t="s">
        <v>9054</v>
      </c>
      <c r="Y474" t="s">
        <v>9055</v>
      </c>
      <c r="Z474" t="s">
        <v>9056</v>
      </c>
      <c r="AA474" t="s">
        <v>9057</v>
      </c>
      <c r="AB474" t="s">
        <v>9058</v>
      </c>
      <c r="AC474" t="s">
        <v>9059</v>
      </c>
      <c r="AD474" t="s">
        <v>8936</v>
      </c>
      <c r="AE474" t="s">
        <v>9060</v>
      </c>
      <c r="AF474" t="s">
        <v>74</v>
      </c>
      <c r="AG474">
        <v>58</v>
      </c>
      <c r="AH474">
        <v>33</v>
      </c>
      <c r="AI474">
        <v>36</v>
      </c>
      <c r="AJ474">
        <v>0</v>
      </c>
      <c r="AK474">
        <v>67</v>
      </c>
      <c r="AL474" t="s">
        <v>155</v>
      </c>
      <c r="AM474" t="s">
        <v>156</v>
      </c>
      <c r="AN474" t="s">
        <v>157</v>
      </c>
      <c r="AO474" t="s">
        <v>9061</v>
      </c>
      <c r="AP474" t="s">
        <v>74</v>
      </c>
      <c r="AQ474" t="s">
        <v>74</v>
      </c>
      <c r="AR474" t="s">
        <v>9062</v>
      </c>
      <c r="AS474" t="s">
        <v>9063</v>
      </c>
      <c r="AT474" t="s">
        <v>7122</v>
      </c>
      <c r="AU474">
        <v>2011</v>
      </c>
      <c r="AV474">
        <v>43</v>
      </c>
      <c r="AW474">
        <v>12</v>
      </c>
      <c r="AX474" t="s">
        <v>74</v>
      </c>
      <c r="AY474" t="s">
        <v>74</v>
      </c>
      <c r="AZ474" t="s">
        <v>74</v>
      </c>
      <c r="BA474" t="s">
        <v>74</v>
      </c>
      <c r="BB474">
        <v>2410</v>
      </c>
      <c r="BC474">
        <v>2416</v>
      </c>
      <c r="BD474" t="s">
        <v>74</v>
      </c>
      <c r="BE474" t="s">
        <v>9064</v>
      </c>
      <c r="BF474" t="str">
        <f>HYPERLINK("http://dx.doi.org/10.1016/j.soilbio.2011.08.006","http://dx.doi.org/10.1016/j.soilbio.2011.08.006")</f>
        <v>http://dx.doi.org/10.1016/j.soilbio.2011.08.006</v>
      </c>
      <c r="BG474" t="s">
        <v>74</v>
      </c>
      <c r="BH474" t="s">
        <v>74</v>
      </c>
      <c r="BI474">
        <v>7</v>
      </c>
      <c r="BJ474" t="s">
        <v>9065</v>
      </c>
      <c r="BK474" t="s">
        <v>100</v>
      </c>
      <c r="BL474" t="s">
        <v>803</v>
      </c>
      <c r="BM474" t="s">
        <v>9066</v>
      </c>
      <c r="BN474" t="s">
        <v>74</v>
      </c>
      <c r="BO474" t="s">
        <v>74</v>
      </c>
      <c r="BP474" t="s">
        <v>74</v>
      </c>
      <c r="BQ474" t="s">
        <v>74</v>
      </c>
      <c r="BR474" t="s">
        <v>102</v>
      </c>
      <c r="BS474" t="s">
        <v>9067</v>
      </c>
      <c r="BT474" t="str">
        <f>HYPERLINK("https%3A%2F%2Fwww.webofscience.com%2Fwos%2Fwoscc%2Ffull-record%2FWOS:000297084700007","View Full Record in Web of Science")</f>
        <v>View Full Record in Web of Science</v>
      </c>
    </row>
    <row r="475" spans="1:72" x14ac:dyDescent="0.15">
      <c r="A475" t="s">
        <v>72</v>
      </c>
      <c r="B475" t="s">
        <v>9068</v>
      </c>
      <c r="C475" t="s">
        <v>74</v>
      </c>
      <c r="D475" t="s">
        <v>74</v>
      </c>
      <c r="E475" t="s">
        <v>74</v>
      </c>
      <c r="F475" t="s">
        <v>9069</v>
      </c>
      <c r="G475" t="s">
        <v>74</v>
      </c>
      <c r="H475" t="s">
        <v>74</v>
      </c>
      <c r="I475" t="s">
        <v>9070</v>
      </c>
      <c r="J475" t="s">
        <v>9071</v>
      </c>
      <c r="K475" t="s">
        <v>74</v>
      </c>
      <c r="L475" t="s">
        <v>74</v>
      </c>
      <c r="M475" t="s">
        <v>78</v>
      </c>
      <c r="N475" t="s">
        <v>79</v>
      </c>
      <c r="O475" t="s">
        <v>74</v>
      </c>
      <c r="P475" t="s">
        <v>74</v>
      </c>
      <c r="Q475" t="s">
        <v>74</v>
      </c>
      <c r="R475" t="s">
        <v>74</v>
      </c>
      <c r="S475" t="s">
        <v>74</v>
      </c>
      <c r="T475" t="s">
        <v>74</v>
      </c>
      <c r="U475" t="s">
        <v>9072</v>
      </c>
      <c r="V475" t="s">
        <v>9073</v>
      </c>
      <c r="W475" t="s">
        <v>9074</v>
      </c>
      <c r="X475" t="s">
        <v>9075</v>
      </c>
      <c r="Y475" t="s">
        <v>9076</v>
      </c>
      <c r="Z475" t="s">
        <v>9077</v>
      </c>
      <c r="AA475" t="s">
        <v>9078</v>
      </c>
      <c r="AB475" t="s">
        <v>9079</v>
      </c>
      <c r="AC475" t="s">
        <v>9080</v>
      </c>
      <c r="AD475" t="s">
        <v>9081</v>
      </c>
      <c r="AE475" t="s">
        <v>9082</v>
      </c>
      <c r="AF475" t="s">
        <v>74</v>
      </c>
      <c r="AG475">
        <v>63</v>
      </c>
      <c r="AH475">
        <v>133</v>
      </c>
      <c r="AI475">
        <v>138</v>
      </c>
      <c r="AJ475">
        <v>0</v>
      </c>
      <c r="AK475">
        <v>12</v>
      </c>
      <c r="AL475" t="s">
        <v>250</v>
      </c>
      <c r="AM475" t="s">
        <v>251</v>
      </c>
      <c r="AN475" t="s">
        <v>252</v>
      </c>
      <c r="AO475" t="s">
        <v>9083</v>
      </c>
      <c r="AP475" t="s">
        <v>9084</v>
      </c>
      <c r="AQ475" t="s">
        <v>74</v>
      </c>
      <c r="AR475" t="s">
        <v>9085</v>
      </c>
      <c r="AS475" t="s">
        <v>9086</v>
      </c>
      <c r="AT475" t="s">
        <v>7122</v>
      </c>
      <c r="AU475">
        <v>2011</v>
      </c>
      <c r="AV475">
        <v>274</v>
      </c>
      <c r="AW475" t="s">
        <v>1776</v>
      </c>
      <c r="AX475" t="s">
        <v>74</v>
      </c>
      <c r="AY475" t="s">
        <v>74</v>
      </c>
      <c r="AZ475" t="s">
        <v>74</v>
      </c>
      <c r="BA475" t="s">
        <v>74</v>
      </c>
      <c r="BB475">
        <v>321</v>
      </c>
      <c r="BC475">
        <v>344</v>
      </c>
      <c r="BD475" t="s">
        <v>74</v>
      </c>
      <c r="BE475" t="s">
        <v>9087</v>
      </c>
      <c r="BF475" t="str">
        <f>HYPERLINK("http://dx.doi.org/10.1007/s11207-011-9737-2","http://dx.doi.org/10.1007/s11207-011-9737-2")</f>
        <v>http://dx.doi.org/10.1007/s11207-011-9737-2</v>
      </c>
      <c r="BG475" t="s">
        <v>74</v>
      </c>
      <c r="BH475" t="s">
        <v>74</v>
      </c>
      <c r="BI475">
        <v>24</v>
      </c>
      <c r="BJ475" t="s">
        <v>5208</v>
      </c>
      <c r="BK475" t="s">
        <v>100</v>
      </c>
      <c r="BL475" t="s">
        <v>5208</v>
      </c>
      <c r="BM475" t="s">
        <v>9088</v>
      </c>
      <c r="BN475" t="s">
        <v>74</v>
      </c>
      <c r="BO475" t="s">
        <v>316</v>
      </c>
      <c r="BP475" t="s">
        <v>74</v>
      </c>
      <c r="BQ475" t="s">
        <v>74</v>
      </c>
      <c r="BR475" t="s">
        <v>102</v>
      </c>
      <c r="BS475" t="s">
        <v>9089</v>
      </c>
      <c r="BT475" t="str">
        <f>HYPERLINK("https%3A%2F%2Fwww.webofscience.com%2Fwos%2Fwoscc%2Ffull-record%2FWOS:000298864400018","View Full Record in Web of Science")</f>
        <v>View Full Record in Web of Science</v>
      </c>
    </row>
    <row r="476" spans="1:72" x14ac:dyDescent="0.15">
      <c r="A476" t="s">
        <v>72</v>
      </c>
      <c r="B476" t="s">
        <v>9090</v>
      </c>
      <c r="C476" t="s">
        <v>74</v>
      </c>
      <c r="D476" t="s">
        <v>74</v>
      </c>
      <c r="E476" t="s">
        <v>74</v>
      </c>
      <c r="F476" t="s">
        <v>9091</v>
      </c>
      <c r="G476" t="s">
        <v>74</v>
      </c>
      <c r="H476" t="s">
        <v>74</v>
      </c>
      <c r="I476" t="s">
        <v>9092</v>
      </c>
      <c r="J476" t="s">
        <v>9093</v>
      </c>
      <c r="K476" t="s">
        <v>74</v>
      </c>
      <c r="L476" t="s">
        <v>74</v>
      </c>
      <c r="M476" t="s">
        <v>78</v>
      </c>
      <c r="N476" t="s">
        <v>79</v>
      </c>
      <c r="O476" t="s">
        <v>74</v>
      </c>
      <c r="P476" t="s">
        <v>74</v>
      </c>
      <c r="Q476" t="s">
        <v>74</v>
      </c>
      <c r="R476" t="s">
        <v>74</v>
      </c>
      <c r="S476" t="s">
        <v>74</v>
      </c>
      <c r="T476" t="s">
        <v>9094</v>
      </c>
      <c r="U476" t="s">
        <v>74</v>
      </c>
      <c r="V476" t="s">
        <v>9095</v>
      </c>
      <c r="W476" t="s">
        <v>9096</v>
      </c>
      <c r="X476" t="s">
        <v>9097</v>
      </c>
      <c r="Y476" t="s">
        <v>9098</v>
      </c>
      <c r="Z476" t="s">
        <v>9099</v>
      </c>
      <c r="AA476" t="s">
        <v>74</v>
      </c>
      <c r="AB476" t="s">
        <v>9100</v>
      </c>
      <c r="AC476" t="s">
        <v>9101</v>
      </c>
      <c r="AD476" t="s">
        <v>9102</v>
      </c>
      <c r="AE476" t="s">
        <v>9103</v>
      </c>
      <c r="AF476" t="s">
        <v>74</v>
      </c>
      <c r="AG476">
        <v>31</v>
      </c>
      <c r="AH476">
        <v>21</v>
      </c>
      <c r="AI476">
        <v>24</v>
      </c>
      <c r="AJ476">
        <v>2</v>
      </c>
      <c r="AK476">
        <v>19</v>
      </c>
      <c r="AL476" t="s">
        <v>2917</v>
      </c>
      <c r="AM476" t="s">
        <v>156</v>
      </c>
      <c r="AN476" t="s">
        <v>2918</v>
      </c>
      <c r="AO476" t="s">
        <v>9104</v>
      </c>
      <c r="AP476" t="s">
        <v>9105</v>
      </c>
      <c r="AQ476" t="s">
        <v>74</v>
      </c>
      <c r="AR476" t="s">
        <v>9106</v>
      </c>
      <c r="AS476" t="s">
        <v>9107</v>
      </c>
      <c r="AT476" t="s">
        <v>7212</v>
      </c>
      <c r="AU476">
        <v>2011</v>
      </c>
      <c r="AV476">
        <v>48</v>
      </c>
      <c r="AW476">
        <v>11</v>
      </c>
      <c r="AX476" t="s">
        <v>74</v>
      </c>
      <c r="AY476" t="s">
        <v>74</v>
      </c>
      <c r="AZ476" t="s">
        <v>74</v>
      </c>
      <c r="BA476" t="s">
        <v>74</v>
      </c>
      <c r="BB476">
        <v>1880</v>
      </c>
      <c r="BC476">
        <v>1889</v>
      </c>
      <c r="BD476" t="s">
        <v>74</v>
      </c>
      <c r="BE476" t="s">
        <v>9108</v>
      </c>
      <c r="BF476" t="str">
        <f>HYPERLINK("http://dx.doi.org/10.1016/j.asr.2011.04.026","http://dx.doi.org/10.1016/j.asr.2011.04.026")</f>
        <v>http://dx.doi.org/10.1016/j.asr.2011.04.026</v>
      </c>
      <c r="BG476" t="s">
        <v>74</v>
      </c>
      <c r="BH476" t="s">
        <v>74</v>
      </c>
      <c r="BI476">
        <v>10</v>
      </c>
      <c r="BJ476" t="s">
        <v>9109</v>
      </c>
      <c r="BK476" t="s">
        <v>100</v>
      </c>
      <c r="BL476" t="s">
        <v>9110</v>
      </c>
      <c r="BM476" t="s">
        <v>9111</v>
      </c>
      <c r="BN476" t="s">
        <v>74</v>
      </c>
      <c r="BO476" t="s">
        <v>74</v>
      </c>
      <c r="BP476" t="s">
        <v>74</v>
      </c>
      <c r="BQ476" t="s">
        <v>74</v>
      </c>
      <c r="BR476" t="s">
        <v>102</v>
      </c>
      <c r="BS476" t="s">
        <v>9112</v>
      </c>
      <c r="BT476" t="str">
        <f>HYPERLINK("https%3A%2F%2Fwww.webofscience.com%2Fwos%2Fwoscc%2Ffull-record%2FWOS:000296680100019","View Full Record in Web of Science")</f>
        <v>View Full Record in Web of Science</v>
      </c>
    </row>
    <row r="477" spans="1:72" x14ac:dyDescent="0.15">
      <c r="A477" t="s">
        <v>72</v>
      </c>
      <c r="B477" t="s">
        <v>9113</v>
      </c>
      <c r="C477" t="s">
        <v>74</v>
      </c>
      <c r="D477" t="s">
        <v>74</v>
      </c>
      <c r="E477" t="s">
        <v>74</v>
      </c>
      <c r="F477" t="s">
        <v>9114</v>
      </c>
      <c r="G477" t="s">
        <v>74</v>
      </c>
      <c r="H477" t="s">
        <v>74</v>
      </c>
      <c r="I477" t="s">
        <v>9115</v>
      </c>
      <c r="J477" t="s">
        <v>2376</v>
      </c>
      <c r="K477" t="s">
        <v>74</v>
      </c>
      <c r="L477" t="s">
        <v>74</v>
      </c>
      <c r="M477" t="s">
        <v>78</v>
      </c>
      <c r="N477" t="s">
        <v>79</v>
      </c>
      <c r="O477" t="s">
        <v>74</v>
      </c>
      <c r="P477" t="s">
        <v>74</v>
      </c>
      <c r="Q477" t="s">
        <v>74</v>
      </c>
      <c r="R477" t="s">
        <v>74</v>
      </c>
      <c r="S477" t="s">
        <v>74</v>
      </c>
      <c r="T477" t="s">
        <v>9116</v>
      </c>
      <c r="U477" t="s">
        <v>9117</v>
      </c>
      <c r="V477" t="s">
        <v>9118</v>
      </c>
      <c r="W477" t="s">
        <v>9119</v>
      </c>
      <c r="X477" t="s">
        <v>9120</v>
      </c>
      <c r="Y477" t="s">
        <v>9121</v>
      </c>
      <c r="Z477" t="s">
        <v>9122</v>
      </c>
      <c r="AA477" t="s">
        <v>9123</v>
      </c>
      <c r="AB477" t="s">
        <v>9124</v>
      </c>
      <c r="AC477" t="s">
        <v>9125</v>
      </c>
      <c r="AD477" t="s">
        <v>9126</v>
      </c>
      <c r="AE477" t="s">
        <v>9127</v>
      </c>
      <c r="AF477" t="s">
        <v>74</v>
      </c>
      <c r="AG477">
        <v>71</v>
      </c>
      <c r="AH477">
        <v>31</v>
      </c>
      <c r="AI477">
        <v>35</v>
      </c>
      <c r="AJ477">
        <v>1</v>
      </c>
      <c r="AK477">
        <v>26</v>
      </c>
      <c r="AL477" t="s">
        <v>155</v>
      </c>
      <c r="AM477" t="s">
        <v>156</v>
      </c>
      <c r="AN477" t="s">
        <v>157</v>
      </c>
      <c r="AO477" t="s">
        <v>2387</v>
      </c>
      <c r="AP477" t="s">
        <v>74</v>
      </c>
      <c r="AQ477" t="s">
        <v>74</v>
      </c>
      <c r="AR477" t="s">
        <v>2389</v>
      </c>
      <c r="AS477" t="s">
        <v>2390</v>
      </c>
      <c r="AT477" t="s">
        <v>7212</v>
      </c>
      <c r="AU477">
        <v>2011</v>
      </c>
      <c r="AV477">
        <v>58</v>
      </c>
      <c r="AW477" t="s">
        <v>9128</v>
      </c>
      <c r="AX477" t="s">
        <v>74</v>
      </c>
      <c r="AY477" t="s">
        <v>74</v>
      </c>
      <c r="AZ477" t="s">
        <v>74</v>
      </c>
      <c r="BA477" t="s">
        <v>74</v>
      </c>
      <c r="BB477">
        <v>2477</v>
      </c>
      <c r="BC477">
        <v>2488</v>
      </c>
      <c r="BD477" t="s">
        <v>74</v>
      </c>
      <c r="BE477" t="s">
        <v>9129</v>
      </c>
      <c r="BF477" t="str">
        <f>HYPERLINK("http://dx.doi.org/10.1016/j.dsr2.2011.04.010","http://dx.doi.org/10.1016/j.dsr2.2011.04.010")</f>
        <v>http://dx.doi.org/10.1016/j.dsr2.2011.04.010</v>
      </c>
      <c r="BG477" t="s">
        <v>74</v>
      </c>
      <c r="BH477" t="s">
        <v>74</v>
      </c>
      <c r="BI477">
        <v>12</v>
      </c>
      <c r="BJ477" t="s">
        <v>496</v>
      </c>
      <c r="BK477" t="s">
        <v>100</v>
      </c>
      <c r="BL477" t="s">
        <v>496</v>
      </c>
      <c r="BM477" t="s">
        <v>9130</v>
      </c>
      <c r="BN477" t="s">
        <v>74</v>
      </c>
      <c r="BO477" t="s">
        <v>74</v>
      </c>
      <c r="BP477" t="s">
        <v>74</v>
      </c>
      <c r="BQ477" t="s">
        <v>74</v>
      </c>
      <c r="BR477" t="s">
        <v>102</v>
      </c>
      <c r="BS477" t="s">
        <v>9131</v>
      </c>
      <c r="BT477" t="str">
        <f>HYPERLINK("https%3A%2F%2Fwww.webofscience.com%2Fwos%2Fwoscc%2Ffull-record%2FWOS:000296932200012","View Full Record in Web of Science")</f>
        <v>View Full Record in Web of Science</v>
      </c>
    </row>
    <row r="478" spans="1:72" x14ac:dyDescent="0.15">
      <c r="A478" t="s">
        <v>72</v>
      </c>
      <c r="B478" t="s">
        <v>9132</v>
      </c>
      <c r="C478" t="s">
        <v>74</v>
      </c>
      <c r="D478" t="s">
        <v>74</v>
      </c>
      <c r="E478" t="s">
        <v>74</v>
      </c>
      <c r="F478" t="s">
        <v>9133</v>
      </c>
      <c r="G478" t="s">
        <v>74</v>
      </c>
      <c r="H478" t="s">
        <v>74</v>
      </c>
      <c r="I478" t="s">
        <v>9134</v>
      </c>
      <c r="J478" t="s">
        <v>2904</v>
      </c>
      <c r="K478" t="s">
        <v>74</v>
      </c>
      <c r="L478" t="s">
        <v>74</v>
      </c>
      <c r="M478" t="s">
        <v>78</v>
      </c>
      <c r="N478" t="s">
        <v>79</v>
      </c>
      <c r="O478" t="s">
        <v>74</v>
      </c>
      <c r="P478" t="s">
        <v>74</v>
      </c>
      <c r="Q478" t="s">
        <v>74</v>
      </c>
      <c r="R478" t="s">
        <v>74</v>
      </c>
      <c r="S478" t="s">
        <v>74</v>
      </c>
      <c r="T478" t="s">
        <v>9135</v>
      </c>
      <c r="U478" t="s">
        <v>9136</v>
      </c>
      <c r="V478" t="s">
        <v>9137</v>
      </c>
      <c r="W478" t="s">
        <v>9138</v>
      </c>
      <c r="X478" t="s">
        <v>7893</v>
      </c>
      <c r="Y478" t="s">
        <v>9139</v>
      </c>
      <c r="Z478" t="s">
        <v>9140</v>
      </c>
      <c r="AA478" t="s">
        <v>9141</v>
      </c>
      <c r="AB478" t="s">
        <v>9142</v>
      </c>
      <c r="AC478" t="s">
        <v>9143</v>
      </c>
      <c r="AD478" t="s">
        <v>9144</v>
      </c>
      <c r="AE478" t="s">
        <v>9145</v>
      </c>
      <c r="AF478" t="s">
        <v>74</v>
      </c>
      <c r="AG478">
        <v>42</v>
      </c>
      <c r="AH478">
        <v>17</v>
      </c>
      <c r="AI478">
        <v>23</v>
      </c>
      <c r="AJ478">
        <v>7</v>
      </c>
      <c r="AK478">
        <v>84</v>
      </c>
      <c r="AL478" t="s">
        <v>2917</v>
      </c>
      <c r="AM478" t="s">
        <v>156</v>
      </c>
      <c r="AN478" t="s">
        <v>2918</v>
      </c>
      <c r="AO478" t="s">
        <v>2919</v>
      </c>
      <c r="AP478" t="s">
        <v>2920</v>
      </c>
      <c r="AQ478" t="s">
        <v>74</v>
      </c>
      <c r="AR478" t="s">
        <v>2921</v>
      </c>
      <c r="AS478" t="s">
        <v>2922</v>
      </c>
      <c r="AT478" t="s">
        <v>7122</v>
      </c>
      <c r="AU478">
        <v>2011</v>
      </c>
      <c r="AV478">
        <v>159</v>
      </c>
      <c r="AW478">
        <v>12</v>
      </c>
      <c r="AX478" t="s">
        <v>74</v>
      </c>
      <c r="AY478" t="s">
        <v>74</v>
      </c>
      <c r="AZ478" t="s">
        <v>74</v>
      </c>
      <c r="BA478" t="s">
        <v>74</v>
      </c>
      <c r="BB478">
        <v>3496</v>
      </c>
      <c r="BC478">
        <v>3503</v>
      </c>
      <c r="BD478" t="s">
        <v>74</v>
      </c>
      <c r="BE478" t="s">
        <v>9146</v>
      </c>
      <c r="BF478" t="str">
        <f>HYPERLINK("http://dx.doi.org/10.1016/j.envpol.2011.08.026","http://dx.doi.org/10.1016/j.envpol.2011.08.026")</f>
        <v>http://dx.doi.org/10.1016/j.envpol.2011.08.026</v>
      </c>
      <c r="BG478" t="s">
        <v>74</v>
      </c>
      <c r="BH478" t="s">
        <v>74</v>
      </c>
      <c r="BI478">
        <v>8</v>
      </c>
      <c r="BJ478" t="s">
        <v>2924</v>
      </c>
      <c r="BK478" t="s">
        <v>100</v>
      </c>
      <c r="BL478" t="s">
        <v>2837</v>
      </c>
      <c r="BM478" t="s">
        <v>9147</v>
      </c>
      <c r="BN478">
        <v>21907472</v>
      </c>
      <c r="BO478" t="s">
        <v>74</v>
      </c>
      <c r="BP478" t="s">
        <v>74</v>
      </c>
      <c r="BQ478" t="s">
        <v>74</v>
      </c>
      <c r="BR478" t="s">
        <v>102</v>
      </c>
      <c r="BS478" t="s">
        <v>9148</v>
      </c>
      <c r="BT478" t="str">
        <f>HYPERLINK("https%3A%2F%2Fwww.webofscience.com%2Fwos%2Fwoscc%2Ffull-record%2FWOS:000296397300030","View Full Record in Web of Science")</f>
        <v>View Full Record in Web of Science</v>
      </c>
    </row>
    <row r="479" spans="1:72" x14ac:dyDescent="0.15">
      <c r="A479" t="s">
        <v>72</v>
      </c>
      <c r="B479" t="s">
        <v>9149</v>
      </c>
      <c r="C479" t="s">
        <v>74</v>
      </c>
      <c r="D479" t="s">
        <v>74</v>
      </c>
      <c r="E479" t="s">
        <v>74</v>
      </c>
      <c r="F479" t="s">
        <v>9150</v>
      </c>
      <c r="G479" t="s">
        <v>74</v>
      </c>
      <c r="H479" t="s">
        <v>74</v>
      </c>
      <c r="I479" t="s">
        <v>9151</v>
      </c>
      <c r="J479" t="s">
        <v>9152</v>
      </c>
      <c r="K479" t="s">
        <v>74</v>
      </c>
      <c r="L479" t="s">
        <v>74</v>
      </c>
      <c r="M479" t="s">
        <v>78</v>
      </c>
      <c r="N479" t="s">
        <v>79</v>
      </c>
      <c r="O479" t="s">
        <v>74</v>
      </c>
      <c r="P479" t="s">
        <v>74</v>
      </c>
      <c r="Q479" t="s">
        <v>74</v>
      </c>
      <c r="R479" t="s">
        <v>74</v>
      </c>
      <c r="S479" t="s">
        <v>74</v>
      </c>
      <c r="T479" t="s">
        <v>74</v>
      </c>
      <c r="U479" t="s">
        <v>9153</v>
      </c>
      <c r="V479" t="s">
        <v>9154</v>
      </c>
      <c r="W479" t="s">
        <v>9155</v>
      </c>
      <c r="X479" t="s">
        <v>9156</v>
      </c>
      <c r="Y479" t="s">
        <v>9157</v>
      </c>
      <c r="Z479" t="s">
        <v>9158</v>
      </c>
      <c r="AA479" t="s">
        <v>9159</v>
      </c>
      <c r="AB479" t="s">
        <v>9160</v>
      </c>
      <c r="AC479" t="s">
        <v>9161</v>
      </c>
      <c r="AD479" t="s">
        <v>9162</v>
      </c>
      <c r="AE479" t="s">
        <v>9163</v>
      </c>
      <c r="AF479" t="s">
        <v>74</v>
      </c>
      <c r="AG479">
        <v>10</v>
      </c>
      <c r="AH479">
        <v>10</v>
      </c>
      <c r="AI479">
        <v>10</v>
      </c>
      <c r="AJ479">
        <v>0</v>
      </c>
      <c r="AK479">
        <v>6</v>
      </c>
      <c r="AL479" t="s">
        <v>984</v>
      </c>
      <c r="AM479" t="s">
        <v>985</v>
      </c>
      <c r="AN479" t="s">
        <v>986</v>
      </c>
      <c r="AO479" t="s">
        <v>9164</v>
      </c>
      <c r="AP479" t="s">
        <v>9165</v>
      </c>
      <c r="AQ479" t="s">
        <v>74</v>
      </c>
      <c r="AR479" t="s">
        <v>9166</v>
      </c>
      <c r="AS479" t="s">
        <v>9167</v>
      </c>
      <c r="AT479" t="s">
        <v>7122</v>
      </c>
      <c r="AU479">
        <v>2011</v>
      </c>
      <c r="AV479">
        <v>193</v>
      </c>
      <c r="AW479">
        <v>23</v>
      </c>
      <c r="AX479" t="s">
        <v>74</v>
      </c>
      <c r="AY479" t="s">
        <v>74</v>
      </c>
      <c r="AZ479" t="s">
        <v>74</v>
      </c>
      <c r="BA479" t="s">
        <v>74</v>
      </c>
      <c r="BB479">
        <v>6797</v>
      </c>
      <c r="BC479">
        <v>6798</v>
      </c>
      <c r="BD479" t="s">
        <v>74</v>
      </c>
      <c r="BE479" t="s">
        <v>9168</v>
      </c>
      <c r="BF479" t="str">
        <f>HYPERLINK("http://dx.doi.org/10.1128/JB.06245-11","http://dx.doi.org/10.1128/JB.06245-11")</f>
        <v>http://dx.doi.org/10.1128/JB.06245-11</v>
      </c>
      <c r="BG479" t="s">
        <v>74</v>
      </c>
      <c r="BH479" t="s">
        <v>74</v>
      </c>
      <c r="BI479">
        <v>2</v>
      </c>
      <c r="BJ479" t="s">
        <v>3089</v>
      </c>
      <c r="BK479" t="s">
        <v>100</v>
      </c>
      <c r="BL479" t="s">
        <v>3089</v>
      </c>
      <c r="BM479" t="s">
        <v>9169</v>
      </c>
      <c r="BN479">
        <v>22072650</v>
      </c>
      <c r="BO479" t="s">
        <v>6160</v>
      </c>
      <c r="BP479" t="s">
        <v>74</v>
      </c>
      <c r="BQ479" t="s">
        <v>74</v>
      </c>
      <c r="BR479" t="s">
        <v>102</v>
      </c>
      <c r="BS479" t="s">
        <v>9170</v>
      </c>
      <c r="BT479" t="str">
        <f>HYPERLINK("https%3A%2F%2Fwww.webofscience.com%2Fwos%2Fwoscc%2Ffull-record%2FWOS:000296795600043","View Full Record in Web of Science")</f>
        <v>View Full Record in Web of Science</v>
      </c>
    </row>
    <row r="480" spans="1:72" x14ac:dyDescent="0.15">
      <c r="A480" t="s">
        <v>72</v>
      </c>
      <c r="B480" t="s">
        <v>9171</v>
      </c>
      <c r="C480" t="s">
        <v>74</v>
      </c>
      <c r="D480" t="s">
        <v>74</v>
      </c>
      <c r="E480" t="s">
        <v>74</v>
      </c>
      <c r="F480" t="s">
        <v>9172</v>
      </c>
      <c r="G480" t="s">
        <v>74</v>
      </c>
      <c r="H480" t="s">
        <v>74</v>
      </c>
      <c r="I480" t="s">
        <v>9173</v>
      </c>
      <c r="J480" t="s">
        <v>9174</v>
      </c>
      <c r="K480" t="s">
        <v>74</v>
      </c>
      <c r="L480" t="s">
        <v>74</v>
      </c>
      <c r="M480" t="s">
        <v>78</v>
      </c>
      <c r="N480" t="s">
        <v>1513</v>
      </c>
      <c r="O480" t="s">
        <v>74</v>
      </c>
      <c r="P480" t="s">
        <v>74</v>
      </c>
      <c r="Q480" t="s">
        <v>74</v>
      </c>
      <c r="R480" t="s">
        <v>74</v>
      </c>
      <c r="S480" t="s">
        <v>74</v>
      </c>
      <c r="T480" t="s">
        <v>9175</v>
      </c>
      <c r="U480" t="s">
        <v>9176</v>
      </c>
      <c r="V480" t="s">
        <v>9177</v>
      </c>
      <c r="W480" t="s">
        <v>9178</v>
      </c>
      <c r="X480" t="s">
        <v>9179</v>
      </c>
      <c r="Y480" t="s">
        <v>9180</v>
      </c>
      <c r="Z480" t="s">
        <v>9181</v>
      </c>
      <c r="AA480" t="s">
        <v>74</v>
      </c>
      <c r="AB480" t="s">
        <v>9182</v>
      </c>
      <c r="AC480" t="s">
        <v>74</v>
      </c>
      <c r="AD480" t="s">
        <v>74</v>
      </c>
      <c r="AE480" t="s">
        <v>74</v>
      </c>
      <c r="AF480" t="s">
        <v>74</v>
      </c>
      <c r="AG480">
        <v>68</v>
      </c>
      <c r="AH480">
        <v>58</v>
      </c>
      <c r="AI480">
        <v>65</v>
      </c>
      <c r="AJ480">
        <v>1</v>
      </c>
      <c r="AK480">
        <v>58</v>
      </c>
      <c r="AL480" t="s">
        <v>3864</v>
      </c>
      <c r="AM480" t="s">
        <v>221</v>
      </c>
      <c r="AN480" t="s">
        <v>3865</v>
      </c>
      <c r="AO480" t="s">
        <v>9183</v>
      </c>
      <c r="AP480" t="s">
        <v>9184</v>
      </c>
      <c r="AQ480" t="s">
        <v>74</v>
      </c>
      <c r="AR480" t="s">
        <v>9185</v>
      </c>
      <c r="AS480" t="s">
        <v>9186</v>
      </c>
      <c r="AT480" t="s">
        <v>7122</v>
      </c>
      <c r="AU480">
        <v>2011</v>
      </c>
      <c r="AV480">
        <v>31</v>
      </c>
      <c r="AW480">
        <v>4</v>
      </c>
      <c r="AX480" t="s">
        <v>74</v>
      </c>
      <c r="AY480" t="s">
        <v>74</v>
      </c>
      <c r="AZ480" t="s">
        <v>74</v>
      </c>
      <c r="BA480" t="s">
        <v>74</v>
      </c>
      <c r="BB480">
        <v>353</v>
      </c>
      <c r="BC480">
        <v>360</v>
      </c>
      <c r="BD480" t="s">
        <v>74</v>
      </c>
      <c r="BE480" t="s">
        <v>9187</v>
      </c>
      <c r="BF480" t="str">
        <f>HYPERLINK("http://dx.doi.org/10.1016/j.jenvp.2011.08.001","http://dx.doi.org/10.1016/j.jenvp.2011.08.001")</f>
        <v>http://dx.doi.org/10.1016/j.jenvp.2011.08.001</v>
      </c>
      <c r="BG480" t="s">
        <v>74</v>
      </c>
      <c r="BH480" t="s">
        <v>74</v>
      </c>
      <c r="BI480">
        <v>8</v>
      </c>
      <c r="BJ480" t="s">
        <v>9188</v>
      </c>
      <c r="BK480" t="s">
        <v>6025</v>
      </c>
      <c r="BL480" t="s">
        <v>9189</v>
      </c>
      <c r="BM480" t="s">
        <v>9190</v>
      </c>
      <c r="BN480" t="s">
        <v>74</v>
      </c>
      <c r="BO480" t="s">
        <v>74</v>
      </c>
      <c r="BP480" t="s">
        <v>74</v>
      </c>
      <c r="BQ480" t="s">
        <v>74</v>
      </c>
      <c r="BR480" t="s">
        <v>102</v>
      </c>
      <c r="BS480" t="s">
        <v>9191</v>
      </c>
      <c r="BT480" t="str">
        <f>HYPERLINK("https%3A%2F%2Fwww.webofscience.com%2Fwos%2Fwoscc%2Ffull-record%2FWOS:000296547100010","View Full Record in Web of Science")</f>
        <v>View Full Record in Web of Science</v>
      </c>
    </row>
    <row r="481" spans="1:72" x14ac:dyDescent="0.15">
      <c r="A481" t="s">
        <v>72</v>
      </c>
      <c r="B481" t="s">
        <v>9192</v>
      </c>
      <c r="C481" t="s">
        <v>74</v>
      </c>
      <c r="D481" t="s">
        <v>74</v>
      </c>
      <c r="E481" t="s">
        <v>74</v>
      </c>
      <c r="F481" t="s">
        <v>9193</v>
      </c>
      <c r="G481" t="s">
        <v>74</v>
      </c>
      <c r="H481" t="s">
        <v>74</v>
      </c>
      <c r="I481" t="s">
        <v>9194</v>
      </c>
      <c r="J481" t="s">
        <v>9195</v>
      </c>
      <c r="K481" t="s">
        <v>74</v>
      </c>
      <c r="L481" t="s">
        <v>74</v>
      </c>
      <c r="M481" t="s">
        <v>78</v>
      </c>
      <c r="N481" t="s">
        <v>79</v>
      </c>
      <c r="O481" t="s">
        <v>74</v>
      </c>
      <c r="P481" t="s">
        <v>74</v>
      </c>
      <c r="Q481" t="s">
        <v>74</v>
      </c>
      <c r="R481" t="s">
        <v>74</v>
      </c>
      <c r="S481" t="s">
        <v>74</v>
      </c>
      <c r="T481" t="s">
        <v>9196</v>
      </c>
      <c r="U481" t="s">
        <v>74</v>
      </c>
      <c r="V481" t="s">
        <v>9197</v>
      </c>
      <c r="W481" t="s">
        <v>9198</v>
      </c>
      <c r="X481" t="s">
        <v>9199</v>
      </c>
      <c r="Y481" t="s">
        <v>9200</v>
      </c>
      <c r="Z481" t="s">
        <v>9201</v>
      </c>
      <c r="AA481" t="s">
        <v>9202</v>
      </c>
      <c r="AB481" t="s">
        <v>9203</v>
      </c>
      <c r="AC481" t="s">
        <v>74</v>
      </c>
      <c r="AD481" t="s">
        <v>74</v>
      </c>
      <c r="AE481" t="s">
        <v>74</v>
      </c>
      <c r="AF481" t="s">
        <v>74</v>
      </c>
      <c r="AG481">
        <v>24</v>
      </c>
      <c r="AH481">
        <v>5</v>
      </c>
      <c r="AI481">
        <v>6</v>
      </c>
      <c r="AJ481">
        <v>0</v>
      </c>
      <c r="AK481">
        <v>2</v>
      </c>
      <c r="AL481" t="s">
        <v>3864</v>
      </c>
      <c r="AM481" t="s">
        <v>221</v>
      </c>
      <c r="AN481" t="s">
        <v>3865</v>
      </c>
      <c r="AO481" t="s">
        <v>9204</v>
      </c>
      <c r="AP481" t="s">
        <v>74</v>
      </c>
      <c r="AQ481" t="s">
        <v>74</v>
      </c>
      <c r="AR481" t="s">
        <v>9205</v>
      </c>
      <c r="AS481" t="s">
        <v>9206</v>
      </c>
      <c r="AT481" t="s">
        <v>7122</v>
      </c>
      <c r="AU481">
        <v>2011</v>
      </c>
      <c r="AV481">
        <v>32</v>
      </c>
      <c r="AW481">
        <v>6</v>
      </c>
      <c r="AX481" t="s">
        <v>74</v>
      </c>
      <c r="AY481" t="s">
        <v>74</v>
      </c>
      <c r="AZ481" t="s">
        <v>74</v>
      </c>
      <c r="BA481" t="s">
        <v>74</v>
      </c>
      <c r="BB481">
        <v>833</v>
      </c>
      <c r="BC481">
        <v>840</v>
      </c>
      <c r="BD481" t="s">
        <v>74</v>
      </c>
      <c r="BE481" t="s">
        <v>9207</v>
      </c>
      <c r="BF481" t="str">
        <f>HYPERLINK("http://dx.doi.org/10.1016/j.cretres.2011.05.012","http://dx.doi.org/10.1016/j.cretres.2011.05.012")</f>
        <v>http://dx.doi.org/10.1016/j.cretres.2011.05.012</v>
      </c>
      <c r="BG481" t="s">
        <v>74</v>
      </c>
      <c r="BH481" t="s">
        <v>74</v>
      </c>
      <c r="BI481">
        <v>8</v>
      </c>
      <c r="BJ481" t="s">
        <v>5141</v>
      </c>
      <c r="BK481" t="s">
        <v>100</v>
      </c>
      <c r="BL481" t="s">
        <v>5141</v>
      </c>
      <c r="BM481" t="s">
        <v>9208</v>
      </c>
      <c r="BN481" t="s">
        <v>74</v>
      </c>
      <c r="BO481" t="s">
        <v>74</v>
      </c>
      <c r="BP481" t="s">
        <v>74</v>
      </c>
      <c r="BQ481" t="s">
        <v>74</v>
      </c>
      <c r="BR481" t="s">
        <v>102</v>
      </c>
      <c r="BS481" t="s">
        <v>9209</v>
      </c>
      <c r="BT481" t="str">
        <f>HYPERLINK("https%3A%2F%2Fwww.webofscience.com%2Fwos%2Fwoscc%2Ffull-record%2FWOS:000295114600016","View Full Record in Web of Science")</f>
        <v>View Full Record in Web of Science</v>
      </c>
    </row>
    <row r="482" spans="1:72" x14ac:dyDescent="0.15">
      <c r="A482" t="s">
        <v>72</v>
      </c>
      <c r="B482" t="s">
        <v>9210</v>
      </c>
      <c r="C482" t="s">
        <v>74</v>
      </c>
      <c r="D482" t="s">
        <v>74</v>
      </c>
      <c r="E482" t="s">
        <v>74</v>
      </c>
      <c r="F482" t="s">
        <v>9211</v>
      </c>
      <c r="G482" t="s">
        <v>74</v>
      </c>
      <c r="H482" t="s">
        <v>74</v>
      </c>
      <c r="I482" t="s">
        <v>9212</v>
      </c>
      <c r="J482" t="s">
        <v>6124</v>
      </c>
      <c r="K482" t="s">
        <v>74</v>
      </c>
      <c r="L482" t="s">
        <v>74</v>
      </c>
      <c r="M482" t="s">
        <v>78</v>
      </c>
      <c r="N482" t="s">
        <v>79</v>
      </c>
      <c r="O482" t="s">
        <v>74</v>
      </c>
      <c r="P482" t="s">
        <v>74</v>
      </c>
      <c r="Q482" t="s">
        <v>74</v>
      </c>
      <c r="R482" t="s">
        <v>74</v>
      </c>
      <c r="S482" t="s">
        <v>74</v>
      </c>
      <c r="T482" t="s">
        <v>74</v>
      </c>
      <c r="U482" t="s">
        <v>9213</v>
      </c>
      <c r="V482" t="s">
        <v>9214</v>
      </c>
      <c r="W482" t="s">
        <v>9215</v>
      </c>
      <c r="X482" t="s">
        <v>9216</v>
      </c>
      <c r="Y482" t="s">
        <v>9217</v>
      </c>
      <c r="Z482" t="s">
        <v>9218</v>
      </c>
      <c r="AA482" t="s">
        <v>9219</v>
      </c>
      <c r="AB482" t="s">
        <v>9220</v>
      </c>
      <c r="AC482" t="s">
        <v>9221</v>
      </c>
      <c r="AD482" t="s">
        <v>9222</v>
      </c>
      <c r="AE482" t="s">
        <v>9223</v>
      </c>
      <c r="AF482" t="s">
        <v>74</v>
      </c>
      <c r="AG482">
        <v>38</v>
      </c>
      <c r="AH482">
        <v>13</v>
      </c>
      <c r="AI482">
        <v>13</v>
      </c>
      <c r="AJ482">
        <v>2</v>
      </c>
      <c r="AK482">
        <v>30</v>
      </c>
      <c r="AL482" t="s">
        <v>1498</v>
      </c>
      <c r="AM482" t="s">
        <v>985</v>
      </c>
      <c r="AN482" t="s">
        <v>1499</v>
      </c>
      <c r="AO482" t="s">
        <v>6136</v>
      </c>
      <c r="AP482" t="s">
        <v>6137</v>
      </c>
      <c r="AQ482" t="s">
        <v>74</v>
      </c>
      <c r="AR482" t="s">
        <v>6138</v>
      </c>
      <c r="AS482" t="s">
        <v>6139</v>
      </c>
      <c r="AT482" t="s">
        <v>9224</v>
      </c>
      <c r="AU482">
        <v>2011</v>
      </c>
      <c r="AV482">
        <v>116</v>
      </c>
      <c r="AW482" t="s">
        <v>74</v>
      </c>
      <c r="AX482" t="s">
        <v>74</v>
      </c>
      <c r="AY482" t="s">
        <v>74</v>
      </c>
      <c r="AZ482" t="s">
        <v>74</v>
      </c>
      <c r="BA482" t="s">
        <v>74</v>
      </c>
      <c r="BB482" t="s">
        <v>74</v>
      </c>
      <c r="BC482" t="s">
        <v>74</v>
      </c>
      <c r="BD482" t="s">
        <v>9225</v>
      </c>
      <c r="BE482" t="s">
        <v>9226</v>
      </c>
      <c r="BF482" t="str">
        <f>HYPERLINK("http://dx.doi.org/10.1029/2010JC006872","http://dx.doi.org/10.1029/2010JC006872")</f>
        <v>http://dx.doi.org/10.1029/2010JC006872</v>
      </c>
      <c r="BG482" t="s">
        <v>74</v>
      </c>
      <c r="BH482" t="s">
        <v>74</v>
      </c>
      <c r="BI482">
        <v>13</v>
      </c>
      <c r="BJ482" t="s">
        <v>496</v>
      </c>
      <c r="BK482" t="s">
        <v>100</v>
      </c>
      <c r="BL482" t="s">
        <v>496</v>
      </c>
      <c r="BM482" t="s">
        <v>9227</v>
      </c>
      <c r="BN482" t="s">
        <v>74</v>
      </c>
      <c r="BO482" t="s">
        <v>365</v>
      </c>
      <c r="BP482" t="s">
        <v>74</v>
      </c>
      <c r="BQ482" t="s">
        <v>74</v>
      </c>
      <c r="BR482" t="s">
        <v>102</v>
      </c>
      <c r="BS482" t="s">
        <v>9228</v>
      </c>
      <c r="BT482" t="str">
        <f>HYPERLINK("https%3A%2F%2Fwww.webofscience.com%2Fwos%2Fwoscc%2Ffull-record%2FWOS:000297422500001","View Full Record in Web of Science")</f>
        <v>View Full Record in Web of Science</v>
      </c>
    </row>
    <row r="483" spans="1:72" x14ac:dyDescent="0.15">
      <c r="A483" t="s">
        <v>72</v>
      </c>
      <c r="B483" t="s">
        <v>9229</v>
      </c>
      <c r="C483" t="s">
        <v>74</v>
      </c>
      <c r="D483" t="s">
        <v>74</v>
      </c>
      <c r="E483" t="s">
        <v>74</v>
      </c>
      <c r="F483" t="s">
        <v>9230</v>
      </c>
      <c r="G483" t="s">
        <v>74</v>
      </c>
      <c r="H483" t="s">
        <v>74</v>
      </c>
      <c r="I483" t="s">
        <v>9231</v>
      </c>
      <c r="J483" t="s">
        <v>6165</v>
      </c>
      <c r="K483" t="s">
        <v>74</v>
      </c>
      <c r="L483" t="s">
        <v>74</v>
      </c>
      <c r="M483" t="s">
        <v>78</v>
      </c>
      <c r="N483" t="s">
        <v>79</v>
      </c>
      <c r="O483" t="s">
        <v>74</v>
      </c>
      <c r="P483" t="s">
        <v>74</v>
      </c>
      <c r="Q483" t="s">
        <v>74</v>
      </c>
      <c r="R483" t="s">
        <v>74</v>
      </c>
      <c r="S483" t="s">
        <v>74</v>
      </c>
      <c r="T483" t="s">
        <v>74</v>
      </c>
      <c r="U483" t="s">
        <v>9232</v>
      </c>
      <c r="V483" t="s">
        <v>9233</v>
      </c>
      <c r="W483" t="s">
        <v>9234</v>
      </c>
      <c r="X483" t="s">
        <v>9235</v>
      </c>
      <c r="Y483" t="s">
        <v>9236</v>
      </c>
      <c r="Z483" t="s">
        <v>9237</v>
      </c>
      <c r="AA483" t="s">
        <v>9238</v>
      </c>
      <c r="AB483" t="s">
        <v>9239</v>
      </c>
      <c r="AC483" t="s">
        <v>9240</v>
      </c>
      <c r="AD483" t="s">
        <v>9241</v>
      </c>
      <c r="AE483" t="s">
        <v>9242</v>
      </c>
      <c r="AF483" t="s">
        <v>74</v>
      </c>
      <c r="AG483">
        <v>25</v>
      </c>
      <c r="AH483">
        <v>13</v>
      </c>
      <c r="AI483">
        <v>16</v>
      </c>
      <c r="AJ483">
        <v>1</v>
      </c>
      <c r="AK483">
        <v>16</v>
      </c>
      <c r="AL483" t="s">
        <v>5249</v>
      </c>
      <c r="AM483" t="s">
        <v>5250</v>
      </c>
      <c r="AN483" t="s">
        <v>5251</v>
      </c>
      <c r="AO483" t="s">
        <v>6177</v>
      </c>
      <c r="AP483" t="s">
        <v>74</v>
      </c>
      <c r="AQ483" t="s">
        <v>74</v>
      </c>
      <c r="AR483" t="s">
        <v>6165</v>
      </c>
      <c r="AS483" t="s">
        <v>6178</v>
      </c>
      <c r="AT483" t="s">
        <v>9243</v>
      </c>
      <c r="AU483">
        <v>2011</v>
      </c>
      <c r="AV483">
        <v>6</v>
      </c>
      <c r="AW483">
        <v>11</v>
      </c>
      <c r="AX483" t="s">
        <v>74</v>
      </c>
      <c r="AY483" t="s">
        <v>74</v>
      </c>
      <c r="AZ483" t="s">
        <v>74</v>
      </c>
      <c r="BA483" t="s">
        <v>74</v>
      </c>
      <c r="BB483" t="s">
        <v>74</v>
      </c>
      <c r="BC483" t="s">
        <v>74</v>
      </c>
      <c r="BD483" t="s">
        <v>9244</v>
      </c>
      <c r="BE483" t="s">
        <v>9245</v>
      </c>
      <c r="BF483" t="str">
        <f>HYPERLINK("http://dx.doi.org/10.1371/journal.pone.0026939","http://dx.doi.org/10.1371/journal.pone.0026939")</f>
        <v>http://dx.doi.org/10.1371/journal.pone.0026939</v>
      </c>
      <c r="BG483" t="s">
        <v>74</v>
      </c>
      <c r="BH483" t="s">
        <v>74</v>
      </c>
      <c r="BI483">
        <v>8</v>
      </c>
      <c r="BJ483" t="s">
        <v>6182</v>
      </c>
      <c r="BK483" t="s">
        <v>100</v>
      </c>
      <c r="BL483" t="s">
        <v>6183</v>
      </c>
      <c r="BM483" t="s">
        <v>9246</v>
      </c>
      <c r="BN483">
        <v>22132082</v>
      </c>
      <c r="BO483" t="s">
        <v>5046</v>
      </c>
      <c r="BP483" t="s">
        <v>74</v>
      </c>
      <c r="BQ483" t="s">
        <v>74</v>
      </c>
      <c r="BR483" t="s">
        <v>102</v>
      </c>
      <c r="BS483" t="s">
        <v>9247</v>
      </c>
      <c r="BT483" t="str">
        <f>HYPERLINK("https%3A%2F%2Fwww.webofscience.com%2Fwos%2Fwoscc%2Ffull-record%2FWOS:000298162000008","View Full Record in Web of Science")</f>
        <v>View Full Record in Web of Science</v>
      </c>
    </row>
    <row r="484" spans="1:72" x14ac:dyDescent="0.15">
      <c r="A484" t="s">
        <v>72</v>
      </c>
      <c r="B484" t="s">
        <v>9248</v>
      </c>
      <c r="C484" t="s">
        <v>74</v>
      </c>
      <c r="D484" t="s">
        <v>74</v>
      </c>
      <c r="E484" t="s">
        <v>74</v>
      </c>
      <c r="F484" t="s">
        <v>9249</v>
      </c>
      <c r="G484" t="s">
        <v>74</v>
      </c>
      <c r="H484" t="s">
        <v>74</v>
      </c>
      <c r="I484" t="s">
        <v>9250</v>
      </c>
      <c r="J484" t="s">
        <v>6124</v>
      </c>
      <c r="K484" t="s">
        <v>74</v>
      </c>
      <c r="L484" t="s">
        <v>74</v>
      </c>
      <c r="M484" t="s">
        <v>78</v>
      </c>
      <c r="N484" t="s">
        <v>79</v>
      </c>
      <c r="O484" t="s">
        <v>74</v>
      </c>
      <c r="P484" t="s">
        <v>74</v>
      </c>
      <c r="Q484" t="s">
        <v>74</v>
      </c>
      <c r="R484" t="s">
        <v>74</v>
      </c>
      <c r="S484" t="s">
        <v>74</v>
      </c>
      <c r="T484" t="s">
        <v>74</v>
      </c>
      <c r="U484" t="s">
        <v>9251</v>
      </c>
      <c r="V484" t="s">
        <v>9252</v>
      </c>
      <c r="W484" t="s">
        <v>9253</v>
      </c>
      <c r="X484" t="s">
        <v>9254</v>
      </c>
      <c r="Y484" t="s">
        <v>9255</v>
      </c>
      <c r="Z484" t="s">
        <v>9256</v>
      </c>
      <c r="AA484" t="s">
        <v>9257</v>
      </c>
      <c r="AB484" t="s">
        <v>9258</v>
      </c>
      <c r="AC484" t="s">
        <v>9259</v>
      </c>
      <c r="AD484" t="s">
        <v>9260</v>
      </c>
      <c r="AE484" t="s">
        <v>9261</v>
      </c>
      <c r="AF484" t="s">
        <v>74</v>
      </c>
      <c r="AG484">
        <v>71</v>
      </c>
      <c r="AH484">
        <v>2</v>
      </c>
      <c r="AI484">
        <v>2</v>
      </c>
      <c r="AJ484">
        <v>1</v>
      </c>
      <c r="AK484">
        <v>9</v>
      </c>
      <c r="AL484" t="s">
        <v>1498</v>
      </c>
      <c r="AM484" t="s">
        <v>985</v>
      </c>
      <c r="AN484" t="s">
        <v>1499</v>
      </c>
      <c r="AO484" t="s">
        <v>6136</v>
      </c>
      <c r="AP484" t="s">
        <v>6137</v>
      </c>
      <c r="AQ484" t="s">
        <v>74</v>
      </c>
      <c r="AR484" t="s">
        <v>6138</v>
      </c>
      <c r="AS484" t="s">
        <v>6139</v>
      </c>
      <c r="AT484" t="s">
        <v>9243</v>
      </c>
      <c r="AU484">
        <v>2011</v>
      </c>
      <c r="AV484">
        <v>116</v>
      </c>
      <c r="AW484" t="s">
        <v>74</v>
      </c>
      <c r="AX484" t="s">
        <v>74</v>
      </c>
      <c r="AY484" t="s">
        <v>74</v>
      </c>
      <c r="AZ484" t="s">
        <v>74</v>
      </c>
      <c r="BA484" t="s">
        <v>74</v>
      </c>
      <c r="BB484" t="s">
        <v>74</v>
      </c>
      <c r="BC484" t="s">
        <v>74</v>
      </c>
      <c r="BD484" t="s">
        <v>9262</v>
      </c>
      <c r="BE484" t="s">
        <v>9263</v>
      </c>
      <c r="BF484" t="str">
        <f>HYPERLINK("http://dx.doi.org/10.1029/2011JC007473","http://dx.doi.org/10.1029/2011JC007473")</f>
        <v>http://dx.doi.org/10.1029/2011JC007473</v>
      </c>
      <c r="BG484" t="s">
        <v>74</v>
      </c>
      <c r="BH484" t="s">
        <v>74</v>
      </c>
      <c r="BI484">
        <v>14</v>
      </c>
      <c r="BJ484" t="s">
        <v>496</v>
      </c>
      <c r="BK484" t="s">
        <v>100</v>
      </c>
      <c r="BL484" t="s">
        <v>496</v>
      </c>
      <c r="BM484" t="s">
        <v>9264</v>
      </c>
      <c r="BN484" t="s">
        <v>74</v>
      </c>
      <c r="BO484" t="s">
        <v>6160</v>
      </c>
      <c r="BP484" t="s">
        <v>74</v>
      </c>
      <c r="BQ484" t="s">
        <v>74</v>
      </c>
      <c r="BR484" t="s">
        <v>102</v>
      </c>
      <c r="BS484" t="s">
        <v>9265</v>
      </c>
      <c r="BT484" t="str">
        <f>HYPERLINK("https%3A%2F%2Fwww.webofscience.com%2Fwos%2Fwoscc%2Ffull-record%2FWOS:000297422400003","View Full Record in Web of Science")</f>
        <v>View Full Record in Web of Science</v>
      </c>
    </row>
    <row r="485" spans="1:72" x14ac:dyDescent="0.15">
      <c r="A485" t="s">
        <v>72</v>
      </c>
      <c r="B485" t="s">
        <v>9266</v>
      </c>
      <c r="C485" t="s">
        <v>74</v>
      </c>
      <c r="D485" t="s">
        <v>74</v>
      </c>
      <c r="E485" t="s">
        <v>74</v>
      </c>
      <c r="F485" t="s">
        <v>9267</v>
      </c>
      <c r="G485" t="s">
        <v>74</v>
      </c>
      <c r="H485" t="s">
        <v>74</v>
      </c>
      <c r="I485" t="s">
        <v>9268</v>
      </c>
      <c r="J485" t="s">
        <v>9269</v>
      </c>
      <c r="K485" t="s">
        <v>74</v>
      </c>
      <c r="L485" t="s">
        <v>74</v>
      </c>
      <c r="M485" t="s">
        <v>78</v>
      </c>
      <c r="N485" t="s">
        <v>810</v>
      </c>
      <c r="O485" t="s">
        <v>74</v>
      </c>
      <c r="P485" t="s">
        <v>74</v>
      </c>
      <c r="Q485" t="s">
        <v>74</v>
      </c>
      <c r="R485" t="s">
        <v>74</v>
      </c>
      <c r="S485" t="s">
        <v>74</v>
      </c>
      <c r="T485" t="s">
        <v>74</v>
      </c>
      <c r="U485" t="s">
        <v>9270</v>
      </c>
      <c r="V485" t="s">
        <v>74</v>
      </c>
      <c r="W485" t="s">
        <v>9271</v>
      </c>
      <c r="X485" t="s">
        <v>527</v>
      </c>
      <c r="Y485" t="s">
        <v>9272</v>
      </c>
      <c r="Z485" t="s">
        <v>8953</v>
      </c>
      <c r="AA485" t="s">
        <v>74</v>
      </c>
      <c r="AB485" t="s">
        <v>74</v>
      </c>
      <c r="AC485" t="s">
        <v>9273</v>
      </c>
      <c r="AD485" t="s">
        <v>1007</v>
      </c>
      <c r="AE485" t="s">
        <v>74</v>
      </c>
      <c r="AF485" t="s">
        <v>74</v>
      </c>
      <c r="AG485">
        <v>28</v>
      </c>
      <c r="AH485">
        <v>15</v>
      </c>
      <c r="AI485">
        <v>19</v>
      </c>
      <c r="AJ485">
        <v>0</v>
      </c>
      <c r="AK485">
        <v>7</v>
      </c>
      <c r="AL485" t="s">
        <v>9274</v>
      </c>
      <c r="AM485" t="s">
        <v>985</v>
      </c>
      <c r="AN485" t="s">
        <v>9275</v>
      </c>
      <c r="AO485" t="s">
        <v>9276</v>
      </c>
      <c r="AP485" t="s">
        <v>74</v>
      </c>
      <c r="AQ485" t="s">
        <v>74</v>
      </c>
      <c r="AR485" t="s">
        <v>9277</v>
      </c>
      <c r="AS485" t="s">
        <v>9278</v>
      </c>
      <c r="AT485" t="s">
        <v>9279</v>
      </c>
      <c r="AU485">
        <v>2011</v>
      </c>
      <c r="AV485">
        <v>108</v>
      </c>
      <c r="AW485">
        <v>47</v>
      </c>
      <c r="AX485" t="s">
        <v>74</v>
      </c>
      <c r="AY485" t="s">
        <v>74</v>
      </c>
      <c r="AZ485" t="s">
        <v>74</v>
      </c>
      <c r="BA485" t="s">
        <v>74</v>
      </c>
      <c r="BB485">
        <v>18859</v>
      </c>
      <c r="BC485">
        <v>18860</v>
      </c>
      <c r="BD485" t="s">
        <v>74</v>
      </c>
      <c r="BE485" t="s">
        <v>9280</v>
      </c>
      <c r="BF485" t="str">
        <f>HYPERLINK("http://dx.doi.org/10.1073/pnas.1116515108","http://dx.doi.org/10.1073/pnas.1116515108")</f>
        <v>http://dx.doi.org/10.1073/pnas.1116515108</v>
      </c>
      <c r="BG485" t="s">
        <v>74</v>
      </c>
      <c r="BH485" t="s">
        <v>74</v>
      </c>
      <c r="BI485">
        <v>2</v>
      </c>
      <c r="BJ485" t="s">
        <v>6182</v>
      </c>
      <c r="BK485" t="s">
        <v>100</v>
      </c>
      <c r="BL485" t="s">
        <v>6183</v>
      </c>
      <c r="BM485" t="s">
        <v>9281</v>
      </c>
      <c r="BN485">
        <v>22084088</v>
      </c>
      <c r="BO485" t="s">
        <v>342</v>
      </c>
      <c r="BP485" t="s">
        <v>74</v>
      </c>
      <c r="BQ485" t="s">
        <v>74</v>
      </c>
      <c r="BR485" t="s">
        <v>102</v>
      </c>
      <c r="BS485" t="s">
        <v>9282</v>
      </c>
      <c r="BT485" t="str">
        <f>HYPERLINK("https%3A%2F%2Fwww.webofscience.com%2Fwos%2Fwoscc%2Ffull-record%2FWOS:000297249800007","View Full Record in Web of Science")</f>
        <v>View Full Record in Web of Science</v>
      </c>
    </row>
    <row r="486" spans="1:72" x14ac:dyDescent="0.15">
      <c r="A486" t="s">
        <v>72</v>
      </c>
      <c r="B486" t="s">
        <v>9283</v>
      </c>
      <c r="C486" t="s">
        <v>74</v>
      </c>
      <c r="D486" t="s">
        <v>74</v>
      </c>
      <c r="E486" t="s">
        <v>74</v>
      </c>
      <c r="F486" t="s">
        <v>9284</v>
      </c>
      <c r="G486" t="s">
        <v>74</v>
      </c>
      <c r="H486" t="s">
        <v>74</v>
      </c>
      <c r="I486" t="s">
        <v>9285</v>
      </c>
      <c r="J486" t="s">
        <v>9269</v>
      </c>
      <c r="K486" t="s">
        <v>74</v>
      </c>
      <c r="L486" t="s">
        <v>74</v>
      </c>
      <c r="M486" t="s">
        <v>78</v>
      </c>
      <c r="N486" t="s">
        <v>79</v>
      </c>
      <c r="O486" t="s">
        <v>74</v>
      </c>
      <c r="P486" t="s">
        <v>74</v>
      </c>
      <c r="Q486" t="s">
        <v>74</v>
      </c>
      <c r="R486" t="s">
        <v>74</v>
      </c>
      <c r="S486" t="s">
        <v>74</v>
      </c>
      <c r="T486" t="s">
        <v>9286</v>
      </c>
      <c r="U486" t="s">
        <v>9287</v>
      </c>
      <c r="V486" t="s">
        <v>9288</v>
      </c>
      <c r="W486" t="s">
        <v>9289</v>
      </c>
      <c r="X486" t="s">
        <v>9290</v>
      </c>
      <c r="Y486" t="s">
        <v>9291</v>
      </c>
      <c r="Z486" t="s">
        <v>9292</v>
      </c>
      <c r="AA486" t="s">
        <v>9293</v>
      </c>
      <c r="AB486" t="s">
        <v>9294</v>
      </c>
      <c r="AC486" t="s">
        <v>9295</v>
      </c>
      <c r="AD486" t="s">
        <v>9296</v>
      </c>
      <c r="AE486" t="s">
        <v>9297</v>
      </c>
      <c r="AF486" t="s">
        <v>74</v>
      </c>
      <c r="AG486">
        <v>53</v>
      </c>
      <c r="AH486">
        <v>38</v>
      </c>
      <c r="AI486">
        <v>44</v>
      </c>
      <c r="AJ486">
        <v>0</v>
      </c>
      <c r="AK486">
        <v>18</v>
      </c>
      <c r="AL486" t="s">
        <v>9274</v>
      </c>
      <c r="AM486" t="s">
        <v>985</v>
      </c>
      <c r="AN486" t="s">
        <v>9275</v>
      </c>
      <c r="AO486" t="s">
        <v>9276</v>
      </c>
      <c r="AP486" t="s">
        <v>9298</v>
      </c>
      <c r="AQ486" t="s">
        <v>74</v>
      </c>
      <c r="AR486" t="s">
        <v>9277</v>
      </c>
      <c r="AS486" t="s">
        <v>9278</v>
      </c>
      <c r="AT486" t="s">
        <v>9279</v>
      </c>
      <c r="AU486">
        <v>2011</v>
      </c>
      <c r="AV486">
        <v>108</v>
      </c>
      <c r="AW486">
        <v>47</v>
      </c>
      <c r="AX486" t="s">
        <v>74</v>
      </c>
      <c r="AY486" t="s">
        <v>74</v>
      </c>
      <c r="AZ486" t="s">
        <v>74</v>
      </c>
      <c r="BA486" t="s">
        <v>74</v>
      </c>
      <c r="BB486">
        <v>18899</v>
      </c>
      <c r="BC486">
        <v>18904</v>
      </c>
      <c r="BD486" t="s">
        <v>74</v>
      </c>
      <c r="BE486" t="s">
        <v>9299</v>
      </c>
      <c r="BF486" t="str">
        <f>HYPERLINK("http://dx.doi.org/10.1073/pnas.1106378108","http://dx.doi.org/10.1073/pnas.1106378108")</f>
        <v>http://dx.doi.org/10.1073/pnas.1106378108</v>
      </c>
      <c r="BG486" t="s">
        <v>74</v>
      </c>
      <c r="BH486" t="s">
        <v>74</v>
      </c>
      <c r="BI486">
        <v>6</v>
      </c>
      <c r="BJ486" t="s">
        <v>6182</v>
      </c>
      <c r="BK486" t="s">
        <v>100</v>
      </c>
      <c r="BL486" t="s">
        <v>6183</v>
      </c>
      <c r="BM486" t="s">
        <v>9281</v>
      </c>
      <c r="BN486">
        <v>22025693</v>
      </c>
      <c r="BO486" t="s">
        <v>342</v>
      </c>
      <c r="BP486" t="s">
        <v>74</v>
      </c>
      <c r="BQ486" t="s">
        <v>74</v>
      </c>
      <c r="BR486" t="s">
        <v>102</v>
      </c>
      <c r="BS486" t="s">
        <v>9300</v>
      </c>
      <c r="BT486" t="str">
        <f>HYPERLINK("https%3A%2F%2Fwww.webofscience.com%2Fwos%2Fwoscc%2Ffull-record%2FWOS:000297249800016","View Full Record in Web of Science")</f>
        <v>View Full Record in Web of Science</v>
      </c>
    </row>
    <row r="487" spans="1:72" x14ac:dyDescent="0.15">
      <c r="A487" t="s">
        <v>72</v>
      </c>
      <c r="B487" t="s">
        <v>9301</v>
      </c>
      <c r="C487" t="s">
        <v>74</v>
      </c>
      <c r="D487" t="s">
        <v>74</v>
      </c>
      <c r="E487" t="s">
        <v>74</v>
      </c>
      <c r="F487" t="s">
        <v>9302</v>
      </c>
      <c r="G487" t="s">
        <v>74</v>
      </c>
      <c r="H487" t="s">
        <v>74</v>
      </c>
      <c r="I487" t="s">
        <v>9303</v>
      </c>
      <c r="J487" t="s">
        <v>7084</v>
      </c>
      <c r="K487" t="s">
        <v>74</v>
      </c>
      <c r="L487" t="s">
        <v>74</v>
      </c>
      <c r="M487" t="s">
        <v>78</v>
      </c>
      <c r="N487" t="s">
        <v>79</v>
      </c>
      <c r="O487" t="s">
        <v>74</v>
      </c>
      <c r="P487" t="s">
        <v>74</v>
      </c>
      <c r="Q487" t="s">
        <v>74</v>
      </c>
      <c r="R487" t="s">
        <v>74</v>
      </c>
      <c r="S487" t="s">
        <v>74</v>
      </c>
      <c r="T487" t="s">
        <v>9304</v>
      </c>
      <c r="U487" t="s">
        <v>9305</v>
      </c>
      <c r="V487" t="s">
        <v>9306</v>
      </c>
      <c r="W487" t="s">
        <v>9307</v>
      </c>
      <c r="X487" t="s">
        <v>9308</v>
      </c>
      <c r="Y487" t="s">
        <v>9309</v>
      </c>
      <c r="Z487" t="s">
        <v>9310</v>
      </c>
      <c r="AA487" t="s">
        <v>9311</v>
      </c>
      <c r="AB487" t="s">
        <v>9312</v>
      </c>
      <c r="AC487" t="s">
        <v>9313</v>
      </c>
      <c r="AD487" t="s">
        <v>9313</v>
      </c>
      <c r="AE487" t="s">
        <v>9314</v>
      </c>
      <c r="AF487" t="s">
        <v>74</v>
      </c>
      <c r="AG487">
        <v>19</v>
      </c>
      <c r="AH487">
        <v>42</v>
      </c>
      <c r="AI487">
        <v>43</v>
      </c>
      <c r="AJ487">
        <v>0</v>
      </c>
      <c r="AK487">
        <v>6</v>
      </c>
      <c r="AL487" t="s">
        <v>7095</v>
      </c>
      <c r="AM487" t="s">
        <v>7096</v>
      </c>
      <c r="AN487" t="s">
        <v>9315</v>
      </c>
      <c r="AO487" t="s">
        <v>7098</v>
      </c>
      <c r="AP487" t="s">
        <v>7099</v>
      </c>
      <c r="AQ487" t="s">
        <v>74</v>
      </c>
      <c r="AR487" t="s">
        <v>7084</v>
      </c>
      <c r="AS487" t="s">
        <v>7100</v>
      </c>
      <c r="AT487" t="s">
        <v>9316</v>
      </c>
      <c r="AU487">
        <v>2011</v>
      </c>
      <c r="AV487" t="s">
        <v>74</v>
      </c>
      <c r="AW487">
        <v>3104</v>
      </c>
      <c r="AX487" t="s">
        <v>74</v>
      </c>
      <c r="AY487" t="s">
        <v>74</v>
      </c>
      <c r="AZ487" t="s">
        <v>74</v>
      </c>
      <c r="BA487" t="s">
        <v>74</v>
      </c>
      <c r="BB487">
        <v>42</v>
      </c>
      <c r="BC487">
        <v>51</v>
      </c>
      <c r="BD487" t="s">
        <v>74</v>
      </c>
      <c r="BE487" t="s">
        <v>74</v>
      </c>
      <c r="BF487" t="s">
        <v>74</v>
      </c>
      <c r="BG487" t="s">
        <v>74</v>
      </c>
      <c r="BH487" t="s">
        <v>74</v>
      </c>
      <c r="BI487">
        <v>10</v>
      </c>
      <c r="BJ487" t="s">
        <v>2881</v>
      </c>
      <c r="BK487" t="s">
        <v>100</v>
      </c>
      <c r="BL487" t="s">
        <v>2881</v>
      </c>
      <c r="BM487" t="s">
        <v>9317</v>
      </c>
      <c r="BN487" t="s">
        <v>74</v>
      </c>
      <c r="BO487" t="s">
        <v>74</v>
      </c>
      <c r="BP487" t="s">
        <v>74</v>
      </c>
      <c r="BQ487" t="s">
        <v>74</v>
      </c>
      <c r="BR487" t="s">
        <v>102</v>
      </c>
      <c r="BS487" t="s">
        <v>9318</v>
      </c>
      <c r="BT487" t="str">
        <f>HYPERLINK("https%3A%2F%2Fwww.webofscience.com%2Fwos%2Fwoscc%2Ffull-record%2FWOS:000297161200003","View Full Record in Web of Science")</f>
        <v>View Full Record in Web of Science</v>
      </c>
    </row>
    <row r="488" spans="1:72" x14ac:dyDescent="0.15">
      <c r="A488" t="s">
        <v>72</v>
      </c>
      <c r="B488" t="s">
        <v>9319</v>
      </c>
      <c r="C488" t="s">
        <v>74</v>
      </c>
      <c r="D488" t="s">
        <v>74</v>
      </c>
      <c r="E488" t="s">
        <v>74</v>
      </c>
      <c r="F488" t="s">
        <v>9320</v>
      </c>
      <c r="G488" t="s">
        <v>74</v>
      </c>
      <c r="H488" t="s">
        <v>74</v>
      </c>
      <c r="I488" t="s">
        <v>9321</v>
      </c>
      <c r="J488" t="s">
        <v>6055</v>
      </c>
      <c r="K488" t="s">
        <v>74</v>
      </c>
      <c r="L488" t="s">
        <v>74</v>
      </c>
      <c r="M488" t="s">
        <v>78</v>
      </c>
      <c r="N488" t="s">
        <v>79</v>
      </c>
      <c r="O488" t="s">
        <v>74</v>
      </c>
      <c r="P488" t="s">
        <v>74</v>
      </c>
      <c r="Q488" t="s">
        <v>74</v>
      </c>
      <c r="R488" t="s">
        <v>74</v>
      </c>
      <c r="S488" t="s">
        <v>74</v>
      </c>
      <c r="T488" t="s">
        <v>74</v>
      </c>
      <c r="U488" t="s">
        <v>9322</v>
      </c>
      <c r="V488" t="s">
        <v>9323</v>
      </c>
      <c r="W488" t="s">
        <v>9324</v>
      </c>
      <c r="X488" t="s">
        <v>9325</v>
      </c>
      <c r="Y488" t="s">
        <v>9326</v>
      </c>
      <c r="Z488" t="s">
        <v>9327</v>
      </c>
      <c r="AA488" t="s">
        <v>9328</v>
      </c>
      <c r="AB488" t="s">
        <v>9329</v>
      </c>
      <c r="AC488" t="s">
        <v>9330</v>
      </c>
      <c r="AD488" t="s">
        <v>9331</v>
      </c>
      <c r="AE488" t="s">
        <v>9332</v>
      </c>
      <c r="AF488" t="s">
        <v>74</v>
      </c>
      <c r="AG488">
        <v>32</v>
      </c>
      <c r="AH488">
        <v>10</v>
      </c>
      <c r="AI488">
        <v>10</v>
      </c>
      <c r="AJ488">
        <v>0</v>
      </c>
      <c r="AK488">
        <v>5</v>
      </c>
      <c r="AL488" t="s">
        <v>1498</v>
      </c>
      <c r="AM488" t="s">
        <v>985</v>
      </c>
      <c r="AN488" t="s">
        <v>1499</v>
      </c>
      <c r="AO488" t="s">
        <v>6066</v>
      </c>
      <c r="AP488" t="s">
        <v>74</v>
      </c>
      <c r="AQ488" t="s">
        <v>74</v>
      </c>
      <c r="AR488" t="s">
        <v>6068</v>
      </c>
      <c r="AS488" t="s">
        <v>6069</v>
      </c>
      <c r="AT488" t="s">
        <v>9333</v>
      </c>
      <c r="AU488">
        <v>2011</v>
      </c>
      <c r="AV488">
        <v>38</v>
      </c>
      <c r="AW488" t="s">
        <v>74</v>
      </c>
      <c r="AX488" t="s">
        <v>74</v>
      </c>
      <c r="AY488" t="s">
        <v>74</v>
      </c>
      <c r="AZ488" t="s">
        <v>74</v>
      </c>
      <c r="BA488" t="s">
        <v>74</v>
      </c>
      <c r="BB488" t="s">
        <v>74</v>
      </c>
      <c r="BC488" t="s">
        <v>74</v>
      </c>
      <c r="BD488" t="s">
        <v>9334</v>
      </c>
      <c r="BE488" t="s">
        <v>9335</v>
      </c>
      <c r="BF488" t="str">
        <f>HYPERLINK("http://dx.doi.org/10.1029/2011GL049671","http://dx.doi.org/10.1029/2011GL049671")</f>
        <v>http://dx.doi.org/10.1029/2011GL049671</v>
      </c>
      <c r="BG488" t="s">
        <v>74</v>
      </c>
      <c r="BH488" t="s">
        <v>74</v>
      </c>
      <c r="BI488">
        <v>5</v>
      </c>
      <c r="BJ488" t="s">
        <v>287</v>
      </c>
      <c r="BK488" t="s">
        <v>100</v>
      </c>
      <c r="BL488" t="s">
        <v>288</v>
      </c>
      <c r="BM488" t="s">
        <v>9336</v>
      </c>
      <c r="BN488" t="s">
        <v>74</v>
      </c>
      <c r="BO488" t="s">
        <v>365</v>
      </c>
      <c r="BP488" t="s">
        <v>74</v>
      </c>
      <c r="BQ488" t="s">
        <v>74</v>
      </c>
      <c r="BR488" t="s">
        <v>102</v>
      </c>
      <c r="BS488" t="s">
        <v>9337</v>
      </c>
      <c r="BT488" t="str">
        <f>HYPERLINK("https%3A%2F%2Fwww.webofscience.com%2Fwos%2Fwoscc%2Ffull-record%2FWOS:000297258600004","View Full Record in Web of Science")</f>
        <v>View Full Record in Web of Science</v>
      </c>
    </row>
    <row r="489" spans="1:72" x14ac:dyDescent="0.15">
      <c r="A489" t="s">
        <v>72</v>
      </c>
      <c r="B489" t="s">
        <v>9338</v>
      </c>
      <c r="C489" t="s">
        <v>74</v>
      </c>
      <c r="D489" t="s">
        <v>74</v>
      </c>
      <c r="E489" t="s">
        <v>74</v>
      </c>
      <c r="F489" t="s">
        <v>9339</v>
      </c>
      <c r="G489" t="s">
        <v>74</v>
      </c>
      <c r="H489" t="s">
        <v>74</v>
      </c>
      <c r="I489" t="s">
        <v>9340</v>
      </c>
      <c r="J489" t="s">
        <v>6224</v>
      </c>
      <c r="K489" t="s">
        <v>74</v>
      </c>
      <c r="L489" t="s">
        <v>74</v>
      </c>
      <c r="M489" t="s">
        <v>78</v>
      </c>
      <c r="N489" t="s">
        <v>79</v>
      </c>
      <c r="O489" t="s">
        <v>74</v>
      </c>
      <c r="P489" t="s">
        <v>74</v>
      </c>
      <c r="Q489" t="s">
        <v>74</v>
      </c>
      <c r="R489" t="s">
        <v>74</v>
      </c>
      <c r="S489" t="s">
        <v>74</v>
      </c>
      <c r="T489" t="s">
        <v>74</v>
      </c>
      <c r="U489" t="s">
        <v>9341</v>
      </c>
      <c r="V489" t="s">
        <v>9342</v>
      </c>
      <c r="W489" t="s">
        <v>9343</v>
      </c>
      <c r="X489" t="s">
        <v>9344</v>
      </c>
      <c r="Y489" t="s">
        <v>9345</v>
      </c>
      <c r="Z489" t="s">
        <v>9346</v>
      </c>
      <c r="AA489" t="s">
        <v>9347</v>
      </c>
      <c r="AB489" t="s">
        <v>9348</v>
      </c>
      <c r="AC489" t="s">
        <v>9349</v>
      </c>
      <c r="AD489" t="s">
        <v>9350</v>
      </c>
      <c r="AE489" t="s">
        <v>9351</v>
      </c>
      <c r="AF489" t="s">
        <v>74</v>
      </c>
      <c r="AG489">
        <v>44</v>
      </c>
      <c r="AH489">
        <v>24</v>
      </c>
      <c r="AI489">
        <v>25</v>
      </c>
      <c r="AJ489">
        <v>2</v>
      </c>
      <c r="AK489">
        <v>23</v>
      </c>
      <c r="AL489" t="s">
        <v>1498</v>
      </c>
      <c r="AM489" t="s">
        <v>985</v>
      </c>
      <c r="AN489" t="s">
        <v>1499</v>
      </c>
      <c r="AO489" t="s">
        <v>6236</v>
      </c>
      <c r="AP489" t="s">
        <v>6237</v>
      </c>
      <c r="AQ489" t="s">
        <v>74</v>
      </c>
      <c r="AR489" t="s">
        <v>6238</v>
      </c>
      <c r="AS489" t="s">
        <v>6239</v>
      </c>
      <c r="AT489" t="s">
        <v>9352</v>
      </c>
      <c r="AU489">
        <v>2011</v>
      </c>
      <c r="AV489">
        <v>116</v>
      </c>
      <c r="AW489" t="s">
        <v>74</v>
      </c>
      <c r="AX489" t="s">
        <v>74</v>
      </c>
      <c r="AY489" t="s">
        <v>74</v>
      </c>
      <c r="AZ489" t="s">
        <v>74</v>
      </c>
      <c r="BA489" t="s">
        <v>74</v>
      </c>
      <c r="BB489" t="s">
        <v>74</v>
      </c>
      <c r="BC489" t="s">
        <v>74</v>
      </c>
      <c r="BD489" t="s">
        <v>9353</v>
      </c>
      <c r="BE489" t="s">
        <v>9354</v>
      </c>
      <c r="BF489" t="str">
        <f>HYPERLINK("http://dx.doi.org/10.1029/2011JD016353","http://dx.doi.org/10.1029/2011JD016353")</f>
        <v>http://dx.doi.org/10.1029/2011JD016353</v>
      </c>
      <c r="BG489" t="s">
        <v>74</v>
      </c>
      <c r="BH489" t="s">
        <v>74</v>
      </c>
      <c r="BI489">
        <v>12</v>
      </c>
      <c r="BJ489" t="s">
        <v>463</v>
      </c>
      <c r="BK489" t="s">
        <v>100</v>
      </c>
      <c r="BL489" t="s">
        <v>463</v>
      </c>
      <c r="BM489" t="s">
        <v>9355</v>
      </c>
      <c r="BN489" t="s">
        <v>74</v>
      </c>
      <c r="BO489" t="s">
        <v>365</v>
      </c>
      <c r="BP489" t="s">
        <v>74</v>
      </c>
      <c r="BQ489" t="s">
        <v>74</v>
      </c>
      <c r="BR489" t="s">
        <v>102</v>
      </c>
      <c r="BS489" t="s">
        <v>9356</v>
      </c>
      <c r="BT489" t="str">
        <f>HYPERLINK("https%3A%2F%2Fwww.webofscience.com%2Fwos%2Fwoscc%2Ffull-record%2FWOS:000297268100005","View Full Record in Web of Science")</f>
        <v>View Full Record in Web of Science</v>
      </c>
    </row>
    <row r="490" spans="1:72" x14ac:dyDescent="0.15">
      <c r="A490" t="s">
        <v>72</v>
      </c>
      <c r="B490" t="s">
        <v>9357</v>
      </c>
      <c r="C490" t="s">
        <v>74</v>
      </c>
      <c r="D490" t="s">
        <v>74</v>
      </c>
      <c r="E490" t="s">
        <v>74</v>
      </c>
      <c r="F490" t="s">
        <v>9358</v>
      </c>
      <c r="G490" t="s">
        <v>74</v>
      </c>
      <c r="H490" t="s">
        <v>74</v>
      </c>
      <c r="I490" t="s">
        <v>9359</v>
      </c>
      <c r="J490" t="s">
        <v>6124</v>
      </c>
      <c r="K490" t="s">
        <v>74</v>
      </c>
      <c r="L490" t="s">
        <v>74</v>
      </c>
      <c r="M490" t="s">
        <v>78</v>
      </c>
      <c r="N490" t="s">
        <v>79</v>
      </c>
      <c r="O490" t="s">
        <v>74</v>
      </c>
      <c r="P490" t="s">
        <v>74</v>
      </c>
      <c r="Q490" t="s">
        <v>74</v>
      </c>
      <c r="R490" t="s">
        <v>74</v>
      </c>
      <c r="S490" t="s">
        <v>74</v>
      </c>
      <c r="T490" t="s">
        <v>74</v>
      </c>
      <c r="U490" t="s">
        <v>9360</v>
      </c>
      <c r="V490" t="s">
        <v>9361</v>
      </c>
      <c r="W490" t="s">
        <v>9362</v>
      </c>
      <c r="X490" t="s">
        <v>9363</v>
      </c>
      <c r="Y490" t="s">
        <v>9364</v>
      </c>
      <c r="Z490" t="s">
        <v>9365</v>
      </c>
      <c r="AA490" t="s">
        <v>9366</v>
      </c>
      <c r="AB490" t="s">
        <v>9367</v>
      </c>
      <c r="AC490" t="s">
        <v>9368</v>
      </c>
      <c r="AD490" t="s">
        <v>9369</v>
      </c>
      <c r="AE490" t="s">
        <v>9370</v>
      </c>
      <c r="AF490" t="s">
        <v>74</v>
      </c>
      <c r="AG490">
        <v>21</v>
      </c>
      <c r="AH490">
        <v>29</v>
      </c>
      <c r="AI490">
        <v>31</v>
      </c>
      <c r="AJ490">
        <v>0</v>
      </c>
      <c r="AK490">
        <v>12</v>
      </c>
      <c r="AL490" t="s">
        <v>1498</v>
      </c>
      <c r="AM490" t="s">
        <v>985</v>
      </c>
      <c r="AN490" t="s">
        <v>1499</v>
      </c>
      <c r="AO490" t="s">
        <v>6136</v>
      </c>
      <c r="AP490" t="s">
        <v>6137</v>
      </c>
      <c r="AQ490" t="s">
        <v>74</v>
      </c>
      <c r="AR490" t="s">
        <v>6138</v>
      </c>
      <c r="AS490" t="s">
        <v>6139</v>
      </c>
      <c r="AT490" t="s">
        <v>9371</v>
      </c>
      <c r="AU490">
        <v>2011</v>
      </c>
      <c r="AV490">
        <v>116</v>
      </c>
      <c r="AW490" t="s">
        <v>74</v>
      </c>
      <c r="AX490" t="s">
        <v>74</v>
      </c>
      <c r="AY490" t="s">
        <v>74</v>
      </c>
      <c r="AZ490" t="s">
        <v>74</v>
      </c>
      <c r="BA490" t="s">
        <v>74</v>
      </c>
      <c r="BB490" t="s">
        <v>74</v>
      </c>
      <c r="BC490" t="s">
        <v>74</v>
      </c>
      <c r="BD490" t="s">
        <v>9372</v>
      </c>
      <c r="BE490" t="s">
        <v>9373</v>
      </c>
      <c r="BF490" t="str">
        <f>HYPERLINK("http://dx.doi.org/10.1029/2011JC007168","http://dx.doi.org/10.1029/2011JC007168")</f>
        <v>http://dx.doi.org/10.1029/2011JC007168</v>
      </c>
      <c r="BG490" t="s">
        <v>74</v>
      </c>
      <c r="BH490" t="s">
        <v>74</v>
      </c>
      <c r="BI490">
        <v>11</v>
      </c>
      <c r="BJ490" t="s">
        <v>496</v>
      </c>
      <c r="BK490" t="s">
        <v>100</v>
      </c>
      <c r="BL490" t="s">
        <v>496</v>
      </c>
      <c r="BM490" t="s">
        <v>9374</v>
      </c>
      <c r="BN490" t="s">
        <v>74</v>
      </c>
      <c r="BO490" t="s">
        <v>9375</v>
      </c>
      <c r="BP490" t="s">
        <v>74</v>
      </c>
      <c r="BQ490" t="s">
        <v>74</v>
      </c>
      <c r="BR490" t="s">
        <v>102</v>
      </c>
      <c r="BS490" t="s">
        <v>9376</v>
      </c>
      <c r="BT490" t="str">
        <f>HYPERLINK("https%3A%2F%2Fwww.webofscience.com%2Fwos%2Fwoscc%2Ffull-record%2FWOS:000297271300003","View Full Record in Web of Science")</f>
        <v>View Full Record in Web of Science</v>
      </c>
    </row>
    <row r="491" spans="1:72" x14ac:dyDescent="0.15">
      <c r="A491" t="s">
        <v>72</v>
      </c>
      <c r="B491" t="s">
        <v>9377</v>
      </c>
      <c r="C491" t="s">
        <v>74</v>
      </c>
      <c r="D491" t="s">
        <v>74</v>
      </c>
      <c r="E491" t="s">
        <v>74</v>
      </c>
      <c r="F491" t="s">
        <v>9378</v>
      </c>
      <c r="G491" t="s">
        <v>74</v>
      </c>
      <c r="H491" t="s">
        <v>74</v>
      </c>
      <c r="I491" t="s">
        <v>9379</v>
      </c>
      <c r="J491" t="s">
        <v>6124</v>
      </c>
      <c r="K491" t="s">
        <v>74</v>
      </c>
      <c r="L491" t="s">
        <v>74</v>
      </c>
      <c r="M491" t="s">
        <v>78</v>
      </c>
      <c r="N491" t="s">
        <v>79</v>
      </c>
      <c r="O491" t="s">
        <v>74</v>
      </c>
      <c r="P491" t="s">
        <v>74</v>
      </c>
      <c r="Q491" t="s">
        <v>74</v>
      </c>
      <c r="R491" t="s">
        <v>74</v>
      </c>
      <c r="S491" t="s">
        <v>74</v>
      </c>
      <c r="T491" t="s">
        <v>74</v>
      </c>
      <c r="U491" t="s">
        <v>9380</v>
      </c>
      <c r="V491" t="s">
        <v>9381</v>
      </c>
      <c r="W491" t="s">
        <v>9382</v>
      </c>
      <c r="X491" t="s">
        <v>9383</v>
      </c>
      <c r="Y491" t="s">
        <v>9384</v>
      </c>
      <c r="Z491" t="s">
        <v>9385</v>
      </c>
      <c r="AA491" t="s">
        <v>9386</v>
      </c>
      <c r="AB491" t="s">
        <v>9387</v>
      </c>
      <c r="AC491" t="s">
        <v>9388</v>
      </c>
      <c r="AD491" t="s">
        <v>9389</v>
      </c>
      <c r="AE491" t="s">
        <v>9390</v>
      </c>
      <c r="AF491" t="s">
        <v>74</v>
      </c>
      <c r="AG491">
        <v>30</v>
      </c>
      <c r="AH491">
        <v>2</v>
      </c>
      <c r="AI491">
        <v>2</v>
      </c>
      <c r="AJ491">
        <v>0</v>
      </c>
      <c r="AK491">
        <v>6</v>
      </c>
      <c r="AL491" t="s">
        <v>1498</v>
      </c>
      <c r="AM491" t="s">
        <v>985</v>
      </c>
      <c r="AN491" t="s">
        <v>1499</v>
      </c>
      <c r="AO491" t="s">
        <v>6136</v>
      </c>
      <c r="AP491" t="s">
        <v>6137</v>
      </c>
      <c r="AQ491" t="s">
        <v>74</v>
      </c>
      <c r="AR491" t="s">
        <v>6138</v>
      </c>
      <c r="AS491" t="s">
        <v>6139</v>
      </c>
      <c r="AT491" t="s">
        <v>9371</v>
      </c>
      <c r="AU491">
        <v>2011</v>
      </c>
      <c r="AV491">
        <v>116</v>
      </c>
      <c r="AW491" t="s">
        <v>74</v>
      </c>
      <c r="AX491" t="s">
        <v>74</v>
      </c>
      <c r="AY491" t="s">
        <v>74</v>
      </c>
      <c r="AZ491" t="s">
        <v>74</v>
      </c>
      <c r="BA491" t="s">
        <v>74</v>
      </c>
      <c r="BB491" t="s">
        <v>74</v>
      </c>
      <c r="BC491" t="s">
        <v>74</v>
      </c>
      <c r="BD491" t="s">
        <v>9391</v>
      </c>
      <c r="BE491" t="s">
        <v>9392</v>
      </c>
      <c r="BF491" t="str">
        <f>HYPERLINK("http://dx.doi.org/10.1029/2011JC007003","http://dx.doi.org/10.1029/2011JC007003")</f>
        <v>http://dx.doi.org/10.1029/2011JC007003</v>
      </c>
      <c r="BG491" t="s">
        <v>74</v>
      </c>
      <c r="BH491" t="s">
        <v>74</v>
      </c>
      <c r="BI491">
        <v>13</v>
      </c>
      <c r="BJ491" t="s">
        <v>496</v>
      </c>
      <c r="BK491" t="s">
        <v>100</v>
      </c>
      <c r="BL491" t="s">
        <v>496</v>
      </c>
      <c r="BM491" t="s">
        <v>9374</v>
      </c>
      <c r="BN491" t="s">
        <v>74</v>
      </c>
      <c r="BO491" t="s">
        <v>4515</v>
      </c>
      <c r="BP491" t="s">
        <v>74</v>
      </c>
      <c r="BQ491" t="s">
        <v>74</v>
      </c>
      <c r="BR491" t="s">
        <v>102</v>
      </c>
      <c r="BS491" t="s">
        <v>9393</v>
      </c>
      <c r="BT491" t="str">
        <f>HYPERLINK("https%3A%2F%2Fwww.webofscience.com%2Fwos%2Fwoscc%2Ffull-record%2FWOS:000297271300001","View Full Record in Web of Science")</f>
        <v>View Full Record in Web of Science</v>
      </c>
    </row>
    <row r="492" spans="1:72" x14ac:dyDescent="0.15">
      <c r="A492" t="s">
        <v>72</v>
      </c>
      <c r="B492" t="s">
        <v>9394</v>
      </c>
      <c r="C492" t="s">
        <v>74</v>
      </c>
      <c r="D492" t="s">
        <v>74</v>
      </c>
      <c r="E492" t="s">
        <v>74</v>
      </c>
      <c r="F492" t="s">
        <v>9395</v>
      </c>
      <c r="G492" t="s">
        <v>74</v>
      </c>
      <c r="H492" t="s">
        <v>74</v>
      </c>
      <c r="I492" t="s">
        <v>9396</v>
      </c>
      <c r="J492" t="s">
        <v>9397</v>
      </c>
      <c r="K492" t="s">
        <v>74</v>
      </c>
      <c r="L492" t="s">
        <v>74</v>
      </c>
      <c r="M492" t="s">
        <v>78</v>
      </c>
      <c r="N492" t="s">
        <v>810</v>
      </c>
      <c r="O492" t="s">
        <v>74</v>
      </c>
      <c r="P492" t="s">
        <v>74</v>
      </c>
      <c r="Q492" t="s">
        <v>74</v>
      </c>
      <c r="R492" t="s">
        <v>74</v>
      </c>
      <c r="S492" t="s">
        <v>74</v>
      </c>
      <c r="T492" t="s">
        <v>74</v>
      </c>
      <c r="U492" t="s">
        <v>9398</v>
      </c>
      <c r="V492" t="s">
        <v>74</v>
      </c>
      <c r="W492" t="s">
        <v>9399</v>
      </c>
      <c r="X492" t="s">
        <v>9400</v>
      </c>
      <c r="Y492" t="s">
        <v>9401</v>
      </c>
      <c r="Z492" t="s">
        <v>9402</v>
      </c>
      <c r="AA492" t="s">
        <v>74</v>
      </c>
      <c r="AB492" t="s">
        <v>74</v>
      </c>
      <c r="AC492" t="s">
        <v>74</v>
      </c>
      <c r="AD492" t="s">
        <v>74</v>
      </c>
      <c r="AE492" t="s">
        <v>74</v>
      </c>
      <c r="AF492" t="s">
        <v>74</v>
      </c>
      <c r="AG492">
        <v>10</v>
      </c>
      <c r="AH492">
        <v>6</v>
      </c>
      <c r="AI492">
        <v>6</v>
      </c>
      <c r="AJ492">
        <v>1</v>
      </c>
      <c r="AK492">
        <v>7</v>
      </c>
      <c r="AL492" t="s">
        <v>9403</v>
      </c>
      <c r="AM492" t="s">
        <v>221</v>
      </c>
      <c r="AN492" t="s">
        <v>9404</v>
      </c>
      <c r="AO492" t="s">
        <v>9405</v>
      </c>
      <c r="AP492" t="s">
        <v>74</v>
      </c>
      <c r="AQ492" t="s">
        <v>74</v>
      </c>
      <c r="AR492" t="s">
        <v>9397</v>
      </c>
      <c r="AS492" t="s">
        <v>9406</v>
      </c>
      <c r="AT492" t="s">
        <v>9371</v>
      </c>
      <c r="AU492">
        <v>2011</v>
      </c>
      <c r="AV492">
        <v>479</v>
      </c>
      <c r="AW492">
        <v>7373</v>
      </c>
      <c r="AX492" t="s">
        <v>74</v>
      </c>
      <c r="AY492" t="s">
        <v>74</v>
      </c>
      <c r="AZ492" t="s">
        <v>74</v>
      </c>
      <c r="BA492" t="s">
        <v>74</v>
      </c>
      <c r="BB492">
        <v>304</v>
      </c>
      <c r="BC492">
        <v>306</v>
      </c>
      <c r="BD492" t="s">
        <v>74</v>
      </c>
      <c r="BE492" t="s">
        <v>9407</v>
      </c>
      <c r="BF492" t="str">
        <f>HYPERLINK("http://dx.doi.org/10.1038/479304a","http://dx.doi.org/10.1038/479304a")</f>
        <v>http://dx.doi.org/10.1038/479304a</v>
      </c>
      <c r="BG492" t="s">
        <v>74</v>
      </c>
      <c r="BH492" t="s">
        <v>74</v>
      </c>
      <c r="BI492">
        <v>3</v>
      </c>
      <c r="BJ492" t="s">
        <v>6182</v>
      </c>
      <c r="BK492" t="s">
        <v>100</v>
      </c>
      <c r="BL492" t="s">
        <v>6183</v>
      </c>
      <c r="BM492" t="s">
        <v>9408</v>
      </c>
      <c r="BN492">
        <v>22094686</v>
      </c>
      <c r="BO492" t="s">
        <v>74</v>
      </c>
      <c r="BP492" t="s">
        <v>74</v>
      </c>
      <c r="BQ492" t="s">
        <v>74</v>
      </c>
      <c r="BR492" t="s">
        <v>102</v>
      </c>
      <c r="BS492" t="s">
        <v>9409</v>
      </c>
      <c r="BT492" t="str">
        <f>HYPERLINK("https%3A%2F%2Fwww.webofscience.com%2Fwos%2Fwoscc%2Ffull-record%2FWOS:000297059700027","View Full Record in Web of Science")</f>
        <v>View Full Record in Web of Science</v>
      </c>
    </row>
    <row r="493" spans="1:72" x14ac:dyDescent="0.15">
      <c r="A493" t="s">
        <v>72</v>
      </c>
      <c r="B493" t="s">
        <v>9410</v>
      </c>
      <c r="C493" t="s">
        <v>74</v>
      </c>
      <c r="D493" t="s">
        <v>74</v>
      </c>
      <c r="E493" t="s">
        <v>74</v>
      </c>
      <c r="F493" t="s">
        <v>9411</v>
      </c>
      <c r="G493" t="s">
        <v>74</v>
      </c>
      <c r="H493" t="s">
        <v>74</v>
      </c>
      <c r="I493" t="s">
        <v>9412</v>
      </c>
      <c r="J493" t="s">
        <v>9397</v>
      </c>
      <c r="K493" t="s">
        <v>74</v>
      </c>
      <c r="L493" t="s">
        <v>74</v>
      </c>
      <c r="M493" t="s">
        <v>78</v>
      </c>
      <c r="N493" t="s">
        <v>79</v>
      </c>
      <c r="O493" t="s">
        <v>74</v>
      </c>
      <c r="P493" t="s">
        <v>74</v>
      </c>
      <c r="Q493" t="s">
        <v>74</v>
      </c>
      <c r="R493" t="s">
        <v>74</v>
      </c>
      <c r="S493" t="s">
        <v>74</v>
      </c>
      <c r="T493" t="s">
        <v>74</v>
      </c>
      <c r="U493" t="s">
        <v>9413</v>
      </c>
      <c r="V493" t="s">
        <v>9414</v>
      </c>
      <c r="W493" t="s">
        <v>9415</v>
      </c>
      <c r="X493" t="s">
        <v>9416</v>
      </c>
      <c r="Y493" t="s">
        <v>9417</v>
      </c>
      <c r="Z493" t="s">
        <v>9418</v>
      </c>
      <c r="AA493" t="s">
        <v>9419</v>
      </c>
      <c r="AB493" t="s">
        <v>9420</v>
      </c>
      <c r="AC493" t="s">
        <v>9421</v>
      </c>
      <c r="AD493" t="s">
        <v>9422</v>
      </c>
      <c r="AE493" t="s">
        <v>9423</v>
      </c>
      <c r="AF493" t="s">
        <v>74</v>
      </c>
      <c r="AG493">
        <v>56</v>
      </c>
      <c r="AH493">
        <v>179</v>
      </c>
      <c r="AI493">
        <v>191</v>
      </c>
      <c r="AJ493">
        <v>1</v>
      </c>
      <c r="AK493">
        <v>56</v>
      </c>
      <c r="AL493" t="s">
        <v>9403</v>
      </c>
      <c r="AM493" t="s">
        <v>221</v>
      </c>
      <c r="AN493" t="s">
        <v>9404</v>
      </c>
      <c r="AO493" t="s">
        <v>9405</v>
      </c>
      <c r="AP493" t="s">
        <v>9424</v>
      </c>
      <c r="AQ493" t="s">
        <v>74</v>
      </c>
      <c r="AR493" t="s">
        <v>9397</v>
      </c>
      <c r="AS493" t="s">
        <v>9406</v>
      </c>
      <c r="AT493" t="s">
        <v>9371</v>
      </c>
      <c r="AU493">
        <v>2011</v>
      </c>
      <c r="AV493">
        <v>479</v>
      </c>
      <c r="AW493">
        <v>7373</v>
      </c>
      <c r="AX493" t="s">
        <v>74</v>
      </c>
      <c r="AY493" t="s">
        <v>74</v>
      </c>
      <c r="AZ493" t="s">
        <v>74</v>
      </c>
      <c r="BA493" t="s">
        <v>74</v>
      </c>
      <c r="BB493">
        <v>388</v>
      </c>
      <c r="BC493" t="s">
        <v>9425</v>
      </c>
      <c r="BD493" t="s">
        <v>74</v>
      </c>
      <c r="BE493" t="s">
        <v>9426</v>
      </c>
      <c r="BF493" t="str">
        <f>HYPERLINK("http://dx.doi.org/10.1038/nature10566","http://dx.doi.org/10.1038/nature10566")</f>
        <v>http://dx.doi.org/10.1038/nature10566</v>
      </c>
      <c r="BG493" t="s">
        <v>74</v>
      </c>
      <c r="BH493" t="s">
        <v>74</v>
      </c>
      <c r="BI493">
        <v>7</v>
      </c>
      <c r="BJ493" t="s">
        <v>6182</v>
      </c>
      <c r="BK493" t="s">
        <v>100</v>
      </c>
      <c r="BL493" t="s">
        <v>6183</v>
      </c>
      <c r="BM493" t="s">
        <v>9408</v>
      </c>
      <c r="BN493">
        <v>22094700</v>
      </c>
      <c r="BO493" t="s">
        <v>74</v>
      </c>
      <c r="BP493" t="s">
        <v>74</v>
      </c>
      <c r="BQ493" t="s">
        <v>74</v>
      </c>
      <c r="BR493" t="s">
        <v>102</v>
      </c>
      <c r="BS493" t="s">
        <v>9427</v>
      </c>
      <c r="BT493" t="str">
        <f>HYPERLINK("https%3A%2F%2Fwww.webofscience.com%2Fwos%2Fwoscc%2Ffull-record%2FWOS:000297059700043","View Full Record in Web of Science")</f>
        <v>View Full Record in Web of Science</v>
      </c>
    </row>
    <row r="494" spans="1:72" x14ac:dyDescent="0.15">
      <c r="A494" t="s">
        <v>72</v>
      </c>
      <c r="B494" t="s">
        <v>9428</v>
      </c>
      <c r="C494" t="s">
        <v>74</v>
      </c>
      <c r="D494" t="s">
        <v>74</v>
      </c>
      <c r="E494" t="s">
        <v>74</v>
      </c>
      <c r="F494" t="s">
        <v>9429</v>
      </c>
      <c r="G494" t="s">
        <v>74</v>
      </c>
      <c r="H494" t="s">
        <v>74</v>
      </c>
      <c r="I494" t="s">
        <v>9430</v>
      </c>
      <c r="J494" t="s">
        <v>6124</v>
      </c>
      <c r="K494" t="s">
        <v>74</v>
      </c>
      <c r="L494" t="s">
        <v>74</v>
      </c>
      <c r="M494" t="s">
        <v>78</v>
      </c>
      <c r="N494" t="s">
        <v>79</v>
      </c>
      <c r="O494" t="s">
        <v>74</v>
      </c>
      <c r="P494" t="s">
        <v>74</v>
      </c>
      <c r="Q494" t="s">
        <v>74</v>
      </c>
      <c r="R494" t="s">
        <v>74</v>
      </c>
      <c r="S494" t="s">
        <v>74</v>
      </c>
      <c r="T494" t="s">
        <v>74</v>
      </c>
      <c r="U494" t="s">
        <v>9431</v>
      </c>
      <c r="V494" t="s">
        <v>9432</v>
      </c>
      <c r="W494" t="s">
        <v>9433</v>
      </c>
      <c r="X494" t="s">
        <v>9434</v>
      </c>
      <c r="Y494" t="s">
        <v>9435</v>
      </c>
      <c r="Z494" t="s">
        <v>9436</v>
      </c>
      <c r="AA494" t="s">
        <v>9437</v>
      </c>
      <c r="AB494" t="s">
        <v>9438</v>
      </c>
      <c r="AC494" t="s">
        <v>9439</v>
      </c>
      <c r="AD494" t="s">
        <v>9440</v>
      </c>
      <c r="AE494" t="s">
        <v>9441</v>
      </c>
      <c r="AF494" t="s">
        <v>74</v>
      </c>
      <c r="AG494">
        <v>63</v>
      </c>
      <c r="AH494">
        <v>14</v>
      </c>
      <c r="AI494">
        <v>14</v>
      </c>
      <c r="AJ494">
        <v>0</v>
      </c>
      <c r="AK494">
        <v>13</v>
      </c>
      <c r="AL494" t="s">
        <v>1498</v>
      </c>
      <c r="AM494" t="s">
        <v>985</v>
      </c>
      <c r="AN494" t="s">
        <v>1499</v>
      </c>
      <c r="AO494" t="s">
        <v>6136</v>
      </c>
      <c r="AP494" t="s">
        <v>6137</v>
      </c>
      <c r="AQ494" t="s">
        <v>74</v>
      </c>
      <c r="AR494" t="s">
        <v>6138</v>
      </c>
      <c r="AS494" t="s">
        <v>6139</v>
      </c>
      <c r="AT494" t="s">
        <v>9442</v>
      </c>
      <c r="AU494">
        <v>2011</v>
      </c>
      <c r="AV494">
        <v>116</v>
      </c>
      <c r="AW494" t="s">
        <v>74</v>
      </c>
      <c r="AX494" t="s">
        <v>74</v>
      </c>
      <c r="AY494" t="s">
        <v>74</v>
      </c>
      <c r="AZ494" t="s">
        <v>74</v>
      </c>
      <c r="BA494" t="s">
        <v>74</v>
      </c>
      <c r="BB494" t="s">
        <v>74</v>
      </c>
      <c r="BC494" t="s">
        <v>74</v>
      </c>
      <c r="BD494" t="s">
        <v>9443</v>
      </c>
      <c r="BE494" t="s">
        <v>9444</v>
      </c>
      <c r="BF494" t="str">
        <f>HYPERLINK("http://dx.doi.org/10.1029/2010JC006560","http://dx.doi.org/10.1029/2010JC006560")</f>
        <v>http://dx.doi.org/10.1029/2010JC006560</v>
      </c>
      <c r="BG494" t="s">
        <v>74</v>
      </c>
      <c r="BH494" t="s">
        <v>74</v>
      </c>
      <c r="BI494">
        <v>12</v>
      </c>
      <c r="BJ494" t="s">
        <v>496</v>
      </c>
      <c r="BK494" t="s">
        <v>100</v>
      </c>
      <c r="BL494" t="s">
        <v>496</v>
      </c>
      <c r="BM494" t="s">
        <v>9445</v>
      </c>
      <c r="BN494" t="s">
        <v>74</v>
      </c>
      <c r="BO494" t="s">
        <v>365</v>
      </c>
      <c r="BP494" t="s">
        <v>74</v>
      </c>
      <c r="BQ494" t="s">
        <v>74</v>
      </c>
      <c r="BR494" t="s">
        <v>102</v>
      </c>
      <c r="BS494" t="s">
        <v>9446</v>
      </c>
      <c r="BT494" t="str">
        <f>HYPERLINK("https%3A%2F%2Fwww.webofscience.com%2Fwos%2Fwoscc%2Ffull-record%2FWOS:000297271000001","View Full Record in Web of Science")</f>
        <v>View Full Record in Web of Science</v>
      </c>
    </row>
    <row r="495" spans="1:72" x14ac:dyDescent="0.15">
      <c r="A495" t="s">
        <v>72</v>
      </c>
      <c r="B495" t="s">
        <v>9447</v>
      </c>
      <c r="C495" t="s">
        <v>74</v>
      </c>
      <c r="D495" t="s">
        <v>74</v>
      </c>
      <c r="E495" t="s">
        <v>74</v>
      </c>
      <c r="F495" t="s">
        <v>9448</v>
      </c>
      <c r="G495" t="s">
        <v>74</v>
      </c>
      <c r="H495" t="s">
        <v>74</v>
      </c>
      <c r="I495" t="s">
        <v>9449</v>
      </c>
      <c r="J495" t="s">
        <v>6124</v>
      </c>
      <c r="K495" t="s">
        <v>74</v>
      </c>
      <c r="L495" t="s">
        <v>74</v>
      </c>
      <c r="M495" t="s">
        <v>78</v>
      </c>
      <c r="N495" t="s">
        <v>79</v>
      </c>
      <c r="O495" t="s">
        <v>74</v>
      </c>
      <c r="P495" t="s">
        <v>74</v>
      </c>
      <c r="Q495" t="s">
        <v>74</v>
      </c>
      <c r="R495" t="s">
        <v>74</v>
      </c>
      <c r="S495" t="s">
        <v>74</v>
      </c>
      <c r="T495" t="s">
        <v>74</v>
      </c>
      <c r="U495" t="s">
        <v>9450</v>
      </c>
      <c r="V495" t="s">
        <v>9451</v>
      </c>
      <c r="W495" t="s">
        <v>9452</v>
      </c>
      <c r="X495" t="s">
        <v>9453</v>
      </c>
      <c r="Y495" t="s">
        <v>9454</v>
      </c>
      <c r="Z495" t="s">
        <v>9455</v>
      </c>
      <c r="AA495" t="s">
        <v>9456</v>
      </c>
      <c r="AB495" t="s">
        <v>74</v>
      </c>
      <c r="AC495" t="s">
        <v>9457</v>
      </c>
      <c r="AD495" t="s">
        <v>9458</v>
      </c>
      <c r="AE495" t="s">
        <v>9459</v>
      </c>
      <c r="AF495" t="s">
        <v>74</v>
      </c>
      <c r="AG495">
        <v>70</v>
      </c>
      <c r="AH495">
        <v>29</v>
      </c>
      <c r="AI495">
        <v>31</v>
      </c>
      <c r="AJ495">
        <v>0</v>
      </c>
      <c r="AK495">
        <v>7</v>
      </c>
      <c r="AL495" t="s">
        <v>1498</v>
      </c>
      <c r="AM495" t="s">
        <v>985</v>
      </c>
      <c r="AN495" t="s">
        <v>1499</v>
      </c>
      <c r="AO495" t="s">
        <v>6136</v>
      </c>
      <c r="AP495" t="s">
        <v>6137</v>
      </c>
      <c r="AQ495" t="s">
        <v>74</v>
      </c>
      <c r="AR495" t="s">
        <v>6138</v>
      </c>
      <c r="AS495" t="s">
        <v>6139</v>
      </c>
      <c r="AT495" t="s">
        <v>9442</v>
      </c>
      <c r="AU495">
        <v>2011</v>
      </c>
      <c r="AV495">
        <v>116</v>
      </c>
      <c r="AW495" t="s">
        <v>74</v>
      </c>
      <c r="AX495" t="s">
        <v>74</v>
      </c>
      <c r="AY495" t="s">
        <v>74</v>
      </c>
      <c r="AZ495" t="s">
        <v>74</v>
      </c>
      <c r="BA495" t="s">
        <v>74</v>
      </c>
      <c r="BB495" t="s">
        <v>74</v>
      </c>
      <c r="BC495" t="s">
        <v>74</v>
      </c>
      <c r="BD495" t="s">
        <v>9460</v>
      </c>
      <c r="BE495" t="s">
        <v>9461</v>
      </c>
      <c r="BF495" t="str">
        <f>HYPERLINK("http://dx.doi.org/10.1029/2011JC007328","http://dx.doi.org/10.1029/2011JC007328")</f>
        <v>http://dx.doi.org/10.1029/2011JC007328</v>
      </c>
      <c r="BG495" t="s">
        <v>74</v>
      </c>
      <c r="BH495" t="s">
        <v>74</v>
      </c>
      <c r="BI495">
        <v>19</v>
      </c>
      <c r="BJ495" t="s">
        <v>496</v>
      </c>
      <c r="BK495" t="s">
        <v>100</v>
      </c>
      <c r="BL495" t="s">
        <v>496</v>
      </c>
      <c r="BM495" t="s">
        <v>9445</v>
      </c>
      <c r="BN495" t="s">
        <v>74</v>
      </c>
      <c r="BO495" t="s">
        <v>74</v>
      </c>
      <c r="BP495" t="s">
        <v>74</v>
      </c>
      <c r="BQ495" t="s">
        <v>74</v>
      </c>
      <c r="BR495" t="s">
        <v>102</v>
      </c>
      <c r="BS495" t="s">
        <v>9462</v>
      </c>
      <c r="BT495" t="str">
        <f>HYPERLINK("https%3A%2F%2Fwww.webofscience.com%2Fwos%2Fwoscc%2Ffull-record%2FWOS:000297271000006","View Full Record in Web of Science")</f>
        <v>View Full Record in Web of Science</v>
      </c>
    </row>
    <row r="496" spans="1:72" x14ac:dyDescent="0.15">
      <c r="A496" t="s">
        <v>72</v>
      </c>
      <c r="B496" t="s">
        <v>9463</v>
      </c>
      <c r="C496" t="s">
        <v>74</v>
      </c>
      <c r="D496" t="s">
        <v>74</v>
      </c>
      <c r="E496" t="s">
        <v>74</v>
      </c>
      <c r="F496" t="s">
        <v>9464</v>
      </c>
      <c r="G496" t="s">
        <v>74</v>
      </c>
      <c r="H496" t="s">
        <v>74</v>
      </c>
      <c r="I496" t="s">
        <v>9465</v>
      </c>
      <c r="J496" t="s">
        <v>6055</v>
      </c>
      <c r="K496" t="s">
        <v>74</v>
      </c>
      <c r="L496" t="s">
        <v>74</v>
      </c>
      <c r="M496" t="s">
        <v>78</v>
      </c>
      <c r="N496" t="s">
        <v>79</v>
      </c>
      <c r="O496" t="s">
        <v>74</v>
      </c>
      <c r="P496" t="s">
        <v>74</v>
      </c>
      <c r="Q496" t="s">
        <v>74</v>
      </c>
      <c r="R496" t="s">
        <v>74</v>
      </c>
      <c r="S496" t="s">
        <v>74</v>
      </c>
      <c r="T496" t="s">
        <v>74</v>
      </c>
      <c r="U496" t="s">
        <v>9466</v>
      </c>
      <c r="V496" t="s">
        <v>9467</v>
      </c>
      <c r="W496" t="s">
        <v>9468</v>
      </c>
      <c r="X496" t="s">
        <v>9469</v>
      </c>
      <c r="Y496" t="s">
        <v>9470</v>
      </c>
      <c r="Z496" t="s">
        <v>9471</v>
      </c>
      <c r="AA496" t="s">
        <v>9472</v>
      </c>
      <c r="AB496" t="s">
        <v>9473</v>
      </c>
      <c r="AC496" t="s">
        <v>9474</v>
      </c>
      <c r="AD496" t="s">
        <v>9475</v>
      </c>
      <c r="AE496" t="s">
        <v>9476</v>
      </c>
      <c r="AF496" t="s">
        <v>74</v>
      </c>
      <c r="AG496">
        <v>31</v>
      </c>
      <c r="AH496">
        <v>92</v>
      </c>
      <c r="AI496">
        <v>102</v>
      </c>
      <c r="AJ496">
        <v>1</v>
      </c>
      <c r="AK496">
        <v>37</v>
      </c>
      <c r="AL496" t="s">
        <v>1498</v>
      </c>
      <c r="AM496" t="s">
        <v>985</v>
      </c>
      <c r="AN496" t="s">
        <v>1499</v>
      </c>
      <c r="AO496" t="s">
        <v>6066</v>
      </c>
      <c r="AP496" t="s">
        <v>74</v>
      </c>
      <c r="AQ496" t="s">
        <v>74</v>
      </c>
      <c r="AR496" t="s">
        <v>6068</v>
      </c>
      <c r="AS496" t="s">
        <v>6069</v>
      </c>
      <c r="AT496" t="s">
        <v>9442</v>
      </c>
      <c r="AU496">
        <v>2011</v>
      </c>
      <c r="AV496">
        <v>38</v>
      </c>
      <c r="AW496" t="s">
        <v>74</v>
      </c>
      <c r="AX496" t="s">
        <v>74</v>
      </c>
      <c r="AY496" t="s">
        <v>74</v>
      </c>
      <c r="AZ496" t="s">
        <v>74</v>
      </c>
      <c r="BA496" t="s">
        <v>74</v>
      </c>
      <c r="BB496" t="s">
        <v>74</v>
      </c>
      <c r="BC496" t="s">
        <v>74</v>
      </c>
      <c r="BD496" t="s">
        <v>9477</v>
      </c>
      <c r="BE496" t="s">
        <v>9478</v>
      </c>
      <c r="BF496" t="str">
        <f>HYPERLINK("http://dx.doi.org/10.1029/2011GL049277","http://dx.doi.org/10.1029/2011GL049277")</f>
        <v>http://dx.doi.org/10.1029/2011GL049277</v>
      </c>
      <c r="BG496" t="s">
        <v>74</v>
      </c>
      <c r="BH496" t="s">
        <v>74</v>
      </c>
      <c r="BI496">
        <v>6</v>
      </c>
      <c r="BJ496" t="s">
        <v>287</v>
      </c>
      <c r="BK496" t="s">
        <v>100</v>
      </c>
      <c r="BL496" t="s">
        <v>288</v>
      </c>
      <c r="BM496" t="s">
        <v>9479</v>
      </c>
      <c r="BN496" t="s">
        <v>74</v>
      </c>
      <c r="BO496" t="s">
        <v>8791</v>
      </c>
      <c r="BP496" t="s">
        <v>74</v>
      </c>
      <c r="BQ496" t="s">
        <v>74</v>
      </c>
      <c r="BR496" t="s">
        <v>102</v>
      </c>
      <c r="BS496" t="s">
        <v>9480</v>
      </c>
      <c r="BT496" t="str">
        <f>HYPERLINK("https%3A%2F%2Fwww.webofscience.com%2Fwos%2Fwoscc%2Ffull-record%2FWOS:000297258000001","View Full Record in Web of Science")</f>
        <v>View Full Record in Web of Science</v>
      </c>
    </row>
    <row r="497" spans="1:72" x14ac:dyDescent="0.15">
      <c r="A497" t="s">
        <v>72</v>
      </c>
      <c r="B497" t="s">
        <v>9481</v>
      </c>
      <c r="C497" t="s">
        <v>74</v>
      </c>
      <c r="D497" t="s">
        <v>74</v>
      </c>
      <c r="E497" t="s">
        <v>74</v>
      </c>
      <c r="F497" t="s">
        <v>9482</v>
      </c>
      <c r="G497" t="s">
        <v>74</v>
      </c>
      <c r="H497" t="s">
        <v>74</v>
      </c>
      <c r="I497" t="s">
        <v>9483</v>
      </c>
      <c r="J497" t="s">
        <v>7882</v>
      </c>
      <c r="K497" t="s">
        <v>74</v>
      </c>
      <c r="L497" t="s">
        <v>74</v>
      </c>
      <c r="M497" t="s">
        <v>78</v>
      </c>
      <c r="N497" t="s">
        <v>79</v>
      </c>
      <c r="O497" t="s">
        <v>74</v>
      </c>
      <c r="P497" t="s">
        <v>74</v>
      </c>
      <c r="Q497" t="s">
        <v>74</v>
      </c>
      <c r="R497" t="s">
        <v>74</v>
      </c>
      <c r="S497" t="s">
        <v>74</v>
      </c>
      <c r="T497" t="s">
        <v>9484</v>
      </c>
      <c r="U497" t="s">
        <v>9485</v>
      </c>
      <c r="V497" t="s">
        <v>9486</v>
      </c>
      <c r="W497" t="s">
        <v>9487</v>
      </c>
      <c r="X497" t="s">
        <v>5930</v>
      </c>
      <c r="Y497" t="s">
        <v>5931</v>
      </c>
      <c r="Z497" t="s">
        <v>9488</v>
      </c>
      <c r="AA497" t="s">
        <v>9489</v>
      </c>
      <c r="AB497" t="s">
        <v>9490</v>
      </c>
      <c r="AC497" t="s">
        <v>5935</v>
      </c>
      <c r="AD497" t="s">
        <v>5936</v>
      </c>
      <c r="AE497" t="s">
        <v>9491</v>
      </c>
      <c r="AF497" t="s">
        <v>74</v>
      </c>
      <c r="AG497">
        <v>59</v>
      </c>
      <c r="AH497">
        <v>8</v>
      </c>
      <c r="AI497">
        <v>10</v>
      </c>
      <c r="AJ497">
        <v>1</v>
      </c>
      <c r="AK497">
        <v>19</v>
      </c>
      <c r="AL497" t="s">
        <v>333</v>
      </c>
      <c r="AM497" t="s">
        <v>334</v>
      </c>
      <c r="AN497" t="s">
        <v>335</v>
      </c>
      <c r="AO497" t="s">
        <v>7895</v>
      </c>
      <c r="AP497" t="s">
        <v>9492</v>
      </c>
      <c r="AQ497" t="s">
        <v>74</v>
      </c>
      <c r="AR497" t="s">
        <v>7896</v>
      </c>
      <c r="AS497" t="s">
        <v>7897</v>
      </c>
      <c r="AT497" t="s">
        <v>9493</v>
      </c>
      <c r="AU497">
        <v>2011</v>
      </c>
      <c r="AV497">
        <v>409</v>
      </c>
      <c r="AW497">
        <v>24</v>
      </c>
      <c r="AX497" t="s">
        <v>74</v>
      </c>
      <c r="AY497" t="s">
        <v>74</v>
      </c>
      <c r="AZ497" t="s">
        <v>74</v>
      </c>
      <c r="BA497" t="s">
        <v>74</v>
      </c>
      <c r="BB497">
        <v>5268</v>
      </c>
      <c r="BC497">
        <v>5276</v>
      </c>
      <c r="BD497" t="s">
        <v>74</v>
      </c>
      <c r="BE497" t="s">
        <v>9494</v>
      </c>
      <c r="BF497" t="str">
        <f>HYPERLINK("http://dx.doi.org/10.1016/j.scitotenv.2011.08.056","http://dx.doi.org/10.1016/j.scitotenv.2011.08.056")</f>
        <v>http://dx.doi.org/10.1016/j.scitotenv.2011.08.056</v>
      </c>
      <c r="BG497" t="s">
        <v>74</v>
      </c>
      <c r="BH497" t="s">
        <v>74</v>
      </c>
      <c r="BI497">
        <v>9</v>
      </c>
      <c r="BJ497" t="s">
        <v>2924</v>
      </c>
      <c r="BK497" t="s">
        <v>100</v>
      </c>
      <c r="BL497" t="s">
        <v>2837</v>
      </c>
      <c r="BM497" t="s">
        <v>9495</v>
      </c>
      <c r="BN497">
        <v>21962597</v>
      </c>
      <c r="BO497" t="s">
        <v>74</v>
      </c>
      <c r="BP497" t="s">
        <v>74</v>
      </c>
      <c r="BQ497" t="s">
        <v>74</v>
      </c>
      <c r="BR497" t="s">
        <v>102</v>
      </c>
      <c r="BS497" t="s">
        <v>9496</v>
      </c>
      <c r="BT497" t="str">
        <f>HYPERLINK("https%3A%2F%2Fwww.webofscience.com%2Fwos%2Fwoscc%2Ffull-record%2FWOS:000297444800013","View Full Record in Web of Science")</f>
        <v>View Full Record in Web of Science</v>
      </c>
    </row>
    <row r="498" spans="1:72" x14ac:dyDescent="0.15">
      <c r="A498" t="s">
        <v>72</v>
      </c>
      <c r="B498" t="s">
        <v>9497</v>
      </c>
      <c r="C498" t="s">
        <v>74</v>
      </c>
      <c r="D498" t="s">
        <v>74</v>
      </c>
      <c r="E498" t="s">
        <v>74</v>
      </c>
      <c r="F498" t="s">
        <v>9498</v>
      </c>
      <c r="G498" t="s">
        <v>74</v>
      </c>
      <c r="H498" t="s">
        <v>74</v>
      </c>
      <c r="I498" t="s">
        <v>9499</v>
      </c>
      <c r="J498" t="s">
        <v>6224</v>
      </c>
      <c r="K498" t="s">
        <v>74</v>
      </c>
      <c r="L498" t="s">
        <v>74</v>
      </c>
      <c r="M498" t="s">
        <v>78</v>
      </c>
      <c r="N498" t="s">
        <v>79</v>
      </c>
      <c r="O498" t="s">
        <v>74</v>
      </c>
      <c r="P498" t="s">
        <v>74</v>
      </c>
      <c r="Q498" t="s">
        <v>74</v>
      </c>
      <c r="R498" t="s">
        <v>74</v>
      </c>
      <c r="S498" t="s">
        <v>74</v>
      </c>
      <c r="T498" t="s">
        <v>74</v>
      </c>
      <c r="U498" t="s">
        <v>9500</v>
      </c>
      <c r="V498" t="s">
        <v>9501</v>
      </c>
      <c r="W498" t="s">
        <v>9502</v>
      </c>
      <c r="X498" t="s">
        <v>9503</v>
      </c>
      <c r="Y498" t="s">
        <v>9504</v>
      </c>
      <c r="Z498" t="s">
        <v>9505</v>
      </c>
      <c r="AA498" t="s">
        <v>9506</v>
      </c>
      <c r="AB498" t="s">
        <v>74</v>
      </c>
      <c r="AC498" t="s">
        <v>9507</v>
      </c>
      <c r="AD498" t="s">
        <v>9508</v>
      </c>
      <c r="AE498" t="s">
        <v>9509</v>
      </c>
      <c r="AF498" t="s">
        <v>74</v>
      </c>
      <c r="AG498">
        <v>44</v>
      </c>
      <c r="AH498">
        <v>33</v>
      </c>
      <c r="AI498">
        <v>42</v>
      </c>
      <c r="AJ498">
        <v>0</v>
      </c>
      <c r="AK498">
        <v>12</v>
      </c>
      <c r="AL498" t="s">
        <v>1498</v>
      </c>
      <c r="AM498" t="s">
        <v>985</v>
      </c>
      <c r="AN498" t="s">
        <v>1499</v>
      </c>
      <c r="AO498" t="s">
        <v>6236</v>
      </c>
      <c r="AP498" t="s">
        <v>6237</v>
      </c>
      <c r="AQ498" t="s">
        <v>74</v>
      </c>
      <c r="AR498" t="s">
        <v>6238</v>
      </c>
      <c r="AS498" t="s">
        <v>6239</v>
      </c>
      <c r="AT498" t="s">
        <v>9493</v>
      </c>
      <c r="AU498">
        <v>2011</v>
      </c>
      <c r="AV498">
        <v>116</v>
      </c>
      <c r="AW498" t="s">
        <v>74</v>
      </c>
      <c r="AX498" t="s">
        <v>74</v>
      </c>
      <c r="AY498" t="s">
        <v>74</v>
      </c>
      <c r="AZ498" t="s">
        <v>74</v>
      </c>
      <c r="BA498" t="s">
        <v>74</v>
      </c>
      <c r="BB498" t="s">
        <v>74</v>
      </c>
      <c r="BC498" t="s">
        <v>74</v>
      </c>
      <c r="BD498" t="s">
        <v>9510</v>
      </c>
      <c r="BE498" t="s">
        <v>9511</v>
      </c>
      <c r="BF498" t="str">
        <f>HYPERLINK("http://dx.doi.org/10.1029/2010JD014917","http://dx.doi.org/10.1029/2010JD014917")</f>
        <v>http://dx.doi.org/10.1029/2010JD014917</v>
      </c>
      <c r="BG498" t="s">
        <v>74</v>
      </c>
      <c r="BH498" t="s">
        <v>74</v>
      </c>
      <c r="BI498">
        <v>14</v>
      </c>
      <c r="BJ498" t="s">
        <v>463</v>
      </c>
      <c r="BK498" t="s">
        <v>100</v>
      </c>
      <c r="BL498" t="s">
        <v>463</v>
      </c>
      <c r="BM498" t="s">
        <v>9512</v>
      </c>
      <c r="BN498" t="s">
        <v>74</v>
      </c>
      <c r="BO498" t="s">
        <v>74</v>
      </c>
      <c r="BP498" t="s">
        <v>74</v>
      </c>
      <c r="BQ498" t="s">
        <v>74</v>
      </c>
      <c r="BR498" t="s">
        <v>102</v>
      </c>
      <c r="BS498" t="s">
        <v>9513</v>
      </c>
      <c r="BT498" t="str">
        <f>HYPERLINK("https%3A%2F%2Fwww.webofscience.com%2Fwos%2Fwoscc%2Ffull-record%2FWOS:000297266900001","View Full Record in Web of Science")</f>
        <v>View Full Record in Web of Science</v>
      </c>
    </row>
    <row r="499" spans="1:72" x14ac:dyDescent="0.15">
      <c r="A499" t="s">
        <v>72</v>
      </c>
      <c r="B499" t="s">
        <v>9514</v>
      </c>
      <c r="C499" t="s">
        <v>74</v>
      </c>
      <c r="D499" t="s">
        <v>74</v>
      </c>
      <c r="E499" t="s">
        <v>74</v>
      </c>
      <c r="F499" t="s">
        <v>9515</v>
      </c>
      <c r="G499" t="s">
        <v>74</v>
      </c>
      <c r="H499" t="s">
        <v>74</v>
      </c>
      <c r="I499" t="s">
        <v>9516</v>
      </c>
      <c r="J499" t="s">
        <v>3815</v>
      </c>
      <c r="K499" t="s">
        <v>74</v>
      </c>
      <c r="L499" t="s">
        <v>74</v>
      </c>
      <c r="M499" t="s">
        <v>78</v>
      </c>
      <c r="N499" t="s">
        <v>79</v>
      </c>
      <c r="O499" t="s">
        <v>74</v>
      </c>
      <c r="P499" t="s">
        <v>74</v>
      </c>
      <c r="Q499" t="s">
        <v>74</v>
      </c>
      <c r="R499" t="s">
        <v>74</v>
      </c>
      <c r="S499" t="s">
        <v>74</v>
      </c>
      <c r="T499" t="s">
        <v>74</v>
      </c>
      <c r="U499" t="s">
        <v>9517</v>
      </c>
      <c r="V499" t="s">
        <v>9518</v>
      </c>
      <c r="W499" t="s">
        <v>9519</v>
      </c>
      <c r="X499" t="s">
        <v>9520</v>
      </c>
      <c r="Y499" t="s">
        <v>9521</v>
      </c>
      <c r="Z499" t="s">
        <v>9522</v>
      </c>
      <c r="AA499" t="s">
        <v>9523</v>
      </c>
      <c r="AB499" t="s">
        <v>9524</v>
      </c>
      <c r="AC499" t="s">
        <v>9525</v>
      </c>
      <c r="AD499" t="s">
        <v>9526</v>
      </c>
      <c r="AE499" t="s">
        <v>9527</v>
      </c>
      <c r="AF499" t="s">
        <v>74</v>
      </c>
      <c r="AG499">
        <v>21</v>
      </c>
      <c r="AH499">
        <v>32</v>
      </c>
      <c r="AI499">
        <v>35</v>
      </c>
      <c r="AJ499">
        <v>0</v>
      </c>
      <c r="AK499">
        <v>19</v>
      </c>
      <c r="AL499" t="s">
        <v>3775</v>
      </c>
      <c r="AM499" t="s">
        <v>3776</v>
      </c>
      <c r="AN499" t="s">
        <v>3777</v>
      </c>
      <c r="AO499" t="s">
        <v>3827</v>
      </c>
      <c r="AP499" t="s">
        <v>3828</v>
      </c>
      <c r="AQ499" t="s">
        <v>74</v>
      </c>
      <c r="AR499" t="s">
        <v>3829</v>
      </c>
      <c r="AS499" t="s">
        <v>3830</v>
      </c>
      <c r="AT499" t="s">
        <v>9493</v>
      </c>
      <c r="AU499">
        <v>2011</v>
      </c>
      <c r="AV499">
        <v>24</v>
      </c>
      <c r="AW499">
        <v>22</v>
      </c>
      <c r="AX499" t="s">
        <v>74</v>
      </c>
      <c r="AY499" t="s">
        <v>74</v>
      </c>
      <c r="AZ499" t="s">
        <v>74</v>
      </c>
      <c r="BA499" t="s">
        <v>74</v>
      </c>
      <c r="BB499">
        <v>5799</v>
      </c>
      <c r="BC499">
        <v>5811</v>
      </c>
      <c r="BD499" t="s">
        <v>74</v>
      </c>
      <c r="BE499" t="s">
        <v>9528</v>
      </c>
      <c r="BF499" t="str">
        <f>HYPERLINK("http://dx.doi.org/10.1175/2011JCLI3922.1","http://dx.doi.org/10.1175/2011JCLI3922.1")</f>
        <v>http://dx.doi.org/10.1175/2011JCLI3922.1</v>
      </c>
      <c r="BG499" t="s">
        <v>74</v>
      </c>
      <c r="BH499" t="s">
        <v>74</v>
      </c>
      <c r="BI499">
        <v>13</v>
      </c>
      <c r="BJ499" t="s">
        <v>463</v>
      </c>
      <c r="BK499" t="s">
        <v>100</v>
      </c>
      <c r="BL499" t="s">
        <v>463</v>
      </c>
      <c r="BM499" t="s">
        <v>9529</v>
      </c>
      <c r="BN499" t="s">
        <v>74</v>
      </c>
      <c r="BO499" t="s">
        <v>365</v>
      </c>
      <c r="BP499" t="s">
        <v>74</v>
      </c>
      <c r="BQ499" t="s">
        <v>74</v>
      </c>
      <c r="BR499" t="s">
        <v>102</v>
      </c>
      <c r="BS499" t="s">
        <v>9530</v>
      </c>
      <c r="BT499" t="str">
        <f>HYPERLINK("https%3A%2F%2Fwww.webofscience.com%2Fwos%2Fwoscc%2Ffull-record%2FWOS:000297138700006","View Full Record in Web of Science")</f>
        <v>View Full Record in Web of Science</v>
      </c>
    </row>
    <row r="500" spans="1:72" x14ac:dyDescent="0.15">
      <c r="A500" t="s">
        <v>72</v>
      </c>
      <c r="B500" t="s">
        <v>9531</v>
      </c>
      <c r="C500" t="s">
        <v>74</v>
      </c>
      <c r="D500" t="s">
        <v>74</v>
      </c>
      <c r="E500" t="s">
        <v>74</v>
      </c>
      <c r="F500" t="s">
        <v>9532</v>
      </c>
      <c r="G500" t="s">
        <v>74</v>
      </c>
      <c r="H500" t="s">
        <v>74</v>
      </c>
      <c r="I500" t="s">
        <v>9533</v>
      </c>
      <c r="J500" t="s">
        <v>9534</v>
      </c>
      <c r="K500" t="s">
        <v>74</v>
      </c>
      <c r="L500" t="s">
        <v>74</v>
      </c>
      <c r="M500" t="s">
        <v>78</v>
      </c>
      <c r="N500" t="s">
        <v>79</v>
      </c>
      <c r="O500" t="s">
        <v>74</v>
      </c>
      <c r="P500" t="s">
        <v>74</v>
      </c>
      <c r="Q500" t="s">
        <v>74</v>
      </c>
      <c r="R500" t="s">
        <v>74</v>
      </c>
      <c r="S500" t="s">
        <v>74</v>
      </c>
      <c r="T500" t="s">
        <v>9535</v>
      </c>
      <c r="U500" t="s">
        <v>9536</v>
      </c>
      <c r="V500" t="s">
        <v>9537</v>
      </c>
      <c r="W500" t="s">
        <v>9538</v>
      </c>
      <c r="X500" t="s">
        <v>9539</v>
      </c>
      <c r="Y500" t="s">
        <v>9540</v>
      </c>
      <c r="Z500" t="s">
        <v>9541</v>
      </c>
      <c r="AA500" t="s">
        <v>7399</v>
      </c>
      <c r="AB500" t="s">
        <v>7400</v>
      </c>
      <c r="AC500" t="s">
        <v>9542</v>
      </c>
      <c r="AD500" t="s">
        <v>5075</v>
      </c>
      <c r="AE500" t="s">
        <v>9543</v>
      </c>
      <c r="AF500" t="s">
        <v>74</v>
      </c>
      <c r="AG500">
        <v>15</v>
      </c>
      <c r="AH500">
        <v>28</v>
      </c>
      <c r="AI500">
        <v>33</v>
      </c>
      <c r="AJ500">
        <v>1</v>
      </c>
      <c r="AK500">
        <v>14</v>
      </c>
      <c r="AL500" t="s">
        <v>155</v>
      </c>
      <c r="AM500" t="s">
        <v>156</v>
      </c>
      <c r="AN500" t="s">
        <v>157</v>
      </c>
      <c r="AO500" t="s">
        <v>9544</v>
      </c>
      <c r="AP500" t="s">
        <v>74</v>
      </c>
      <c r="AQ500" t="s">
        <v>74</v>
      </c>
      <c r="AR500" t="s">
        <v>9545</v>
      </c>
      <c r="AS500" t="s">
        <v>9546</v>
      </c>
      <c r="AT500" t="s">
        <v>9493</v>
      </c>
      <c r="AU500">
        <v>2011</v>
      </c>
      <c r="AV500">
        <v>19</v>
      </c>
      <c r="AW500">
        <v>22</v>
      </c>
      <c r="AX500" t="s">
        <v>74</v>
      </c>
      <c r="AY500" t="s">
        <v>74</v>
      </c>
      <c r="AZ500" t="s">
        <v>74</v>
      </c>
      <c r="BA500" t="s">
        <v>74</v>
      </c>
      <c r="BB500">
        <v>6608</v>
      </c>
      <c r="BC500">
        <v>6614</v>
      </c>
      <c r="BD500" t="s">
        <v>74</v>
      </c>
      <c r="BE500" t="s">
        <v>9547</v>
      </c>
      <c r="BF500" t="str">
        <f>HYPERLINK("http://dx.doi.org/10.1016/j.bmc.2011.06.004","http://dx.doi.org/10.1016/j.bmc.2011.06.004")</f>
        <v>http://dx.doi.org/10.1016/j.bmc.2011.06.004</v>
      </c>
      <c r="BG500" t="s">
        <v>74</v>
      </c>
      <c r="BH500" t="s">
        <v>74</v>
      </c>
      <c r="BI500">
        <v>7</v>
      </c>
      <c r="BJ500" t="s">
        <v>9548</v>
      </c>
      <c r="BK500" t="s">
        <v>100</v>
      </c>
      <c r="BL500" t="s">
        <v>9549</v>
      </c>
      <c r="BM500" t="s">
        <v>9550</v>
      </c>
      <c r="BN500">
        <v>21737286</v>
      </c>
      <c r="BO500" t="s">
        <v>74</v>
      </c>
      <c r="BP500" t="s">
        <v>74</v>
      </c>
      <c r="BQ500" t="s">
        <v>74</v>
      </c>
      <c r="BR500" t="s">
        <v>102</v>
      </c>
      <c r="BS500" t="s">
        <v>9551</v>
      </c>
      <c r="BT500" t="str">
        <f>HYPERLINK("https%3A%2F%2Fwww.webofscience.com%2Fwos%2Fwoscc%2Ffull-record%2FWOS:000296535900010","View Full Record in Web of Science")</f>
        <v>View Full Record in Web of Science</v>
      </c>
    </row>
    <row r="501" spans="1:72" x14ac:dyDescent="0.15">
      <c r="A501" t="s">
        <v>72</v>
      </c>
      <c r="B501" t="s">
        <v>9552</v>
      </c>
      <c r="C501" t="s">
        <v>74</v>
      </c>
      <c r="D501" t="s">
        <v>74</v>
      </c>
      <c r="E501" t="s">
        <v>74</v>
      </c>
      <c r="F501" t="s">
        <v>9553</v>
      </c>
      <c r="G501" t="s">
        <v>74</v>
      </c>
      <c r="H501" t="s">
        <v>74</v>
      </c>
      <c r="I501" t="s">
        <v>9554</v>
      </c>
      <c r="J501" t="s">
        <v>143</v>
      </c>
      <c r="K501" t="s">
        <v>74</v>
      </c>
      <c r="L501" t="s">
        <v>74</v>
      </c>
      <c r="M501" t="s">
        <v>78</v>
      </c>
      <c r="N501" t="s">
        <v>79</v>
      </c>
      <c r="O501" t="s">
        <v>74</v>
      </c>
      <c r="P501" t="s">
        <v>74</v>
      </c>
      <c r="Q501" t="s">
        <v>74</v>
      </c>
      <c r="R501" t="s">
        <v>74</v>
      </c>
      <c r="S501" t="s">
        <v>74</v>
      </c>
      <c r="T501" t="s">
        <v>74</v>
      </c>
      <c r="U501" t="s">
        <v>9555</v>
      </c>
      <c r="V501" t="s">
        <v>9556</v>
      </c>
      <c r="W501" t="s">
        <v>9557</v>
      </c>
      <c r="X501" t="s">
        <v>9558</v>
      </c>
      <c r="Y501" t="s">
        <v>9559</v>
      </c>
      <c r="Z501" t="s">
        <v>9560</v>
      </c>
      <c r="AA501" t="s">
        <v>9561</v>
      </c>
      <c r="AB501" t="s">
        <v>9562</v>
      </c>
      <c r="AC501" t="s">
        <v>9563</v>
      </c>
      <c r="AD501" t="s">
        <v>9564</v>
      </c>
      <c r="AE501" t="s">
        <v>9565</v>
      </c>
      <c r="AF501" t="s">
        <v>74</v>
      </c>
      <c r="AG501">
        <v>79</v>
      </c>
      <c r="AH501">
        <v>65</v>
      </c>
      <c r="AI501">
        <v>66</v>
      </c>
      <c r="AJ501">
        <v>1</v>
      </c>
      <c r="AK501">
        <v>28</v>
      </c>
      <c r="AL501" t="s">
        <v>155</v>
      </c>
      <c r="AM501" t="s">
        <v>156</v>
      </c>
      <c r="AN501" t="s">
        <v>157</v>
      </c>
      <c r="AO501" t="s">
        <v>158</v>
      </c>
      <c r="AP501" t="s">
        <v>159</v>
      </c>
      <c r="AQ501" t="s">
        <v>74</v>
      </c>
      <c r="AR501" t="s">
        <v>160</v>
      </c>
      <c r="AS501" t="s">
        <v>161</v>
      </c>
      <c r="AT501" t="s">
        <v>9493</v>
      </c>
      <c r="AU501">
        <v>2011</v>
      </c>
      <c r="AV501">
        <v>75</v>
      </c>
      <c r="AW501">
        <v>22</v>
      </c>
      <c r="AX501" t="s">
        <v>74</v>
      </c>
      <c r="AY501" t="s">
        <v>74</v>
      </c>
      <c r="AZ501" t="s">
        <v>74</v>
      </c>
      <c r="BA501" t="s">
        <v>74</v>
      </c>
      <c r="BB501">
        <v>7132</v>
      </c>
      <c r="BC501">
        <v>7145</v>
      </c>
      <c r="BD501" t="s">
        <v>74</v>
      </c>
      <c r="BE501" t="s">
        <v>9566</v>
      </c>
      <c r="BF501" t="str">
        <f>HYPERLINK("http://dx.doi.org/10.1016/j.gca.2011.09.002","http://dx.doi.org/10.1016/j.gca.2011.09.002")</f>
        <v>http://dx.doi.org/10.1016/j.gca.2011.09.002</v>
      </c>
      <c r="BG501" t="s">
        <v>74</v>
      </c>
      <c r="BH501" t="s">
        <v>74</v>
      </c>
      <c r="BI501">
        <v>14</v>
      </c>
      <c r="BJ501" t="s">
        <v>164</v>
      </c>
      <c r="BK501" t="s">
        <v>100</v>
      </c>
      <c r="BL501" t="s">
        <v>164</v>
      </c>
      <c r="BM501" t="s">
        <v>9567</v>
      </c>
      <c r="BN501" t="s">
        <v>74</v>
      </c>
      <c r="BO501" t="s">
        <v>1796</v>
      </c>
      <c r="BP501" t="s">
        <v>74</v>
      </c>
      <c r="BQ501" t="s">
        <v>74</v>
      </c>
      <c r="BR501" t="s">
        <v>102</v>
      </c>
      <c r="BS501" t="s">
        <v>9568</v>
      </c>
      <c r="BT501" t="str">
        <f>HYPERLINK("https%3A%2F%2Fwww.webofscience.com%2Fwos%2Fwoscc%2Ffull-record%2FWOS:000296579600025","View Full Record in Web of Science")</f>
        <v>View Full Record in Web of Science</v>
      </c>
    </row>
    <row r="502" spans="1:72" x14ac:dyDescent="0.15">
      <c r="A502" t="s">
        <v>72</v>
      </c>
      <c r="B502" t="s">
        <v>9569</v>
      </c>
      <c r="C502" t="s">
        <v>74</v>
      </c>
      <c r="D502" t="s">
        <v>74</v>
      </c>
      <c r="E502" t="s">
        <v>74</v>
      </c>
      <c r="F502" t="s">
        <v>9570</v>
      </c>
      <c r="G502" t="s">
        <v>74</v>
      </c>
      <c r="H502" t="s">
        <v>74</v>
      </c>
      <c r="I502" t="s">
        <v>9571</v>
      </c>
      <c r="J502" t="s">
        <v>9572</v>
      </c>
      <c r="K502" t="s">
        <v>74</v>
      </c>
      <c r="L502" t="s">
        <v>74</v>
      </c>
      <c r="M502" t="s">
        <v>78</v>
      </c>
      <c r="N502" t="s">
        <v>79</v>
      </c>
      <c r="O502" t="s">
        <v>74</v>
      </c>
      <c r="P502" t="s">
        <v>74</v>
      </c>
      <c r="Q502" t="s">
        <v>74</v>
      </c>
      <c r="R502" t="s">
        <v>74</v>
      </c>
      <c r="S502" t="s">
        <v>74</v>
      </c>
      <c r="T502" t="s">
        <v>9573</v>
      </c>
      <c r="U502" t="s">
        <v>9574</v>
      </c>
      <c r="V502" t="s">
        <v>9575</v>
      </c>
      <c r="W502" t="s">
        <v>9576</v>
      </c>
      <c r="X502" t="s">
        <v>9577</v>
      </c>
      <c r="Y502" t="s">
        <v>9578</v>
      </c>
      <c r="Z502" t="s">
        <v>9579</v>
      </c>
      <c r="AA502" t="s">
        <v>74</v>
      </c>
      <c r="AB502" t="s">
        <v>9580</v>
      </c>
      <c r="AC502" t="s">
        <v>9581</v>
      </c>
      <c r="AD502" t="s">
        <v>9582</v>
      </c>
      <c r="AE502" t="s">
        <v>9583</v>
      </c>
      <c r="AF502" t="s">
        <v>74</v>
      </c>
      <c r="AG502">
        <v>37</v>
      </c>
      <c r="AH502">
        <v>44</v>
      </c>
      <c r="AI502">
        <v>53</v>
      </c>
      <c r="AJ502">
        <v>1</v>
      </c>
      <c r="AK502">
        <v>21</v>
      </c>
      <c r="AL502" t="s">
        <v>4112</v>
      </c>
      <c r="AM502" t="s">
        <v>4113</v>
      </c>
      <c r="AN502" t="s">
        <v>4114</v>
      </c>
      <c r="AO502" t="s">
        <v>9584</v>
      </c>
      <c r="AP502" t="s">
        <v>9585</v>
      </c>
      <c r="AQ502" t="s">
        <v>74</v>
      </c>
      <c r="AR502" t="s">
        <v>9572</v>
      </c>
      <c r="AS502" t="s">
        <v>9586</v>
      </c>
      <c r="AT502" t="s">
        <v>9493</v>
      </c>
      <c r="AU502">
        <v>2011</v>
      </c>
      <c r="AV502">
        <v>18</v>
      </c>
      <c r="AW502">
        <v>14</v>
      </c>
      <c r="AX502" t="s">
        <v>74</v>
      </c>
      <c r="AY502" t="s">
        <v>74</v>
      </c>
      <c r="AZ502" t="s">
        <v>74</v>
      </c>
      <c r="BA502" t="s">
        <v>74</v>
      </c>
      <c r="BB502">
        <v>1285</v>
      </c>
      <c r="BC502">
        <v>1290</v>
      </c>
      <c r="BD502" t="s">
        <v>74</v>
      </c>
      <c r="BE502" t="s">
        <v>9587</v>
      </c>
      <c r="BF502" t="str">
        <f>HYPERLINK("http://dx.doi.org/10.1016/j.phymed.2011.06.007","http://dx.doi.org/10.1016/j.phymed.2011.06.007")</f>
        <v>http://dx.doi.org/10.1016/j.phymed.2011.06.007</v>
      </c>
      <c r="BG502" t="s">
        <v>74</v>
      </c>
      <c r="BH502" t="s">
        <v>74</v>
      </c>
      <c r="BI502">
        <v>6</v>
      </c>
      <c r="BJ502" t="s">
        <v>9588</v>
      </c>
      <c r="BK502" t="s">
        <v>100</v>
      </c>
      <c r="BL502" t="s">
        <v>9589</v>
      </c>
      <c r="BM502" t="s">
        <v>9590</v>
      </c>
      <c r="BN502">
        <v>21802926</v>
      </c>
      <c r="BO502" t="s">
        <v>74</v>
      </c>
      <c r="BP502" t="s">
        <v>74</v>
      </c>
      <c r="BQ502" t="s">
        <v>74</v>
      </c>
      <c r="BR502" t="s">
        <v>102</v>
      </c>
      <c r="BS502" t="s">
        <v>9591</v>
      </c>
      <c r="BT502" t="str">
        <f>HYPERLINK("https%3A%2F%2Fwww.webofscience.com%2Fwos%2Fwoscc%2Ffull-record%2FWOS:000297964700014","View Full Record in Web of Science")</f>
        <v>View Full Record in Web of Science</v>
      </c>
    </row>
    <row r="503" spans="1:72" x14ac:dyDescent="0.15">
      <c r="A503" t="s">
        <v>72</v>
      </c>
      <c r="B503" t="s">
        <v>9592</v>
      </c>
      <c r="C503" t="s">
        <v>74</v>
      </c>
      <c r="D503" t="s">
        <v>74</v>
      </c>
      <c r="E503" t="s">
        <v>74</v>
      </c>
      <c r="F503" t="s">
        <v>9593</v>
      </c>
      <c r="G503" t="s">
        <v>74</v>
      </c>
      <c r="H503" t="s">
        <v>74</v>
      </c>
      <c r="I503" t="s">
        <v>9594</v>
      </c>
      <c r="J503" t="s">
        <v>6124</v>
      </c>
      <c r="K503" t="s">
        <v>74</v>
      </c>
      <c r="L503" t="s">
        <v>74</v>
      </c>
      <c r="M503" t="s">
        <v>78</v>
      </c>
      <c r="N503" t="s">
        <v>79</v>
      </c>
      <c r="O503" t="s">
        <v>74</v>
      </c>
      <c r="P503" t="s">
        <v>74</v>
      </c>
      <c r="Q503" t="s">
        <v>74</v>
      </c>
      <c r="R503" t="s">
        <v>74</v>
      </c>
      <c r="S503" t="s">
        <v>74</v>
      </c>
      <c r="T503" t="s">
        <v>74</v>
      </c>
      <c r="U503" t="s">
        <v>9595</v>
      </c>
      <c r="V503" t="s">
        <v>9596</v>
      </c>
      <c r="W503" t="s">
        <v>9597</v>
      </c>
      <c r="X503" t="s">
        <v>9598</v>
      </c>
      <c r="Y503" t="s">
        <v>9599</v>
      </c>
      <c r="Z503" t="s">
        <v>9600</v>
      </c>
      <c r="AA503" t="s">
        <v>9601</v>
      </c>
      <c r="AB503" t="s">
        <v>9602</v>
      </c>
      <c r="AC503" t="s">
        <v>9603</v>
      </c>
      <c r="AD503" t="s">
        <v>9603</v>
      </c>
      <c r="AE503" t="s">
        <v>9604</v>
      </c>
      <c r="AF503" t="s">
        <v>74</v>
      </c>
      <c r="AG503">
        <v>64</v>
      </c>
      <c r="AH503">
        <v>87</v>
      </c>
      <c r="AI503">
        <v>93</v>
      </c>
      <c r="AJ503">
        <v>0</v>
      </c>
      <c r="AK503">
        <v>18</v>
      </c>
      <c r="AL503" t="s">
        <v>1498</v>
      </c>
      <c r="AM503" t="s">
        <v>985</v>
      </c>
      <c r="AN503" t="s">
        <v>1499</v>
      </c>
      <c r="AO503" t="s">
        <v>6136</v>
      </c>
      <c r="AP503" t="s">
        <v>6137</v>
      </c>
      <c r="AQ503" t="s">
        <v>74</v>
      </c>
      <c r="AR503" t="s">
        <v>6138</v>
      </c>
      <c r="AS503" t="s">
        <v>6139</v>
      </c>
      <c r="AT503" t="s">
        <v>9605</v>
      </c>
      <c r="AU503">
        <v>2011</v>
      </c>
      <c r="AV503">
        <v>116</v>
      </c>
      <c r="AW503" t="s">
        <v>74</v>
      </c>
      <c r="AX503" t="s">
        <v>74</v>
      </c>
      <c r="AY503" t="s">
        <v>74</v>
      </c>
      <c r="AZ503" t="s">
        <v>74</v>
      </c>
      <c r="BA503" t="s">
        <v>74</v>
      </c>
      <c r="BB503" t="s">
        <v>74</v>
      </c>
      <c r="BC503" t="s">
        <v>74</v>
      </c>
      <c r="BD503" t="s">
        <v>9606</v>
      </c>
      <c r="BE503" t="s">
        <v>9607</v>
      </c>
      <c r="BF503" t="str">
        <f>HYPERLINK("http://dx.doi.org/10.1029/2011JC006965","http://dx.doi.org/10.1029/2011JC006965")</f>
        <v>http://dx.doi.org/10.1029/2011JC006965</v>
      </c>
      <c r="BG503" t="s">
        <v>74</v>
      </c>
      <c r="BH503" t="s">
        <v>74</v>
      </c>
      <c r="BI503">
        <v>17</v>
      </c>
      <c r="BJ503" t="s">
        <v>496</v>
      </c>
      <c r="BK503" t="s">
        <v>100</v>
      </c>
      <c r="BL503" t="s">
        <v>496</v>
      </c>
      <c r="BM503" t="s">
        <v>9608</v>
      </c>
      <c r="BN503" t="s">
        <v>74</v>
      </c>
      <c r="BO503" t="s">
        <v>316</v>
      </c>
      <c r="BP503" t="s">
        <v>74</v>
      </c>
      <c r="BQ503" t="s">
        <v>74</v>
      </c>
      <c r="BR503" t="s">
        <v>102</v>
      </c>
      <c r="BS503" t="s">
        <v>9609</v>
      </c>
      <c r="BT503" t="str">
        <f>HYPERLINK("https%3A%2F%2Fwww.webofscience.com%2Fwos%2Fwoscc%2Ffull-record%2FWOS:000297072800002","View Full Record in Web of Science")</f>
        <v>View Full Record in Web of Science</v>
      </c>
    </row>
    <row r="504" spans="1:72" x14ac:dyDescent="0.15">
      <c r="A504" t="s">
        <v>72</v>
      </c>
      <c r="B504" t="s">
        <v>9610</v>
      </c>
      <c r="C504" t="s">
        <v>74</v>
      </c>
      <c r="D504" t="s">
        <v>74</v>
      </c>
      <c r="E504" t="s">
        <v>74</v>
      </c>
      <c r="F504" t="s">
        <v>9611</v>
      </c>
      <c r="G504" t="s">
        <v>74</v>
      </c>
      <c r="H504" t="s">
        <v>74</v>
      </c>
      <c r="I504" t="s">
        <v>9612</v>
      </c>
      <c r="J504" t="s">
        <v>6077</v>
      </c>
      <c r="K504" t="s">
        <v>74</v>
      </c>
      <c r="L504" t="s">
        <v>74</v>
      </c>
      <c r="M504" t="s">
        <v>78</v>
      </c>
      <c r="N504" t="s">
        <v>79</v>
      </c>
      <c r="O504" t="s">
        <v>74</v>
      </c>
      <c r="P504" t="s">
        <v>74</v>
      </c>
      <c r="Q504" t="s">
        <v>74</v>
      </c>
      <c r="R504" t="s">
        <v>74</v>
      </c>
      <c r="S504" t="s">
        <v>74</v>
      </c>
      <c r="T504" t="s">
        <v>74</v>
      </c>
      <c r="U504" t="s">
        <v>9613</v>
      </c>
      <c r="V504" t="s">
        <v>9614</v>
      </c>
      <c r="W504" t="s">
        <v>9615</v>
      </c>
      <c r="X504" t="s">
        <v>9616</v>
      </c>
      <c r="Y504" t="s">
        <v>9617</v>
      </c>
      <c r="Z504" t="s">
        <v>9618</v>
      </c>
      <c r="AA504" t="s">
        <v>9619</v>
      </c>
      <c r="AB504" t="s">
        <v>9620</v>
      </c>
      <c r="AC504" t="s">
        <v>9621</v>
      </c>
      <c r="AD504" t="s">
        <v>9622</v>
      </c>
      <c r="AE504" t="s">
        <v>9623</v>
      </c>
      <c r="AF504" t="s">
        <v>74</v>
      </c>
      <c r="AG504">
        <v>54</v>
      </c>
      <c r="AH504">
        <v>22</v>
      </c>
      <c r="AI504">
        <v>23</v>
      </c>
      <c r="AJ504">
        <v>0</v>
      </c>
      <c r="AK504">
        <v>5</v>
      </c>
      <c r="AL504" t="s">
        <v>1498</v>
      </c>
      <c r="AM504" t="s">
        <v>985</v>
      </c>
      <c r="AN504" t="s">
        <v>1499</v>
      </c>
      <c r="AO504" t="s">
        <v>6089</v>
      </c>
      <c r="AP504" t="s">
        <v>6090</v>
      </c>
      <c r="AQ504" t="s">
        <v>74</v>
      </c>
      <c r="AR504" t="s">
        <v>6091</v>
      </c>
      <c r="AS504" t="s">
        <v>6092</v>
      </c>
      <c r="AT504" t="s">
        <v>9605</v>
      </c>
      <c r="AU504">
        <v>2011</v>
      </c>
      <c r="AV504">
        <v>116</v>
      </c>
      <c r="AW504" t="s">
        <v>74</v>
      </c>
      <c r="AX504" t="s">
        <v>74</v>
      </c>
      <c r="AY504" t="s">
        <v>74</v>
      </c>
      <c r="AZ504" t="s">
        <v>74</v>
      </c>
      <c r="BA504" t="s">
        <v>74</v>
      </c>
      <c r="BB504" t="s">
        <v>74</v>
      </c>
      <c r="BC504" t="s">
        <v>74</v>
      </c>
      <c r="BD504" t="s">
        <v>9624</v>
      </c>
      <c r="BE504" t="s">
        <v>9625</v>
      </c>
      <c r="BF504" t="str">
        <f>HYPERLINK("http://dx.doi.org/10.1029/2011JA016916","http://dx.doi.org/10.1029/2011JA016916")</f>
        <v>http://dx.doi.org/10.1029/2011JA016916</v>
      </c>
      <c r="BG504" t="s">
        <v>74</v>
      </c>
      <c r="BH504" t="s">
        <v>74</v>
      </c>
      <c r="BI504">
        <v>16</v>
      </c>
      <c r="BJ504" t="s">
        <v>5208</v>
      </c>
      <c r="BK504" t="s">
        <v>100</v>
      </c>
      <c r="BL504" t="s">
        <v>5208</v>
      </c>
      <c r="BM504" t="s">
        <v>9626</v>
      </c>
      <c r="BN504" t="s">
        <v>74</v>
      </c>
      <c r="BO504" t="s">
        <v>74</v>
      </c>
      <c r="BP504" t="s">
        <v>74</v>
      </c>
      <c r="BQ504" t="s">
        <v>74</v>
      </c>
      <c r="BR504" t="s">
        <v>102</v>
      </c>
      <c r="BS504" t="s">
        <v>9627</v>
      </c>
      <c r="BT504" t="str">
        <f>HYPERLINK("https%3A%2F%2Fwww.webofscience.com%2Fwos%2Fwoscc%2Ffull-record%2FWOS:000297063200001","View Full Record in Web of Science")</f>
        <v>View Full Record in Web of Science</v>
      </c>
    </row>
    <row r="505" spans="1:72" x14ac:dyDescent="0.15">
      <c r="A505" t="s">
        <v>72</v>
      </c>
      <c r="B505" t="s">
        <v>9628</v>
      </c>
      <c r="C505" t="s">
        <v>74</v>
      </c>
      <c r="D505" t="s">
        <v>74</v>
      </c>
      <c r="E505" t="s">
        <v>74</v>
      </c>
      <c r="F505" t="s">
        <v>9629</v>
      </c>
      <c r="G505" t="s">
        <v>74</v>
      </c>
      <c r="H505" t="s">
        <v>74</v>
      </c>
      <c r="I505" t="s">
        <v>9630</v>
      </c>
      <c r="J505" t="s">
        <v>6224</v>
      </c>
      <c r="K505" t="s">
        <v>74</v>
      </c>
      <c r="L505" t="s">
        <v>74</v>
      </c>
      <c r="M505" t="s">
        <v>78</v>
      </c>
      <c r="N505" t="s">
        <v>79</v>
      </c>
      <c r="O505" t="s">
        <v>74</v>
      </c>
      <c r="P505" t="s">
        <v>74</v>
      </c>
      <c r="Q505" t="s">
        <v>74</v>
      </c>
      <c r="R505" t="s">
        <v>74</v>
      </c>
      <c r="S505" t="s">
        <v>74</v>
      </c>
      <c r="T505" t="s">
        <v>74</v>
      </c>
      <c r="U505" t="s">
        <v>9631</v>
      </c>
      <c r="V505" t="s">
        <v>9632</v>
      </c>
      <c r="W505" t="s">
        <v>9633</v>
      </c>
      <c r="X505" t="s">
        <v>9634</v>
      </c>
      <c r="Y505" t="s">
        <v>9635</v>
      </c>
      <c r="Z505" t="s">
        <v>9636</v>
      </c>
      <c r="AA505" t="s">
        <v>9637</v>
      </c>
      <c r="AB505" t="s">
        <v>9638</v>
      </c>
      <c r="AC505" t="s">
        <v>9639</v>
      </c>
      <c r="AD505" t="s">
        <v>9640</v>
      </c>
      <c r="AE505" t="s">
        <v>9641</v>
      </c>
      <c r="AF505" t="s">
        <v>74</v>
      </c>
      <c r="AG505">
        <v>20</v>
      </c>
      <c r="AH505">
        <v>23</v>
      </c>
      <c r="AI505">
        <v>23</v>
      </c>
      <c r="AJ505">
        <v>0</v>
      </c>
      <c r="AK505">
        <v>15</v>
      </c>
      <c r="AL505" t="s">
        <v>1498</v>
      </c>
      <c r="AM505" t="s">
        <v>985</v>
      </c>
      <c r="AN505" t="s">
        <v>1499</v>
      </c>
      <c r="AO505" t="s">
        <v>6236</v>
      </c>
      <c r="AP505" t="s">
        <v>6237</v>
      </c>
      <c r="AQ505" t="s">
        <v>74</v>
      </c>
      <c r="AR505" t="s">
        <v>6238</v>
      </c>
      <c r="AS505" t="s">
        <v>6239</v>
      </c>
      <c r="AT505" t="s">
        <v>9605</v>
      </c>
      <c r="AU505">
        <v>2011</v>
      </c>
      <c r="AV505">
        <v>116</v>
      </c>
      <c r="AW505" t="s">
        <v>74</v>
      </c>
      <c r="AX505" t="s">
        <v>74</v>
      </c>
      <c r="AY505" t="s">
        <v>74</v>
      </c>
      <c r="AZ505" t="s">
        <v>74</v>
      </c>
      <c r="BA505" t="s">
        <v>74</v>
      </c>
      <c r="BB505" t="s">
        <v>74</v>
      </c>
      <c r="BC505" t="s">
        <v>74</v>
      </c>
      <c r="BD505" t="s">
        <v>9642</v>
      </c>
      <c r="BE505" t="s">
        <v>9643</v>
      </c>
      <c r="BF505" t="str">
        <f>HYPERLINK("http://dx.doi.org/10.1029/2011JD015991","http://dx.doi.org/10.1029/2011JD015991")</f>
        <v>http://dx.doi.org/10.1029/2011JD015991</v>
      </c>
      <c r="BG505" t="s">
        <v>74</v>
      </c>
      <c r="BH505" t="s">
        <v>74</v>
      </c>
      <c r="BI505">
        <v>20</v>
      </c>
      <c r="BJ505" t="s">
        <v>463</v>
      </c>
      <c r="BK505" t="s">
        <v>100</v>
      </c>
      <c r="BL505" t="s">
        <v>463</v>
      </c>
      <c r="BM505" t="s">
        <v>9644</v>
      </c>
      <c r="BN505" t="s">
        <v>74</v>
      </c>
      <c r="BO505" t="s">
        <v>365</v>
      </c>
      <c r="BP505" t="s">
        <v>74</v>
      </c>
      <c r="BQ505" t="s">
        <v>74</v>
      </c>
      <c r="BR505" t="s">
        <v>102</v>
      </c>
      <c r="BS505" t="s">
        <v>9645</v>
      </c>
      <c r="BT505" t="str">
        <f>HYPERLINK("https%3A%2F%2Fwww.webofscience.com%2Fwos%2Fwoscc%2Ffull-record%2FWOS:000297051800003","View Full Record in Web of Science")</f>
        <v>View Full Record in Web of Science</v>
      </c>
    </row>
    <row r="506" spans="1:72" x14ac:dyDescent="0.15">
      <c r="A506" t="s">
        <v>72</v>
      </c>
      <c r="B506" t="s">
        <v>9646</v>
      </c>
      <c r="C506" t="s">
        <v>74</v>
      </c>
      <c r="D506" t="s">
        <v>74</v>
      </c>
      <c r="E506" t="s">
        <v>74</v>
      </c>
      <c r="F506" t="s">
        <v>9647</v>
      </c>
      <c r="G506" t="s">
        <v>74</v>
      </c>
      <c r="H506" t="s">
        <v>74</v>
      </c>
      <c r="I506" t="s">
        <v>9648</v>
      </c>
      <c r="J506" t="s">
        <v>6224</v>
      </c>
      <c r="K506" t="s">
        <v>74</v>
      </c>
      <c r="L506" t="s">
        <v>74</v>
      </c>
      <c r="M506" t="s">
        <v>78</v>
      </c>
      <c r="N506" t="s">
        <v>79</v>
      </c>
      <c r="O506" t="s">
        <v>74</v>
      </c>
      <c r="P506" t="s">
        <v>74</v>
      </c>
      <c r="Q506" t="s">
        <v>74</v>
      </c>
      <c r="R506" t="s">
        <v>74</v>
      </c>
      <c r="S506" t="s">
        <v>74</v>
      </c>
      <c r="T506" t="s">
        <v>74</v>
      </c>
      <c r="U506" t="s">
        <v>9649</v>
      </c>
      <c r="V506" t="s">
        <v>9650</v>
      </c>
      <c r="W506" t="s">
        <v>9651</v>
      </c>
      <c r="X506" t="s">
        <v>9652</v>
      </c>
      <c r="Y506" t="s">
        <v>9653</v>
      </c>
      <c r="Z506" t="s">
        <v>9654</v>
      </c>
      <c r="AA506" t="s">
        <v>9655</v>
      </c>
      <c r="AB506" t="s">
        <v>9656</v>
      </c>
      <c r="AC506" t="s">
        <v>9657</v>
      </c>
      <c r="AD506" t="s">
        <v>9658</v>
      </c>
      <c r="AE506" t="s">
        <v>9659</v>
      </c>
      <c r="AF506" t="s">
        <v>74</v>
      </c>
      <c r="AG506">
        <v>17</v>
      </c>
      <c r="AH506">
        <v>26</v>
      </c>
      <c r="AI506">
        <v>29</v>
      </c>
      <c r="AJ506">
        <v>1</v>
      </c>
      <c r="AK506">
        <v>15</v>
      </c>
      <c r="AL506" t="s">
        <v>1498</v>
      </c>
      <c r="AM506" t="s">
        <v>985</v>
      </c>
      <c r="AN506" t="s">
        <v>1499</v>
      </c>
      <c r="AO506" t="s">
        <v>6236</v>
      </c>
      <c r="AP506" t="s">
        <v>6237</v>
      </c>
      <c r="AQ506" t="s">
        <v>74</v>
      </c>
      <c r="AR506" t="s">
        <v>6238</v>
      </c>
      <c r="AS506" t="s">
        <v>6239</v>
      </c>
      <c r="AT506" t="s">
        <v>9660</v>
      </c>
      <c r="AU506">
        <v>2011</v>
      </c>
      <c r="AV506">
        <v>116</v>
      </c>
      <c r="AW506" t="s">
        <v>74</v>
      </c>
      <c r="AX506" t="s">
        <v>74</v>
      </c>
      <c r="AY506" t="s">
        <v>74</v>
      </c>
      <c r="AZ506" t="s">
        <v>74</v>
      </c>
      <c r="BA506" t="s">
        <v>74</v>
      </c>
      <c r="BB506" t="s">
        <v>74</v>
      </c>
      <c r="BC506" t="s">
        <v>74</v>
      </c>
      <c r="BD506" t="s">
        <v>9661</v>
      </c>
      <c r="BE506" t="s">
        <v>9662</v>
      </c>
      <c r="BF506" t="str">
        <f>HYPERLINK("http://dx.doi.org/10.1029/2011JD015645","http://dx.doi.org/10.1029/2011JD015645")</f>
        <v>http://dx.doi.org/10.1029/2011JD015645</v>
      </c>
      <c r="BG506" t="s">
        <v>74</v>
      </c>
      <c r="BH506" t="s">
        <v>74</v>
      </c>
      <c r="BI506">
        <v>12</v>
      </c>
      <c r="BJ506" t="s">
        <v>463</v>
      </c>
      <c r="BK506" t="s">
        <v>100</v>
      </c>
      <c r="BL506" t="s">
        <v>463</v>
      </c>
      <c r="BM506" t="s">
        <v>9663</v>
      </c>
      <c r="BN506" t="s">
        <v>74</v>
      </c>
      <c r="BO506" t="s">
        <v>74</v>
      </c>
      <c r="BP506" t="s">
        <v>74</v>
      </c>
      <c r="BQ506" t="s">
        <v>74</v>
      </c>
      <c r="BR506" t="s">
        <v>102</v>
      </c>
      <c r="BS506" t="s">
        <v>9664</v>
      </c>
      <c r="BT506" t="str">
        <f>HYPERLINK("https%3A%2F%2Fwww.webofscience.com%2Fwos%2Fwoscc%2Ffull-record%2FWOS:000297051600002","View Full Record in Web of Science")</f>
        <v>View Full Record in Web of Science</v>
      </c>
    </row>
    <row r="507" spans="1:72" x14ac:dyDescent="0.15">
      <c r="A507" t="s">
        <v>72</v>
      </c>
      <c r="B507" t="s">
        <v>9665</v>
      </c>
      <c r="C507" t="s">
        <v>74</v>
      </c>
      <c r="D507" t="s">
        <v>74</v>
      </c>
      <c r="E507" t="s">
        <v>74</v>
      </c>
      <c r="F507" t="s">
        <v>9666</v>
      </c>
      <c r="G507" t="s">
        <v>74</v>
      </c>
      <c r="H507" t="s">
        <v>74</v>
      </c>
      <c r="I507" t="s">
        <v>9667</v>
      </c>
      <c r="J507" t="s">
        <v>9668</v>
      </c>
      <c r="K507" t="s">
        <v>74</v>
      </c>
      <c r="L507" t="s">
        <v>74</v>
      </c>
      <c r="M507" t="s">
        <v>78</v>
      </c>
      <c r="N507" t="s">
        <v>79</v>
      </c>
      <c r="O507" t="s">
        <v>74</v>
      </c>
      <c r="P507" t="s">
        <v>74</v>
      </c>
      <c r="Q507" t="s">
        <v>74</v>
      </c>
      <c r="R507" t="s">
        <v>74</v>
      </c>
      <c r="S507" t="s">
        <v>74</v>
      </c>
      <c r="T507" t="s">
        <v>9669</v>
      </c>
      <c r="U507" t="s">
        <v>9670</v>
      </c>
      <c r="V507" t="s">
        <v>9671</v>
      </c>
      <c r="W507" t="s">
        <v>9672</v>
      </c>
      <c r="X507" t="s">
        <v>9673</v>
      </c>
      <c r="Y507" t="s">
        <v>9674</v>
      </c>
      <c r="Z507" t="s">
        <v>9675</v>
      </c>
      <c r="AA507" t="s">
        <v>74</v>
      </c>
      <c r="AB507" t="s">
        <v>9676</v>
      </c>
      <c r="AC507" t="s">
        <v>74</v>
      </c>
      <c r="AD507" t="s">
        <v>74</v>
      </c>
      <c r="AE507" t="s">
        <v>74</v>
      </c>
      <c r="AF507" t="s">
        <v>74</v>
      </c>
      <c r="AG507">
        <v>31</v>
      </c>
      <c r="AH507">
        <v>2</v>
      </c>
      <c r="AI507">
        <v>2</v>
      </c>
      <c r="AJ507">
        <v>0</v>
      </c>
      <c r="AK507">
        <v>11</v>
      </c>
      <c r="AL507" t="s">
        <v>333</v>
      </c>
      <c r="AM507" t="s">
        <v>334</v>
      </c>
      <c r="AN507" t="s">
        <v>335</v>
      </c>
      <c r="AO507" t="s">
        <v>9677</v>
      </c>
      <c r="AP507" t="s">
        <v>9678</v>
      </c>
      <c r="AQ507" t="s">
        <v>74</v>
      </c>
      <c r="AR507" t="s">
        <v>9668</v>
      </c>
      <c r="AS507" t="s">
        <v>9679</v>
      </c>
      <c r="AT507" t="s">
        <v>9680</v>
      </c>
      <c r="AU507">
        <v>2011</v>
      </c>
      <c r="AV507">
        <v>511</v>
      </c>
      <c r="AW507" t="s">
        <v>6679</v>
      </c>
      <c r="AX507" t="s">
        <v>74</v>
      </c>
      <c r="AY507" t="s">
        <v>74</v>
      </c>
      <c r="AZ507" t="s">
        <v>74</v>
      </c>
      <c r="BA507" t="s">
        <v>74</v>
      </c>
      <c r="BB507">
        <v>69</v>
      </c>
      <c r="BC507">
        <v>78</v>
      </c>
      <c r="BD507" t="s">
        <v>74</v>
      </c>
      <c r="BE507" t="s">
        <v>9681</v>
      </c>
      <c r="BF507" t="str">
        <f>HYPERLINK("http://dx.doi.org/10.1016/j.tecto.2010.11.010","http://dx.doi.org/10.1016/j.tecto.2010.11.010")</f>
        <v>http://dx.doi.org/10.1016/j.tecto.2010.11.010</v>
      </c>
      <c r="BG507" t="s">
        <v>74</v>
      </c>
      <c r="BH507" t="s">
        <v>74</v>
      </c>
      <c r="BI507">
        <v>10</v>
      </c>
      <c r="BJ507" t="s">
        <v>164</v>
      </c>
      <c r="BK507" t="s">
        <v>100</v>
      </c>
      <c r="BL507" t="s">
        <v>164</v>
      </c>
      <c r="BM507" t="s">
        <v>9682</v>
      </c>
      <c r="BN507" t="s">
        <v>74</v>
      </c>
      <c r="BO507" t="s">
        <v>74</v>
      </c>
      <c r="BP507" t="s">
        <v>74</v>
      </c>
      <c r="BQ507" t="s">
        <v>74</v>
      </c>
      <c r="BR507" t="s">
        <v>102</v>
      </c>
      <c r="BS507" t="s">
        <v>9683</v>
      </c>
      <c r="BT507" t="str">
        <f>HYPERLINK("https%3A%2F%2Fwww.webofscience.com%2Fwos%2Fwoscc%2Ffull-record%2FWOS:000298517900002","View Full Record in Web of Science")</f>
        <v>View Full Record in Web of Science</v>
      </c>
    </row>
    <row r="508" spans="1:72" x14ac:dyDescent="0.15">
      <c r="A508" t="s">
        <v>72</v>
      </c>
      <c r="B508" t="s">
        <v>9684</v>
      </c>
      <c r="C508" t="s">
        <v>74</v>
      </c>
      <c r="D508" t="s">
        <v>74</v>
      </c>
      <c r="E508" t="s">
        <v>74</v>
      </c>
      <c r="F508" t="s">
        <v>9685</v>
      </c>
      <c r="G508" t="s">
        <v>74</v>
      </c>
      <c r="H508" t="s">
        <v>74</v>
      </c>
      <c r="I508" t="s">
        <v>9686</v>
      </c>
      <c r="J508" t="s">
        <v>9397</v>
      </c>
      <c r="K508" t="s">
        <v>74</v>
      </c>
      <c r="L508" t="s">
        <v>74</v>
      </c>
      <c r="M508" t="s">
        <v>78</v>
      </c>
      <c r="N508" t="s">
        <v>9687</v>
      </c>
      <c r="O508" t="s">
        <v>74</v>
      </c>
      <c r="P508" t="s">
        <v>74</v>
      </c>
      <c r="Q508" t="s">
        <v>74</v>
      </c>
      <c r="R508" t="s">
        <v>74</v>
      </c>
      <c r="S508" t="s">
        <v>74</v>
      </c>
      <c r="T508" t="s">
        <v>74</v>
      </c>
      <c r="U508" t="s">
        <v>74</v>
      </c>
      <c r="V508" t="s">
        <v>9688</v>
      </c>
      <c r="W508" t="s">
        <v>9689</v>
      </c>
      <c r="X508" t="s">
        <v>3984</v>
      </c>
      <c r="Y508" t="s">
        <v>9690</v>
      </c>
      <c r="Z508" t="s">
        <v>9691</v>
      </c>
      <c r="AA508" t="s">
        <v>9692</v>
      </c>
      <c r="AB508" t="s">
        <v>9693</v>
      </c>
      <c r="AC508" t="s">
        <v>74</v>
      </c>
      <c r="AD508" t="s">
        <v>74</v>
      </c>
      <c r="AE508" t="s">
        <v>74</v>
      </c>
      <c r="AF508" t="s">
        <v>74</v>
      </c>
      <c r="AG508">
        <v>6</v>
      </c>
      <c r="AH508">
        <v>1</v>
      </c>
      <c r="AI508">
        <v>2</v>
      </c>
      <c r="AJ508">
        <v>0</v>
      </c>
      <c r="AK508">
        <v>8</v>
      </c>
      <c r="AL508" t="s">
        <v>9403</v>
      </c>
      <c r="AM508" t="s">
        <v>221</v>
      </c>
      <c r="AN508" t="s">
        <v>9404</v>
      </c>
      <c r="AO508" t="s">
        <v>9405</v>
      </c>
      <c r="AP508" t="s">
        <v>74</v>
      </c>
      <c r="AQ508" t="s">
        <v>74</v>
      </c>
      <c r="AR508" t="s">
        <v>9397</v>
      </c>
      <c r="AS508" t="s">
        <v>9406</v>
      </c>
      <c r="AT508" t="s">
        <v>9680</v>
      </c>
      <c r="AU508">
        <v>2011</v>
      </c>
      <c r="AV508">
        <v>479</v>
      </c>
      <c r="AW508">
        <v>7372</v>
      </c>
      <c r="AX508" t="s">
        <v>74</v>
      </c>
      <c r="AY508" t="s">
        <v>74</v>
      </c>
      <c r="AZ508" t="s">
        <v>74</v>
      </c>
      <c r="BA508" t="s">
        <v>74</v>
      </c>
      <c r="BB508" t="s">
        <v>9694</v>
      </c>
      <c r="BC508" t="s">
        <v>9695</v>
      </c>
      <c r="BD508" t="s">
        <v>74</v>
      </c>
      <c r="BE508" t="s">
        <v>9696</v>
      </c>
      <c r="BF508" t="str">
        <f>HYPERLINK("http://dx.doi.org/10.1038/nature10614","http://dx.doi.org/10.1038/nature10614")</f>
        <v>http://dx.doi.org/10.1038/nature10614</v>
      </c>
      <c r="BG508" t="s">
        <v>74</v>
      </c>
      <c r="BH508" t="s">
        <v>74</v>
      </c>
      <c r="BI508">
        <v>3</v>
      </c>
      <c r="BJ508" t="s">
        <v>6182</v>
      </c>
      <c r="BK508" t="s">
        <v>100</v>
      </c>
      <c r="BL508" t="s">
        <v>6183</v>
      </c>
      <c r="BM508" t="s">
        <v>9697</v>
      </c>
      <c r="BN508" t="s">
        <v>74</v>
      </c>
      <c r="BO508" t="s">
        <v>74</v>
      </c>
      <c r="BP508" t="s">
        <v>74</v>
      </c>
      <c r="BQ508" t="s">
        <v>74</v>
      </c>
      <c r="BR508" t="s">
        <v>102</v>
      </c>
      <c r="BS508" t="s">
        <v>9698</v>
      </c>
      <c r="BT508" t="str">
        <f>HYPERLINK("https%3A%2F%2Fwww.webofscience.com%2Fwos%2Fwoscc%2Ffull-record%2FWOS:000298030800002","View Full Record in Web of Science")</f>
        <v>View Full Record in Web of Science</v>
      </c>
    </row>
    <row r="509" spans="1:72" x14ac:dyDescent="0.15">
      <c r="A509" t="s">
        <v>72</v>
      </c>
      <c r="B509" t="s">
        <v>9699</v>
      </c>
      <c r="C509" t="s">
        <v>74</v>
      </c>
      <c r="D509" t="s">
        <v>74</v>
      </c>
      <c r="E509" t="s">
        <v>74</v>
      </c>
      <c r="F509" t="s">
        <v>9700</v>
      </c>
      <c r="G509" t="s">
        <v>74</v>
      </c>
      <c r="H509" t="s">
        <v>74</v>
      </c>
      <c r="I509" t="s">
        <v>9701</v>
      </c>
      <c r="J509" t="s">
        <v>9397</v>
      </c>
      <c r="K509" t="s">
        <v>74</v>
      </c>
      <c r="L509" t="s">
        <v>74</v>
      </c>
      <c r="M509" t="s">
        <v>78</v>
      </c>
      <c r="N509" t="s">
        <v>9687</v>
      </c>
      <c r="O509" t="s">
        <v>74</v>
      </c>
      <c r="P509" t="s">
        <v>74</v>
      </c>
      <c r="Q509" t="s">
        <v>74</v>
      </c>
      <c r="R509" t="s">
        <v>74</v>
      </c>
      <c r="S509" t="s">
        <v>74</v>
      </c>
      <c r="T509" t="s">
        <v>74</v>
      </c>
      <c r="U509" t="s">
        <v>9702</v>
      </c>
      <c r="V509" t="s">
        <v>9703</v>
      </c>
      <c r="W509" t="s">
        <v>9704</v>
      </c>
      <c r="X509" t="s">
        <v>527</v>
      </c>
      <c r="Y509" t="s">
        <v>9705</v>
      </c>
      <c r="Z509" t="s">
        <v>9706</v>
      </c>
      <c r="AA509" t="s">
        <v>9707</v>
      </c>
      <c r="AB509" t="s">
        <v>9708</v>
      </c>
      <c r="AC509" t="s">
        <v>9273</v>
      </c>
      <c r="AD509" t="s">
        <v>1007</v>
      </c>
      <c r="AE509" t="s">
        <v>74</v>
      </c>
      <c r="AF509" t="s">
        <v>74</v>
      </c>
      <c r="AG509">
        <v>9</v>
      </c>
      <c r="AH509">
        <v>5</v>
      </c>
      <c r="AI509">
        <v>6</v>
      </c>
      <c r="AJ509">
        <v>1</v>
      </c>
      <c r="AK509">
        <v>9</v>
      </c>
      <c r="AL509" t="s">
        <v>9403</v>
      </c>
      <c r="AM509" t="s">
        <v>221</v>
      </c>
      <c r="AN509" t="s">
        <v>9404</v>
      </c>
      <c r="AO509" t="s">
        <v>9405</v>
      </c>
      <c r="AP509" t="s">
        <v>74</v>
      </c>
      <c r="AQ509" t="s">
        <v>74</v>
      </c>
      <c r="AR509" t="s">
        <v>9397</v>
      </c>
      <c r="AS509" t="s">
        <v>9406</v>
      </c>
      <c r="AT509" t="s">
        <v>9680</v>
      </c>
      <c r="AU509">
        <v>2011</v>
      </c>
      <c r="AV509">
        <v>479</v>
      </c>
      <c r="AW509">
        <v>7372</v>
      </c>
      <c r="AX509" t="s">
        <v>74</v>
      </c>
      <c r="AY509" t="s">
        <v>74</v>
      </c>
      <c r="AZ509" t="s">
        <v>74</v>
      </c>
      <c r="BA509" t="s">
        <v>74</v>
      </c>
      <c r="BB509" t="s">
        <v>9709</v>
      </c>
      <c r="BC509" t="s">
        <v>9694</v>
      </c>
      <c r="BD509" t="s">
        <v>74</v>
      </c>
      <c r="BE509" t="s">
        <v>9710</v>
      </c>
      <c r="BF509" t="str">
        <f>HYPERLINK("http://dx.doi.org/10.1038/nature10613","http://dx.doi.org/10.1038/nature10613")</f>
        <v>http://dx.doi.org/10.1038/nature10613</v>
      </c>
      <c r="BG509" t="s">
        <v>74</v>
      </c>
      <c r="BH509" t="s">
        <v>74</v>
      </c>
      <c r="BI509">
        <v>2</v>
      </c>
      <c r="BJ509" t="s">
        <v>6182</v>
      </c>
      <c r="BK509" t="s">
        <v>100</v>
      </c>
      <c r="BL509" t="s">
        <v>6183</v>
      </c>
      <c r="BM509" t="s">
        <v>9697</v>
      </c>
      <c r="BN509">
        <v>22071770</v>
      </c>
      <c r="BO509" t="s">
        <v>74</v>
      </c>
      <c r="BP509" t="s">
        <v>74</v>
      </c>
      <c r="BQ509" t="s">
        <v>74</v>
      </c>
      <c r="BR509" t="s">
        <v>102</v>
      </c>
      <c r="BS509" t="s">
        <v>9711</v>
      </c>
      <c r="BT509" t="str">
        <f>HYPERLINK("https%3A%2F%2Fwww.webofscience.com%2Fwos%2Fwoscc%2Ffull-record%2FWOS:000298030800001","View Full Record in Web of Science")</f>
        <v>View Full Record in Web of Science</v>
      </c>
    </row>
    <row r="510" spans="1:72" x14ac:dyDescent="0.15">
      <c r="A510" t="s">
        <v>72</v>
      </c>
      <c r="B510" t="s">
        <v>9712</v>
      </c>
      <c r="C510" t="s">
        <v>74</v>
      </c>
      <c r="D510" t="s">
        <v>74</v>
      </c>
      <c r="E510" t="s">
        <v>74</v>
      </c>
      <c r="F510" t="s">
        <v>9713</v>
      </c>
      <c r="G510" t="s">
        <v>74</v>
      </c>
      <c r="H510" t="s">
        <v>74</v>
      </c>
      <c r="I510" t="s">
        <v>9714</v>
      </c>
      <c r="J510" t="s">
        <v>6165</v>
      </c>
      <c r="K510" t="s">
        <v>74</v>
      </c>
      <c r="L510" t="s">
        <v>74</v>
      </c>
      <c r="M510" t="s">
        <v>78</v>
      </c>
      <c r="N510" t="s">
        <v>79</v>
      </c>
      <c r="O510" t="s">
        <v>74</v>
      </c>
      <c r="P510" t="s">
        <v>74</v>
      </c>
      <c r="Q510" t="s">
        <v>74</v>
      </c>
      <c r="R510" t="s">
        <v>74</v>
      </c>
      <c r="S510" t="s">
        <v>74</v>
      </c>
      <c r="T510" t="s">
        <v>74</v>
      </c>
      <c r="U510" t="s">
        <v>9715</v>
      </c>
      <c r="V510" t="s">
        <v>9716</v>
      </c>
      <c r="W510" t="s">
        <v>9717</v>
      </c>
      <c r="X510" t="s">
        <v>9718</v>
      </c>
      <c r="Y510" t="s">
        <v>9719</v>
      </c>
      <c r="Z510" t="s">
        <v>9720</v>
      </c>
      <c r="AA510" t="s">
        <v>9721</v>
      </c>
      <c r="AB510" t="s">
        <v>9722</v>
      </c>
      <c r="AC510" t="s">
        <v>9723</v>
      </c>
      <c r="AD510" t="s">
        <v>9724</v>
      </c>
      <c r="AE510" t="s">
        <v>9725</v>
      </c>
      <c r="AF510" t="s">
        <v>74</v>
      </c>
      <c r="AG510">
        <v>29</v>
      </c>
      <c r="AH510">
        <v>23</v>
      </c>
      <c r="AI510">
        <v>32</v>
      </c>
      <c r="AJ510">
        <v>2</v>
      </c>
      <c r="AK510">
        <v>53</v>
      </c>
      <c r="AL510" t="s">
        <v>5249</v>
      </c>
      <c r="AM510" t="s">
        <v>5250</v>
      </c>
      <c r="AN510" t="s">
        <v>5251</v>
      </c>
      <c r="AO510" t="s">
        <v>6177</v>
      </c>
      <c r="AP510" t="s">
        <v>74</v>
      </c>
      <c r="AQ510" t="s">
        <v>74</v>
      </c>
      <c r="AR510" t="s">
        <v>6165</v>
      </c>
      <c r="AS510" t="s">
        <v>6178</v>
      </c>
      <c r="AT510" t="s">
        <v>9726</v>
      </c>
      <c r="AU510">
        <v>2011</v>
      </c>
      <c r="AV510">
        <v>6</v>
      </c>
      <c r="AW510">
        <v>11</v>
      </c>
      <c r="AX510" t="s">
        <v>74</v>
      </c>
      <c r="AY510" t="s">
        <v>74</v>
      </c>
      <c r="AZ510" t="s">
        <v>74</v>
      </c>
      <c r="BA510" t="s">
        <v>74</v>
      </c>
      <c r="BB510" t="s">
        <v>74</v>
      </c>
      <c r="BC510" t="s">
        <v>74</v>
      </c>
      <c r="BD510" t="s">
        <v>9727</v>
      </c>
      <c r="BE510" t="s">
        <v>9728</v>
      </c>
      <c r="BF510" t="str">
        <f>HYPERLINK("http://dx.doi.org/10.1371/journal.pone.0027331","http://dx.doi.org/10.1371/journal.pone.0027331")</f>
        <v>http://dx.doi.org/10.1371/journal.pone.0027331</v>
      </c>
      <c r="BG510" t="s">
        <v>74</v>
      </c>
      <c r="BH510" t="s">
        <v>74</v>
      </c>
      <c r="BI510">
        <v>4</v>
      </c>
      <c r="BJ510" t="s">
        <v>6182</v>
      </c>
      <c r="BK510" t="s">
        <v>100</v>
      </c>
      <c r="BL510" t="s">
        <v>6183</v>
      </c>
      <c r="BM510" t="s">
        <v>9729</v>
      </c>
      <c r="BN510">
        <v>22087294</v>
      </c>
      <c r="BO510" t="s">
        <v>2136</v>
      </c>
      <c r="BP510" t="s">
        <v>74</v>
      </c>
      <c r="BQ510" t="s">
        <v>74</v>
      </c>
      <c r="BR510" t="s">
        <v>102</v>
      </c>
      <c r="BS510" t="s">
        <v>9730</v>
      </c>
      <c r="BT510" t="str">
        <f>HYPERLINK("https%3A%2F%2Fwww.webofscience.com%2Fwos%2Fwoscc%2Ffull-record%2FWOS:000297347700042","View Full Record in Web of Science")</f>
        <v>View Full Record in Web of Science</v>
      </c>
    </row>
    <row r="511" spans="1:72" x14ac:dyDescent="0.15">
      <c r="A511" t="s">
        <v>72</v>
      </c>
      <c r="B511" t="s">
        <v>9731</v>
      </c>
      <c r="C511" t="s">
        <v>74</v>
      </c>
      <c r="D511" t="s">
        <v>74</v>
      </c>
      <c r="E511" t="s">
        <v>74</v>
      </c>
      <c r="F511" t="s">
        <v>9732</v>
      </c>
      <c r="G511" t="s">
        <v>74</v>
      </c>
      <c r="H511" t="s">
        <v>74</v>
      </c>
      <c r="I511" t="s">
        <v>9733</v>
      </c>
      <c r="J511" t="s">
        <v>9734</v>
      </c>
      <c r="K511" t="s">
        <v>74</v>
      </c>
      <c r="L511" t="s">
        <v>74</v>
      </c>
      <c r="M511" t="s">
        <v>78</v>
      </c>
      <c r="N511" t="s">
        <v>79</v>
      </c>
      <c r="O511" t="s">
        <v>74</v>
      </c>
      <c r="P511" t="s">
        <v>74</v>
      </c>
      <c r="Q511" t="s">
        <v>74</v>
      </c>
      <c r="R511" t="s">
        <v>74</v>
      </c>
      <c r="S511" t="s">
        <v>74</v>
      </c>
      <c r="T511" t="s">
        <v>9735</v>
      </c>
      <c r="U511" t="s">
        <v>9736</v>
      </c>
      <c r="V511" t="s">
        <v>9737</v>
      </c>
      <c r="W511" t="s">
        <v>9738</v>
      </c>
      <c r="X511" t="s">
        <v>9739</v>
      </c>
      <c r="Y511" t="s">
        <v>9740</v>
      </c>
      <c r="Z511" t="s">
        <v>9741</v>
      </c>
      <c r="AA511" t="s">
        <v>74</v>
      </c>
      <c r="AB511" t="s">
        <v>9742</v>
      </c>
      <c r="AC511" t="s">
        <v>9743</v>
      </c>
      <c r="AD511" t="s">
        <v>9743</v>
      </c>
      <c r="AE511" t="s">
        <v>9744</v>
      </c>
      <c r="AF511" t="s">
        <v>74</v>
      </c>
      <c r="AG511">
        <v>39</v>
      </c>
      <c r="AH511">
        <v>22</v>
      </c>
      <c r="AI511">
        <v>26</v>
      </c>
      <c r="AJ511">
        <v>0</v>
      </c>
      <c r="AK511">
        <v>48</v>
      </c>
      <c r="AL511" t="s">
        <v>333</v>
      </c>
      <c r="AM511" t="s">
        <v>334</v>
      </c>
      <c r="AN511" t="s">
        <v>335</v>
      </c>
      <c r="AO511" t="s">
        <v>9745</v>
      </c>
      <c r="AP511" t="s">
        <v>9746</v>
      </c>
      <c r="AQ511" t="s">
        <v>74</v>
      </c>
      <c r="AR511" t="s">
        <v>9747</v>
      </c>
      <c r="AS511" t="s">
        <v>9748</v>
      </c>
      <c r="AT511" t="s">
        <v>9726</v>
      </c>
      <c r="AU511">
        <v>2011</v>
      </c>
      <c r="AV511">
        <v>706</v>
      </c>
      <c r="AW511">
        <v>1</v>
      </c>
      <c r="AX511" t="s">
        <v>74</v>
      </c>
      <c r="AY511" t="s">
        <v>74</v>
      </c>
      <c r="AZ511" t="s">
        <v>74</v>
      </c>
      <c r="BA511" t="s">
        <v>74</v>
      </c>
      <c r="BB511">
        <v>89</v>
      </c>
      <c r="BC511">
        <v>96</v>
      </c>
      <c r="BD511" t="s">
        <v>74</v>
      </c>
      <c r="BE511" t="s">
        <v>9749</v>
      </c>
      <c r="BF511" t="str">
        <f>HYPERLINK("http://dx.doi.org/10.1016/j.aca.2011.08.024","http://dx.doi.org/10.1016/j.aca.2011.08.024")</f>
        <v>http://dx.doi.org/10.1016/j.aca.2011.08.024</v>
      </c>
      <c r="BG511" t="s">
        <v>74</v>
      </c>
      <c r="BH511" t="s">
        <v>74</v>
      </c>
      <c r="BI511">
        <v>8</v>
      </c>
      <c r="BJ511" t="s">
        <v>721</v>
      </c>
      <c r="BK511" t="s">
        <v>100</v>
      </c>
      <c r="BL511" t="s">
        <v>722</v>
      </c>
      <c r="BM511" t="s">
        <v>9750</v>
      </c>
      <c r="BN511">
        <v>21995914</v>
      </c>
      <c r="BO511" t="s">
        <v>74</v>
      </c>
      <c r="BP511" t="s">
        <v>74</v>
      </c>
      <c r="BQ511" t="s">
        <v>74</v>
      </c>
      <c r="BR511" t="s">
        <v>102</v>
      </c>
      <c r="BS511" t="s">
        <v>9751</v>
      </c>
      <c r="BT511" t="str">
        <f>HYPERLINK("https%3A%2F%2Fwww.webofscience.com%2Fwos%2Fwoscc%2Ffull-record%2FWOS:000296755300007","View Full Record in Web of Science")</f>
        <v>View Full Record in Web of Science</v>
      </c>
    </row>
    <row r="512" spans="1:72" x14ac:dyDescent="0.15">
      <c r="A512" t="s">
        <v>72</v>
      </c>
      <c r="B512" t="s">
        <v>9752</v>
      </c>
      <c r="C512" t="s">
        <v>74</v>
      </c>
      <c r="D512" t="s">
        <v>74</v>
      </c>
      <c r="E512" t="s">
        <v>74</v>
      </c>
      <c r="F512" t="s">
        <v>9753</v>
      </c>
      <c r="G512" t="s">
        <v>74</v>
      </c>
      <c r="H512" t="s">
        <v>74</v>
      </c>
      <c r="I512" t="s">
        <v>9754</v>
      </c>
      <c r="J512" t="s">
        <v>6124</v>
      </c>
      <c r="K512" t="s">
        <v>74</v>
      </c>
      <c r="L512" t="s">
        <v>74</v>
      </c>
      <c r="M512" t="s">
        <v>78</v>
      </c>
      <c r="N512" t="s">
        <v>79</v>
      </c>
      <c r="O512" t="s">
        <v>74</v>
      </c>
      <c r="P512" t="s">
        <v>74</v>
      </c>
      <c r="Q512" t="s">
        <v>74</v>
      </c>
      <c r="R512" t="s">
        <v>74</v>
      </c>
      <c r="S512" t="s">
        <v>74</v>
      </c>
      <c r="T512" t="s">
        <v>74</v>
      </c>
      <c r="U512" t="s">
        <v>9755</v>
      </c>
      <c r="V512" t="s">
        <v>9756</v>
      </c>
      <c r="W512" t="s">
        <v>9757</v>
      </c>
      <c r="X512" t="s">
        <v>9758</v>
      </c>
      <c r="Y512" t="s">
        <v>9759</v>
      </c>
      <c r="Z512" t="s">
        <v>3951</v>
      </c>
      <c r="AA512" t="s">
        <v>9760</v>
      </c>
      <c r="AB512" t="s">
        <v>9761</v>
      </c>
      <c r="AC512" t="s">
        <v>9762</v>
      </c>
      <c r="AD512" t="s">
        <v>9763</v>
      </c>
      <c r="AE512" t="s">
        <v>9764</v>
      </c>
      <c r="AF512" t="s">
        <v>74</v>
      </c>
      <c r="AG512">
        <v>77</v>
      </c>
      <c r="AH512">
        <v>13</v>
      </c>
      <c r="AI512">
        <v>13</v>
      </c>
      <c r="AJ512">
        <v>0</v>
      </c>
      <c r="AK512">
        <v>12</v>
      </c>
      <c r="AL512" t="s">
        <v>1498</v>
      </c>
      <c r="AM512" t="s">
        <v>985</v>
      </c>
      <c r="AN512" t="s">
        <v>1499</v>
      </c>
      <c r="AO512" t="s">
        <v>6136</v>
      </c>
      <c r="AP512" t="s">
        <v>6137</v>
      </c>
      <c r="AQ512" t="s">
        <v>74</v>
      </c>
      <c r="AR512" t="s">
        <v>6138</v>
      </c>
      <c r="AS512" t="s">
        <v>6139</v>
      </c>
      <c r="AT512" t="s">
        <v>9765</v>
      </c>
      <c r="AU512">
        <v>2011</v>
      </c>
      <c r="AV512">
        <v>116</v>
      </c>
      <c r="AW512" t="s">
        <v>74</v>
      </c>
      <c r="AX512" t="s">
        <v>74</v>
      </c>
      <c r="AY512" t="s">
        <v>74</v>
      </c>
      <c r="AZ512" t="s">
        <v>74</v>
      </c>
      <c r="BA512" t="s">
        <v>74</v>
      </c>
      <c r="BB512" t="s">
        <v>74</v>
      </c>
      <c r="BC512" t="s">
        <v>74</v>
      </c>
      <c r="BD512" t="s">
        <v>9766</v>
      </c>
      <c r="BE512" t="s">
        <v>9767</v>
      </c>
      <c r="BF512" t="str">
        <f>HYPERLINK("http://dx.doi.org/10.1029/2011JC007294","http://dx.doi.org/10.1029/2011JC007294")</f>
        <v>http://dx.doi.org/10.1029/2011JC007294</v>
      </c>
      <c r="BG512" t="s">
        <v>74</v>
      </c>
      <c r="BH512" t="s">
        <v>74</v>
      </c>
      <c r="BI512">
        <v>16</v>
      </c>
      <c r="BJ512" t="s">
        <v>496</v>
      </c>
      <c r="BK512" t="s">
        <v>100</v>
      </c>
      <c r="BL512" t="s">
        <v>496</v>
      </c>
      <c r="BM512" t="s">
        <v>9768</v>
      </c>
      <c r="BN512" t="s">
        <v>74</v>
      </c>
      <c r="BO512" t="s">
        <v>4368</v>
      </c>
      <c r="BP512" t="s">
        <v>74</v>
      </c>
      <c r="BQ512" t="s">
        <v>74</v>
      </c>
      <c r="BR512" t="s">
        <v>102</v>
      </c>
      <c r="BS512" t="s">
        <v>9769</v>
      </c>
      <c r="BT512" t="str">
        <f>HYPERLINK("https%3A%2F%2Fwww.webofscience.com%2Fwos%2Fwoscc%2Ffull-record%2FWOS:000296620800003","View Full Record in Web of Science")</f>
        <v>View Full Record in Web of Science</v>
      </c>
    </row>
    <row r="513" spans="1:72" x14ac:dyDescent="0.15">
      <c r="A513" t="s">
        <v>72</v>
      </c>
      <c r="B513" t="s">
        <v>9770</v>
      </c>
      <c r="C513" t="s">
        <v>74</v>
      </c>
      <c r="D513" t="s">
        <v>74</v>
      </c>
      <c r="E513" t="s">
        <v>74</v>
      </c>
      <c r="F513" t="s">
        <v>9771</v>
      </c>
      <c r="G513" t="s">
        <v>74</v>
      </c>
      <c r="H513" t="s">
        <v>74</v>
      </c>
      <c r="I513" t="s">
        <v>9772</v>
      </c>
      <c r="J513" t="s">
        <v>9773</v>
      </c>
      <c r="K513" t="s">
        <v>74</v>
      </c>
      <c r="L513" t="s">
        <v>74</v>
      </c>
      <c r="M513" t="s">
        <v>78</v>
      </c>
      <c r="N513" t="s">
        <v>79</v>
      </c>
      <c r="O513" t="s">
        <v>74</v>
      </c>
      <c r="P513" t="s">
        <v>74</v>
      </c>
      <c r="Q513" t="s">
        <v>74</v>
      </c>
      <c r="R513" t="s">
        <v>74</v>
      </c>
      <c r="S513" t="s">
        <v>74</v>
      </c>
      <c r="T513" t="s">
        <v>9774</v>
      </c>
      <c r="U513" t="s">
        <v>9775</v>
      </c>
      <c r="V513" t="s">
        <v>9776</v>
      </c>
      <c r="W513" t="s">
        <v>9777</v>
      </c>
      <c r="X513" t="s">
        <v>9778</v>
      </c>
      <c r="Y513" t="s">
        <v>9779</v>
      </c>
      <c r="Z513" t="s">
        <v>9780</v>
      </c>
      <c r="AA513" t="s">
        <v>9781</v>
      </c>
      <c r="AB513" t="s">
        <v>9782</v>
      </c>
      <c r="AC513" t="s">
        <v>9783</v>
      </c>
      <c r="AD513" t="s">
        <v>9784</v>
      </c>
      <c r="AE513" t="s">
        <v>9785</v>
      </c>
      <c r="AF513" t="s">
        <v>74</v>
      </c>
      <c r="AG513">
        <v>34</v>
      </c>
      <c r="AH513">
        <v>11</v>
      </c>
      <c r="AI513">
        <v>13</v>
      </c>
      <c r="AJ513">
        <v>0</v>
      </c>
      <c r="AK513">
        <v>35</v>
      </c>
      <c r="AL513" t="s">
        <v>3235</v>
      </c>
      <c r="AM513" t="s">
        <v>588</v>
      </c>
      <c r="AN513" t="s">
        <v>3236</v>
      </c>
      <c r="AO513" t="s">
        <v>9786</v>
      </c>
      <c r="AP513" t="s">
        <v>9787</v>
      </c>
      <c r="AQ513" t="s">
        <v>74</v>
      </c>
      <c r="AR513" t="s">
        <v>9788</v>
      </c>
      <c r="AS513" t="s">
        <v>9789</v>
      </c>
      <c r="AT513" t="s">
        <v>9790</v>
      </c>
      <c r="AU513">
        <v>2011</v>
      </c>
      <c r="AV513">
        <v>414</v>
      </c>
      <c r="AW513">
        <v>4</v>
      </c>
      <c r="AX513" t="s">
        <v>74</v>
      </c>
      <c r="AY513" t="s">
        <v>74</v>
      </c>
      <c r="AZ513" t="s">
        <v>74</v>
      </c>
      <c r="BA513" t="s">
        <v>74</v>
      </c>
      <c r="BB513">
        <v>783</v>
      </c>
      <c r="BC513">
        <v>788</v>
      </c>
      <c r="BD513" t="s">
        <v>74</v>
      </c>
      <c r="BE513" t="s">
        <v>9791</v>
      </c>
      <c r="BF513" t="str">
        <f>HYPERLINK("http://dx.doi.org/10.1016/j.bbrc.2011.10.003","http://dx.doi.org/10.1016/j.bbrc.2011.10.003")</f>
        <v>http://dx.doi.org/10.1016/j.bbrc.2011.10.003</v>
      </c>
      <c r="BG513" t="s">
        <v>74</v>
      </c>
      <c r="BH513" t="s">
        <v>74</v>
      </c>
      <c r="BI513">
        <v>6</v>
      </c>
      <c r="BJ513" t="s">
        <v>9792</v>
      </c>
      <c r="BK513" t="s">
        <v>100</v>
      </c>
      <c r="BL513" t="s">
        <v>9792</v>
      </c>
      <c r="BM513" t="s">
        <v>9793</v>
      </c>
      <c r="BN513">
        <v>22005463</v>
      </c>
      <c r="BO513" t="s">
        <v>74</v>
      </c>
      <c r="BP513" t="s">
        <v>74</v>
      </c>
      <c r="BQ513" t="s">
        <v>74</v>
      </c>
      <c r="BR513" t="s">
        <v>102</v>
      </c>
      <c r="BS513" t="s">
        <v>9794</v>
      </c>
      <c r="BT513" t="str">
        <f>HYPERLINK("https%3A%2F%2Fwww.webofscience.com%2Fwos%2Fwoscc%2Ffull-record%2FWOS:000297088600025","View Full Record in Web of Science")</f>
        <v>View Full Record in Web of Science</v>
      </c>
    </row>
    <row r="514" spans="1:72" x14ac:dyDescent="0.15">
      <c r="A514" t="s">
        <v>72</v>
      </c>
      <c r="B514" t="s">
        <v>9795</v>
      </c>
      <c r="C514" t="s">
        <v>74</v>
      </c>
      <c r="D514" t="s">
        <v>74</v>
      </c>
      <c r="E514" t="s">
        <v>74</v>
      </c>
      <c r="F514" t="s">
        <v>9796</v>
      </c>
      <c r="G514" t="s">
        <v>74</v>
      </c>
      <c r="H514" t="s">
        <v>74</v>
      </c>
      <c r="I514" t="s">
        <v>9797</v>
      </c>
      <c r="J514" t="s">
        <v>9798</v>
      </c>
      <c r="K514" t="s">
        <v>74</v>
      </c>
      <c r="L514" t="s">
        <v>74</v>
      </c>
      <c r="M514" t="s">
        <v>78</v>
      </c>
      <c r="N514" t="s">
        <v>79</v>
      </c>
      <c r="O514" t="s">
        <v>74</v>
      </c>
      <c r="P514" t="s">
        <v>74</v>
      </c>
      <c r="Q514" t="s">
        <v>74</v>
      </c>
      <c r="R514" t="s">
        <v>74</v>
      </c>
      <c r="S514" t="s">
        <v>74</v>
      </c>
      <c r="T514" t="s">
        <v>74</v>
      </c>
      <c r="U514" t="s">
        <v>9799</v>
      </c>
      <c r="V514" t="s">
        <v>9800</v>
      </c>
      <c r="W514" t="s">
        <v>9801</v>
      </c>
      <c r="X514" t="s">
        <v>9802</v>
      </c>
      <c r="Y514" t="s">
        <v>9803</v>
      </c>
      <c r="Z514" t="s">
        <v>9804</v>
      </c>
      <c r="AA514" t="s">
        <v>74</v>
      </c>
      <c r="AB514" t="s">
        <v>74</v>
      </c>
      <c r="AC514" t="s">
        <v>9805</v>
      </c>
      <c r="AD514" t="s">
        <v>9806</v>
      </c>
      <c r="AE514" t="s">
        <v>9807</v>
      </c>
      <c r="AF514" t="s">
        <v>74</v>
      </c>
      <c r="AG514">
        <v>44</v>
      </c>
      <c r="AH514">
        <v>26</v>
      </c>
      <c r="AI514">
        <v>30</v>
      </c>
      <c r="AJ514">
        <v>0</v>
      </c>
      <c r="AK514">
        <v>16</v>
      </c>
      <c r="AL514" t="s">
        <v>9808</v>
      </c>
      <c r="AM514" t="s">
        <v>9809</v>
      </c>
      <c r="AN514" t="s">
        <v>9810</v>
      </c>
      <c r="AO514" t="s">
        <v>74</v>
      </c>
      <c r="AP514" t="s">
        <v>9811</v>
      </c>
      <c r="AQ514" t="s">
        <v>74</v>
      </c>
      <c r="AR514" t="s">
        <v>9812</v>
      </c>
      <c r="AS514" t="s">
        <v>9813</v>
      </c>
      <c r="AT514" t="s">
        <v>9790</v>
      </c>
      <c r="AU514">
        <v>2011</v>
      </c>
      <c r="AV514">
        <v>286</v>
      </c>
      <c r="AW514">
        <v>44</v>
      </c>
      <c r="AX514" t="s">
        <v>74</v>
      </c>
      <c r="AY514" t="s">
        <v>74</v>
      </c>
      <c r="AZ514" t="s">
        <v>74</v>
      </c>
      <c r="BA514" t="s">
        <v>74</v>
      </c>
      <c r="BB514">
        <v>38348</v>
      </c>
      <c r="BC514">
        <v>38355</v>
      </c>
      <c r="BD514" t="s">
        <v>74</v>
      </c>
      <c r="BE514" t="s">
        <v>9814</v>
      </c>
      <c r="BF514" t="str">
        <f>HYPERLINK("http://dx.doi.org/10.1074/jbc.M111.274423","http://dx.doi.org/10.1074/jbc.M111.274423")</f>
        <v>http://dx.doi.org/10.1074/jbc.M111.274423</v>
      </c>
      <c r="BG514" t="s">
        <v>74</v>
      </c>
      <c r="BH514" t="s">
        <v>74</v>
      </c>
      <c r="BI514">
        <v>8</v>
      </c>
      <c r="BJ514" t="s">
        <v>6436</v>
      </c>
      <c r="BK514" t="s">
        <v>100</v>
      </c>
      <c r="BL514" t="s">
        <v>6436</v>
      </c>
      <c r="BM514" t="s">
        <v>9815</v>
      </c>
      <c r="BN514">
        <v>21900238</v>
      </c>
      <c r="BO514" t="s">
        <v>342</v>
      </c>
      <c r="BP514" t="s">
        <v>74</v>
      </c>
      <c r="BQ514" t="s">
        <v>74</v>
      </c>
      <c r="BR514" t="s">
        <v>102</v>
      </c>
      <c r="BS514" t="s">
        <v>9816</v>
      </c>
      <c r="BT514" t="str">
        <f>HYPERLINK("https%3A%2F%2Fwww.webofscience.com%2Fwos%2Fwoscc%2Ffull-record%2FWOS:000296594200048","View Full Record in Web of Science")</f>
        <v>View Full Record in Web of Science</v>
      </c>
    </row>
    <row r="515" spans="1:72" x14ac:dyDescent="0.15">
      <c r="A515" t="s">
        <v>72</v>
      </c>
      <c r="B515" t="s">
        <v>9817</v>
      </c>
      <c r="C515" t="s">
        <v>74</v>
      </c>
      <c r="D515" t="s">
        <v>74</v>
      </c>
      <c r="E515" t="s">
        <v>74</v>
      </c>
      <c r="F515" t="s">
        <v>9818</v>
      </c>
      <c r="G515" t="s">
        <v>74</v>
      </c>
      <c r="H515" t="s">
        <v>74</v>
      </c>
      <c r="I515" t="s">
        <v>9819</v>
      </c>
      <c r="J515" t="s">
        <v>6077</v>
      </c>
      <c r="K515" t="s">
        <v>74</v>
      </c>
      <c r="L515" t="s">
        <v>74</v>
      </c>
      <c r="M515" t="s">
        <v>78</v>
      </c>
      <c r="N515" t="s">
        <v>79</v>
      </c>
      <c r="O515" t="s">
        <v>74</v>
      </c>
      <c r="P515" t="s">
        <v>74</v>
      </c>
      <c r="Q515" t="s">
        <v>74</v>
      </c>
      <c r="R515" t="s">
        <v>74</v>
      </c>
      <c r="S515" t="s">
        <v>74</v>
      </c>
      <c r="T515" t="s">
        <v>74</v>
      </c>
      <c r="U515" t="s">
        <v>9820</v>
      </c>
      <c r="V515" t="s">
        <v>9821</v>
      </c>
      <c r="W515" t="s">
        <v>9822</v>
      </c>
      <c r="X515" t="s">
        <v>9823</v>
      </c>
      <c r="Y515" t="s">
        <v>9824</v>
      </c>
      <c r="Z515" t="s">
        <v>9825</v>
      </c>
      <c r="AA515" t="s">
        <v>9826</v>
      </c>
      <c r="AB515" t="s">
        <v>9827</v>
      </c>
      <c r="AC515" t="s">
        <v>9828</v>
      </c>
      <c r="AD515" t="s">
        <v>9829</v>
      </c>
      <c r="AE515" t="s">
        <v>9830</v>
      </c>
      <c r="AF515" t="s">
        <v>74</v>
      </c>
      <c r="AG515">
        <v>62</v>
      </c>
      <c r="AH515">
        <v>13</v>
      </c>
      <c r="AI515">
        <v>14</v>
      </c>
      <c r="AJ515">
        <v>0</v>
      </c>
      <c r="AK515">
        <v>9</v>
      </c>
      <c r="AL515" t="s">
        <v>1498</v>
      </c>
      <c r="AM515" t="s">
        <v>985</v>
      </c>
      <c r="AN515" t="s">
        <v>1499</v>
      </c>
      <c r="AO515" t="s">
        <v>6089</v>
      </c>
      <c r="AP515" t="s">
        <v>6090</v>
      </c>
      <c r="AQ515" t="s">
        <v>74</v>
      </c>
      <c r="AR515" t="s">
        <v>6091</v>
      </c>
      <c r="AS515" t="s">
        <v>6092</v>
      </c>
      <c r="AT515" t="s">
        <v>9790</v>
      </c>
      <c r="AU515">
        <v>2011</v>
      </c>
      <c r="AV515">
        <v>116</v>
      </c>
      <c r="AW515" t="s">
        <v>74</v>
      </c>
      <c r="AX515" t="s">
        <v>74</v>
      </c>
      <c r="AY515" t="s">
        <v>74</v>
      </c>
      <c r="AZ515" t="s">
        <v>74</v>
      </c>
      <c r="BA515" t="s">
        <v>74</v>
      </c>
      <c r="BB515" t="s">
        <v>74</v>
      </c>
      <c r="BC515" t="s">
        <v>74</v>
      </c>
      <c r="BD515" t="s">
        <v>9831</v>
      </c>
      <c r="BE515" t="s">
        <v>9832</v>
      </c>
      <c r="BF515" t="str">
        <f>HYPERLINK("http://dx.doi.org/10.1029/2011JA016763","http://dx.doi.org/10.1029/2011JA016763")</f>
        <v>http://dx.doi.org/10.1029/2011JA016763</v>
      </c>
      <c r="BG515" t="s">
        <v>74</v>
      </c>
      <c r="BH515" t="s">
        <v>74</v>
      </c>
      <c r="BI515">
        <v>16</v>
      </c>
      <c r="BJ515" t="s">
        <v>5208</v>
      </c>
      <c r="BK515" t="s">
        <v>100</v>
      </c>
      <c r="BL515" t="s">
        <v>5208</v>
      </c>
      <c r="BM515" t="s">
        <v>9833</v>
      </c>
      <c r="BN515" t="s">
        <v>74</v>
      </c>
      <c r="BO515" t="s">
        <v>7063</v>
      </c>
      <c r="BP515" t="s">
        <v>74</v>
      </c>
      <c r="BQ515" t="s">
        <v>74</v>
      </c>
      <c r="BR515" t="s">
        <v>102</v>
      </c>
      <c r="BS515" t="s">
        <v>9834</v>
      </c>
      <c r="BT515" t="str">
        <f>HYPERLINK("https%3A%2F%2Fwww.webofscience.com%2Fwos%2Fwoscc%2Ffull-record%2FWOS:000296631700001","View Full Record in Web of Science")</f>
        <v>View Full Record in Web of Science</v>
      </c>
    </row>
    <row r="516" spans="1:72" x14ac:dyDescent="0.15">
      <c r="A516" t="s">
        <v>72</v>
      </c>
      <c r="B516" t="s">
        <v>9835</v>
      </c>
      <c r="C516" t="s">
        <v>74</v>
      </c>
      <c r="D516" t="s">
        <v>74</v>
      </c>
      <c r="E516" t="s">
        <v>74</v>
      </c>
      <c r="F516" t="s">
        <v>9836</v>
      </c>
      <c r="G516" t="s">
        <v>74</v>
      </c>
      <c r="H516" t="s">
        <v>74</v>
      </c>
      <c r="I516" t="s">
        <v>9837</v>
      </c>
      <c r="J516" t="s">
        <v>6124</v>
      </c>
      <c r="K516" t="s">
        <v>74</v>
      </c>
      <c r="L516" t="s">
        <v>74</v>
      </c>
      <c r="M516" t="s">
        <v>78</v>
      </c>
      <c r="N516" t="s">
        <v>79</v>
      </c>
      <c r="O516" t="s">
        <v>74</v>
      </c>
      <c r="P516" t="s">
        <v>74</v>
      </c>
      <c r="Q516" t="s">
        <v>74</v>
      </c>
      <c r="R516" t="s">
        <v>74</v>
      </c>
      <c r="S516" t="s">
        <v>74</v>
      </c>
      <c r="T516" t="s">
        <v>74</v>
      </c>
      <c r="U516" t="s">
        <v>9838</v>
      </c>
      <c r="V516" t="s">
        <v>9839</v>
      </c>
      <c r="W516" t="s">
        <v>9840</v>
      </c>
      <c r="X516" t="s">
        <v>9841</v>
      </c>
      <c r="Y516" t="s">
        <v>9842</v>
      </c>
      <c r="Z516" t="s">
        <v>9843</v>
      </c>
      <c r="AA516" t="s">
        <v>74</v>
      </c>
      <c r="AB516" t="s">
        <v>9844</v>
      </c>
      <c r="AC516" t="s">
        <v>9845</v>
      </c>
      <c r="AD516" t="s">
        <v>9846</v>
      </c>
      <c r="AE516" t="s">
        <v>9847</v>
      </c>
      <c r="AF516" t="s">
        <v>74</v>
      </c>
      <c r="AG516">
        <v>74</v>
      </c>
      <c r="AH516">
        <v>57</v>
      </c>
      <c r="AI516">
        <v>59</v>
      </c>
      <c r="AJ516">
        <v>1</v>
      </c>
      <c r="AK516">
        <v>12</v>
      </c>
      <c r="AL516" t="s">
        <v>1498</v>
      </c>
      <c r="AM516" t="s">
        <v>985</v>
      </c>
      <c r="AN516" t="s">
        <v>1499</v>
      </c>
      <c r="AO516" t="s">
        <v>6136</v>
      </c>
      <c r="AP516" t="s">
        <v>6137</v>
      </c>
      <c r="AQ516" t="s">
        <v>74</v>
      </c>
      <c r="AR516" t="s">
        <v>6138</v>
      </c>
      <c r="AS516" t="s">
        <v>6139</v>
      </c>
      <c r="AT516" t="s">
        <v>9848</v>
      </c>
      <c r="AU516">
        <v>2011</v>
      </c>
      <c r="AV516">
        <v>116</v>
      </c>
      <c r="AW516" t="s">
        <v>74</v>
      </c>
      <c r="AX516" t="s">
        <v>74</v>
      </c>
      <c r="AY516" t="s">
        <v>74</v>
      </c>
      <c r="AZ516" t="s">
        <v>74</v>
      </c>
      <c r="BA516" t="s">
        <v>74</v>
      </c>
      <c r="BB516" t="s">
        <v>74</v>
      </c>
      <c r="BC516" t="s">
        <v>74</v>
      </c>
      <c r="BD516" t="s">
        <v>9849</v>
      </c>
      <c r="BE516" t="s">
        <v>9850</v>
      </c>
      <c r="BF516" t="str">
        <f>HYPERLINK("http://dx.doi.org/10.1029/2011JC006939","http://dx.doi.org/10.1029/2011JC006939")</f>
        <v>http://dx.doi.org/10.1029/2011JC006939</v>
      </c>
      <c r="BG516" t="s">
        <v>74</v>
      </c>
      <c r="BH516" t="s">
        <v>74</v>
      </c>
      <c r="BI516">
        <v>17</v>
      </c>
      <c r="BJ516" t="s">
        <v>496</v>
      </c>
      <c r="BK516" t="s">
        <v>100</v>
      </c>
      <c r="BL516" t="s">
        <v>496</v>
      </c>
      <c r="BM516" t="s">
        <v>9851</v>
      </c>
      <c r="BN516" t="s">
        <v>74</v>
      </c>
      <c r="BO516" t="s">
        <v>365</v>
      </c>
      <c r="BP516" t="s">
        <v>74</v>
      </c>
      <c r="BQ516" t="s">
        <v>74</v>
      </c>
      <c r="BR516" t="s">
        <v>102</v>
      </c>
      <c r="BS516" t="s">
        <v>9852</v>
      </c>
      <c r="BT516" t="str">
        <f>HYPERLINK("https%3A%2F%2Fwww.webofscience.com%2Fwos%2Fwoscc%2Ffull-record%2FWOS:000296620200001","View Full Record in Web of Science")</f>
        <v>View Full Record in Web of Science</v>
      </c>
    </row>
    <row r="517" spans="1:72" x14ac:dyDescent="0.15">
      <c r="A517" t="s">
        <v>72</v>
      </c>
      <c r="B517" t="s">
        <v>9853</v>
      </c>
      <c r="C517" t="s">
        <v>74</v>
      </c>
      <c r="D517" t="s">
        <v>74</v>
      </c>
      <c r="E517" t="s">
        <v>74</v>
      </c>
      <c r="F517" t="s">
        <v>9854</v>
      </c>
      <c r="G517" t="s">
        <v>74</v>
      </c>
      <c r="H517" t="s">
        <v>74</v>
      </c>
      <c r="I517" t="s">
        <v>9855</v>
      </c>
      <c r="J517" t="s">
        <v>9856</v>
      </c>
      <c r="K517" t="s">
        <v>74</v>
      </c>
      <c r="L517" t="s">
        <v>74</v>
      </c>
      <c r="M517" t="s">
        <v>78</v>
      </c>
      <c r="N517" t="s">
        <v>79</v>
      </c>
      <c r="O517" t="s">
        <v>74</v>
      </c>
      <c r="P517" t="s">
        <v>74</v>
      </c>
      <c r="Q517" t="s">
        <v>74</v>
      </c>
      <c r="R517" t="s">
        <v>74</v>
      </c>
      <c r="S517" t="s">
        <v>74</v>
      </c>
      <c r="T517" t="s">
        <v>74</v>
      </c>
      <c r="U517" t="s">
        <v>9857</v>
      </c>
      <c r="V517" t="s">
        <v>9858</v>
      </c>
      <c r="W517" t="s">
        <v>9859</v>
      </c>
      <c r="X517" t="s">
        <v>9860</v>
      </c>
      <c r="Y517" t="s">
        <v>9861</v>
      </c>
      <c r="Z517" t="s">
        <v>9862</v>
      </c>
      <c r="AA517" t="s">
        <v>9863</v>
      </c>
      <c r="AB517" t="s">
        <v>9864</v>
      </c>
      <c r="AC517" t="s">
        <v>9865</v>
      </c>
      <c r="AD517" t="s">
        <v>9866</v>
      </c>
      <c r="AE517" t="s">
        <v>9867</v>
      </c>
      <c r="AF517" t="s">
        <v>74</v>
      </c>
      <c r="AG517">
        <v>42</v>
      </c>
      <c r="AH517">
        <v>13</v>
      </c>
      <c r="AI517">
        <v>13</v>
      </c>
      <c r="AJ517">
        <v>0</v>
      </c>
      <c r="AK517">
        <v>6</v>
      </c>
      <c r="AL517" t="s">
        <v>1498</v>
      </c>
      <c r="AM517" t="s">
        <v>985</v>
      </c>
      <c r="AN517" t="s">
        <v>1499</v>
      </c>
      <c r="AO517" t="s">
        <v>74</v>
      </c>
      <c r="AP517" t="s">
        <v>9868</v>
      </c>
      <c r="AQ517" t="s">
        <v>74</v>
      </c>
      <c r="AR517" t="s">
        <v>9869</v>
      </c>
      <c r="AS517" t="s">
        <v>9870</v>
      </c>
      <c r="AT517" t="s">
        <v>9871</v>
      </c>
      <c r="AU517">
        <v>2011</v>
      </c>
      <c r="AV517">
        <v>9</v>
      </c>
      <c r="AW517" t="s">
        <v>74</v>
      </c>
      <c r="AX517" t="s">
        <v>74</v>
      </c>
      <c r="AY517" t="s">
        <v>74</v>
      </c>
      <c r="AZ517" t="s">
        <v>74</v>
      </c>
      <c r="BA517" t="s">
        <v>74</v>
      </c>
      <c r="BB517" t="s">
        <v>74</v>
      </c>
      <c r="BC517" t="s">
        <v>74</v>
      </c>
      <c r="BD517" t="s">
        <v>9872</v>
      </c>
      <c r="BE517" t="s">
        <v>9873</v>
      </c>
      <c r="BF517" t="str">
        <f>HYPERLINK("http://dx.doi.org/10.1029/2011SW000688","http://dx.doi.org/10.1029/2011SW000688")</f>
        <v>http://dx.doi.org/10.1029/2011SW000688</v>
      </c>
      <c r="BG517" t="s">
        <v>74</v>
      </c>
      <c r="BH517" t="s">
        <v>74</v>
      </c>
      <c r="BI517">
        <v>13</v>
      </c>
      <c r="BJ517" t="s">
        <v>4168</v>
      </c>
      <c r="BK517" t="s">
        <v>100</v>
      </c>
      <c r="BL517" t="s">
        <v>4168</v>
      </c>
      <c r="BM517" t="s">
        <v>9874</v>
      </c>
      <c r="BN517" t="s">
        <v>74</v>
      </c>
      <c r="BO517" t="s">
        <v>342</v>
      </c>
      <c r="BP517" t="s">
        <v>74</v>
      </c>
      <c r="BQ517" t="s">
        <v>74</v>
      </c>
      <c r="BR517" t="s">
        <v>102</v>
      </c>
      <c r="BS517" t="s">
        <v>9875</v>
      </c>
      <c r="BT517" t="str">
        <f>HYPERLINK("https%3A%2F%2Fwww.webofscience.com%2Fwos%2Fwoscc%2Ffull-record%2FWOS:000296632100001","View Full Record in Web of Science")</f>
        <v>View Full Record in Web of Science</v>
      </c>
    </row>
    <row r="518" spans="1:72" x14ac:dyDescent="0.15">
      <c r="A518" t="s">
        <v>72</v>
      </c>
      <c r="B518" t="s">
        <v>9876</v>
      </c>
      <c r="C518" t="s">
        <v>74</v>
      </c>
      <c r="D518" t="s">
        <v>74</v>
      </c>
      <c r="E518" t="s">
        <v>74</v>
      </c>
      <c r="F518" t="s">
        <v>9877</v>
      </c>
      <c r="G518" t="s">
        <v>74</v>
      </c>
      <c r="H518" t="s">
        <v>74</v>
      </c>
      <c r="I518" t="s">
        <v>9878</v>
      </c>
      <c r="J518" t="s">
        <v>6077</v>
      </c>
      <c r="K518" t="s">
        <v>74</v>
      </c>
      <c r="L518" t="s">
        <v>74</v>
      </c>
      <c r="M518" t="s">
        <v>78</v>
      </c>
      <c r="N518" t="s">
        <v>79</v>
      </c>
      <c r="O518" t="s">
        <v>74</v>
      </c>
      <c r="P518" t="s">
        <v>74</v>
      </c>
      <c r="Q518" t="s">
        <v>74</v>
      </c>
      <c r="R518" t="s">
        <v>74</v>
      </c>
      <c r="S518" t="s">
        <v>74</v>
      </c>
      <c r="T518" t="s">
        <v>74</v>
      </c>
      <c r="U518" t="s">
        <v>9879</v>
      </c>
      <c r="V518" t="s">
        <v>9880</v>
      </c>
      <c r="W518" t="s">
        <v>9881</v>
      </c>
      <c r="X518" t="s">
        <v>9882</v>
      </c>
      <c r="Y518" t="s">
        <v>9883</v>
      </c>
      <c r="Z518" t="s">
        <v>9884</v>
      </c>
      <c r="AA518" t="s">
        <v>9885</v>
      </c>
      <c r="AB518" t="s">
        <v>9886</v>
      </c>
      <c r="AC518" t="s">
        <v>9887</v>
      </c>
      <c r="AD518" t="s">
        <v>1007</v>
      </c>
      <c r="AE518" t="s">
        <v>74</v>
      </c>
      <c r="AF518" t="s">
        <v>74</v>
      </c>
      <c r="AG518">
        <v>17</v>
      </c>
      <c r="AH518">
        <v>34</v>
      </c>
      <c r="AI518">
        <v>34</v>
      </c>
      <c r="AJ518">
        <v>0</v>
      </c>
      <c r="AK518">
        <v>4</v>
      </c>
      <c r="AL518" t="s">
        <v>1498</v>
      </c>
      <c r="AM518" t="s">
        <v>985</v>
      </c>
      <c r="AN518" t="s">
        <v>1499</v>
      </c>
      <c r="AO518" t="s">
        <v>6089</v>
      </c>
      <c r="AP518" t="s">
        <v>6090</v>
      </c>
      <c r="AQ518" t="s">
        <v>74</v>
      </c>
      <c r="AR518" t="s">
        <v>6091</v>
      </c>
      <c r="AS518" t="s">
        <v>6092</v>
      </c>
      <c r="AT518" t="s">
        <v>9871</v>
      </c>
      <c r="AU518">
        <v>2011</v>
      </c>
      <c r="AV518">
        <v>116</v>
      </c>
      <c r="AW518" t="s">
        <v>74</v>
      </c>
      <c r="AX518" t="s">
        <v>74</v>
      </c>
      <c r="AY518" t="s">
        <v>74</v>
      </c>
      <c r="AZ518" t="s">
        <v>74</v>
      </c>
      <c r="BA518" t="s">
        <v>74</v>
      </c>
      <c r="BB518" t="s">
        <v>74</v>
      </c>
      <c r="BC518" t="s">
        <v>74</v>
      </c>
      <c r="BD518" t="s">
        <v>9888</v>
      </c>
      <c r="BE518" t="s">
        <v>9889</v>
      </c>
      <c r="BF518" t="str">
        <f>HYPERLINK("http://dx.doi.org/10.1029/2011JA016910","http://dx.doi.org/10.1029/2011JA016910")</f>
        <v>http://dx.doi.org/10.1029/2011JA016910</v>
      </c>
      <c r="BG518" t="s">
        <v>74</v>
      </c>
      <c r="BH518" t="s">
        <v>74</v>
      </c>
      <c r="BI518">
        <v>12</v>
      </c>
      <c r="BJ518" t="s">
        <v>5208</v>
      </c>
      <c r="BK518" t="s">
        <v>100</v>
      </c>
      <c r="BL518" t="s">
        <v>5208</v>
      </c>
      <c r="BM518" t="s">
        <v>9890</v>
      </c>
      <c r="BN518" t="s">
        <v>74</v>
      </c>
      <c r="BO518" t="s">
        <v>2679</v>
      </c>
      <c r="BP518" t="s">
        <v>74</v>
      </c>
      <c r="BQ518" t="s">
        <v>74</v>
      </c>
      <c r="BR518" t="s">
        <v>102</v>
      </c>
      <c r="BS518" t="s">
        <v>9891</v>
      </c>
      <c r="BT518" t="str">
        <f>HYPERLINK("https%3A%2F%2Fwww.webofscience.com%2Fwos%2Fwoscc%2Ffull-record%2FWOS:000296631400003","View Full Record in Web of Science")</f>
        <v>View Full Record in Web of Science</v>
      </c>
    </row>
    <row r="519" spans="1:72" x14ac:dyDescent="0.15">
      <c r="A519" t="s">
        <v>72</v>
      </c>
      <c r="B519" t="s">
        <v>9892</v>
      </c>
      <c r="C519" t="s">
        <v>74</v>
      </c>
      <c r="D519" t="s">
        <v>74</v>
      </c>
      <c r="E519" t="s">
        <v>74</v>
      </c>
      <c r="F519" t="s">
        <v>9893</v>
      </c>
      <c r="G519" t="s">
        <v>74</v>
      </c>
      <c r="H519" t="s">
        <v>74</v>
      </c>
      <c r="I519" t="s">
        <v>9894</v>
      </c>
      <c r="J519" t="s">
        <v>9895</v>
      </c>
      <c r="K519" t="s">
        <v>74</v>
      </c>
      <c r="L519" t="s">
        <v>74</v>
      </c>
      <c r="M519" t="s">
        <v>78</v>
      </c>
      <c r="N519" t="s">
        <v>79</v>
      </c>
      <c r="O519" t="s">
        <v>74</v>
      </c>
      <c r="P519" t="s">
        <v>74</v>
      </c>
      <c r="Q519" t="s">
        <v>74</v>
      </c>
      <c r="R519" t="s">
        <v>74</v>
      </c>
      <c r="S519" t="s">
        <v>74</v>
      </c>
      <c r="T519" t="s">
        <v>74</v>
      </c>
      <c r="U519" t="s">
        <v>9896</v>
      </c>
      <c r="V519" t="s">
        <v>9897</v>
      </c>
      <c r="W519" t="s">
        <v>9898</v>
      </c>
      <c r="X519" t="s">
        <v>9899</v>
      </c>
      <c r="Y519" t="s">
        <v>9900</v>
      </c>
      <c r="Z519" t="s">
        <v>9901</v>
      </c>
      <c r="AA519" t="s">
        <v>9902</v>
      </c>
      <c r="AB519" t="s">
        <v>9903</v>
      </c>
      <c r="AC519" t="s">
        <v>9904</v>
      </c>
      <c r="AD519" t="s">
        <v>9904</v>
      </c>
      <c r="AE519" t="s">
        <v>9905</v>
      </c>
      <c r="AF519" t="s">
        <v>74</v>
      </c>
      <c r="AG519">
        <v>30</v>
      </c>
      <c r="AH519">
        <v>7</v>
      </c>
      <c r="AI519">
        <v>7</v>
      </c>
      <c r="AJ519">
        <v>0</v>
      </c>
      <c r="AK519">
        <v>3</v>
      </c>
      <c r="AL519" t="s">
        <v>9906</v>
      </c>
      <c r="AM519" t="s">
        <v>9907</v>
      </c>
      <c r="AN519" t="s">
        <v>9908</v>
      </c>
      <c r="AO519" t="s">
        <v>9909</v>
      </c>
      <c r="AP519" t="s">
        <v>9910</v>
      </c>
      <c r="AQ519" t="s">
        <v>74</v>
      </c>
      <c r="AR519" t="s">
        <v>9911</v>
      </c>
      <c r="AS519" t="s">
        <v>9912</v>
      </c>
      <c r="AT519" t="s">
        <v>9913</v>
      </c>
      <c r="AU519">
        <v>2011</v>
      </c>
      <c r="AV519">
        <v>114</v>
      </c>
      <c r="AW519" t="s">
        <v>6679</v>
      </c>
      <c r="AX519" t="s">
        <v>74</v>
      </c>
      <c r="AY519" t="s">
        <v>74</v>
      </c>
      <c r="AZ519" t="s">
        <v>74</v>
      </c>
      <c r="BA519" t="s">
        <v>74</v>
      </c>
      <c r="BB519">
        <v>83</v>
      </c>
      <c r="BC519">
        <v>93</v>
      </c>
      <c r="BD519" t="s">
        <v>74</v>
      </c>
      <c r="BE519" t="s">
        <v>9914</v>
      </c>
      <c r="BF519" t="str">
        <f>HYPERLINK("http://dx.doi.org/10.1007/s00703-011-0159-3","http://dx.doi.org/10.1007/s00703-011-0159-3")</f>
        <v>http://dx.doi.org/10.1007/s00703-011-0159-3</v>
      </c>
      <c r="BG519" t="s">
        <v>74</v>
      </c>
      <c r="BH519" t="s">
        <v>74</v>
      </c>
      <c r="BI519">
        <v>11</v>
      </c>
      <c r="BJ519" t="s">
        <v>463</v>
      </c>
      <c r="BK519" t="s">
        <v>100</v>
      </c>
      <c r="BL519" t="s">
        <v>463</v>
      </c>
      <c r="BM519" t="s">
        <v>9915</v>
      </c>
      <c r="BN519" t="s">
        <v>74</v>
      </c>
      <c r="BO519" t="s">
        <v>74</v>
      </c>
      <c r="BP519" t="s">
        <v>74</v>
      </c>
      <c r="BQ519" t="s">
        <v>74</v>
      </c>
      <c r="BR519" t="s">
        <v>102</v>
      </c>
      <c r="BS519" t="s">
        <v>9916</v>
      </c>
      <c r="BT519" t="str">
        <f>HYPERLINK("https%3A%2F%2Fwww.webofscience.com%2Fwos%2Fwoscc%2Ffull-record%2FWOS:000299952300001","View Full Record in Web of Science")</f>
        <v>View Full Record in Web of Science</v>
      </c>
    </row>
    <row r="520" spans="1:72" x14ac:dyDescent="0.15">
      <c r="A520" t="s">
        <v>72</v>
      </c>
      <c r="B520" t="s">
        <v>9917</v>
      </c>
      <c r="C520" t="s">
        <v>74</v>
      </c>
      <c r="D520" t="s">
        <v>74</v>
      </c>
      <c r="E520" t="s">
        <v>74</v>
      </c>
      <c r="F520" t="s">
        <v>9918</v>
      </c>
      <c r="G520" t="s">
        <v>74</v>
      </c>
      <c r="H520" t="s">
        <v>74</v>
      </c>
      <c r="I520" t="s">
        <v>9919</v>
      </c>
      <c r="J520" t="s">
        <v>4253</v>
      </c>
      <c r="K520" t="s">
        <v>74</v>
      </c>
      <c r="L520" t="s">
        <v>74</v>
      </c>
      <c r="M520" t="s">
        <v>78</v>
      </c>
      <c r="N520" t="s">
        <v>79</v>
      </c>
      <c r="O520" t="s">
        <v>74</v>
      </c>
      <c r="P520" t="s">
        <v>74</v>
      </c>
      <c r="Q520" t="s">
        <v>74</v>
      </c>
      <c r="R520" t="s">
        <v>74</v>
      </c>
      <c r="S520" t="s">
        <v>74</v>
      </c>
      <c r="T520" t="s">
        <v>74</v>
      </c>
      <c r="U520" t="s">
        <v>9920</v>
      </c>
      <c r="V520" t="s">
        <v>9921</v>
      </c>
      <c r="W520" t="s">
        <v>9922</v>
      </c>
      <c r="X520" t="s">
        <v>9923</v>
      </c>
      <c r="Y520" t="s">
        <v>9924</v>
      </c>
      <c r="Z520" t="s">
        <v>9925</v>
      </c>
      <c r="AA520" t="s">
        <v>74</v>
      </c>
      <c r="AB520" t="s">
        <v>9926</v>
      </c>
      <c r="AC520" t="s">
        <v>9927</v>
      </c>
      <c r="AD520" t="s">
        <v>9928</v>
      </c>
      <c r="AE520" t="s">
        <v>9929</v>
      </c>
      <c r="AF520" t="s">
        <v>74</v>
      </c>
      <c r="AG520">
        <v>54</v>
      </c>
      <c r="AH520">
        <v>12</v>
      </c>
      <c r="AI520">
        <v>14</v>
      </c>
      <c r="AJ520">
        <v>0</v>
      </c>
      <c r="AK520">
        <v>40</v>
      </c>
      <c r="AL520" t="s">
        <v>2832</v>
      </c>
      <c r="AM520" t="s">
        <v>796</v>
      </c>
      <c r="AN520" t="s">
        <v>797</v>
      </c>
      <c r="AO520" t="s">
        <v>4263</v>
      </c>
      <c r="AP520" t="s">
        <v>4264</v>
      </c>
      <c r="AQ520" t="s">
        <v>74</v>
      </c>
      <c r="AR520" t="s">
        <v>4265</v>
      </c>
      <c r="AS520" t="s">
        <v>4266</v>
      </c>
      <c r="AT520" t="s">
        <v>9913</v>
      </c>
      <c r="AU520">
        <v>2011</v>
      </c>
      <c r="AV520">
        <v>56</v>
      </c>
      <c r="AW520">
        <v>6</v>
      </c>
      <c r="AX520" t="s">
        <v>74</v>
      </c>
      <c r="AY520" t="s">
        <v>74</v>
      </c>
      <c r="AZ520" t="s">
        <v>74</v>
      </c>
      <c r="BA520" t="s">
        <v>74</v>
      </c>
      <c r="BB520">
        <v>2115</v>
      </c>
      <c r="BC520">
        <v>2126</v>
      </c>
      <c r="BD520" t="s">
        <v>74</v>
      </c>
      <c r="BE520" t="s">
        <v>9930</v>
      </c>
      <c r="BF520" t="str">
        <f>HYPERLINK("http://dx.doi.org/10.4319/lo.2011.56.6.2115","http://dx.doi.org/10.4319/lo.2011.56.6.2115")</f>
        <v>http://dx.doi.org/10.4319/lo.2011.56.6.2115</v>
      </c>
      <c r="BG520" t="s">
        <v>74</v>
      </c>
      <c r="BH520" t="s">
        <v>74</v>
      </c>
      <c r="BI520">
        <v>12</v>
      </c>
      <c r="BJ520" t="s">
        <v>4268</v>
      </c>
      <c r="BK520" t="s">
        <v>100</v>
      </c>
      <c r="BL520" t="s">
        <v>4141</v>
      </c>
      <c r="BM520" t="s">
        <v>9931</v>
      </c>
      <c r="BN520" t="s">
        <v>74</v>
      </c>
      <c r="BO520" t="s">
        <v>365</v>
      </c>
      <c r="BP520" t="s">
        <v>74</v>
      </c>
      <c r="BQ520" t="s">
        <v>74</v>
      </c>
      <c r="BR520" t="s">
        <v>102</v>
      </c>
      <c r="BS520" t="s">
        <v>9932</v>
      </c>
      <c r="BT520" t="str">
        <f>HYPERLINK("https%3A%2F%2Fwww.webofscience.com%2Fwos%2Fwoscc%2Ffull-record%2FWOS:000299349700014","View Full Record in Web of Science")</f>
        <v>View Full Record in Web of Science</v>
      </c>
    </row>
    <row r="521" spans="1:72" x14ac:dyDescent="0.15">
      <c r="A521" t="s">
        <v>72</v>
      </c>
      <c r="B521" t="s">
        <v>9933</v>
      </c>
      <c r="C521" t="s">
        <v>74</v>
      </c>
      <c r="D521" t="s">
        <v>74</v>
      </c>
      <c r="E521" t="s">
        <v>74</v>
      </c>
      <c r="F521" t="s">
        <v>9934</v>
      </c>
      <c r="G521" t="s">
        <v>74</v>
      </c>
      <c r="H521" t="s">
        <v>74</v>
      </c>
      <c r="I521" t="s">
        <v>9935</v>
      </c>
      <c r="J521" t="s">
        <v>9936</v>
      </c>
      <c r="K521" t="s">
        <v>74</v>
      </c>
      <c r="L521" t="s">
        <v>74</v>
      </c>
      <c r="M521" t="s">
        <v>78</v>
      </c>
      <c r="N521" t="s">
        <v>79</v>
      </c>
      <c r="O521" t="s">
        <v>74</v>
      </c>
      <c r="P521" t="s">
        <v>74</v>
      </c>
      <c r="Q521" t="s">
        <v>74</v>
      </c>
      <c r="R521" t="s">
        <v>74</v>
      </c>
      <c r="S521" t="s">
        <v>74</v>
      </c>
      <c r="T521" t="s">
        <v>9937</v>
      </c>
      <c r="U521" t="s">
        <v>9938</v>
      </c>
      <c r="V521" t="s">
        <v>9939</v>
      </c>
      <c r="W521" t="s">
        <v>9940</v>
      </c>
      <c r="X521" t="s">
        <v>9941</v>
      </c>
      <c r="Y521" t="s">
        <v>9942</v>
      </c>
      <c r="Z521" t="s">
        <v>9943</v>
      </c>
      <c r="AA521" t="s">
        <v>9944</v>
      </c>
      <c r="AB521" t="s">
        <v>9945</v>
      </c>
      <c r="AC521" t="s">
        <v>9946</v>
      </c>
      <c r="AD521" t="s">
        <v>9947</v>
      </c>
      <c r="AE521" t="s">
        <v>9948</v>
      </c>
      <c r="AF521" t="s">
        <v>74</v>
      </c>
      <c r="AG521">
        <v>34</v>
      </c>
      <c r="AH521">
        <v>24</v>
      </c>
      <c r="AI521">
        <v>25</v>
      </c>
      <c r="AJ521">
        <v>0</v>
      </c>
      <c r="AK521">
        <v>6</v>
      </c>
      <c r="AL521" t="s">
        <v>4160</v>
      </c>
      <c r="AM521" t="s">
        <v>4161</v>
      </c>
      <c r="AN521" t="s">
        <v>4162</v>
      </c>
      <c r="AO521" t="s">
        <v>9949</v>
      </c>
      <c r="AP521" t="s">
        <v>74</v>
      </c>
      <c r="AQ521" t="s">
        <v>74</v>
      </c>
      <c r="AR521" t="s">
        <v>9950</v>
      </c>
      <c r="AS521" t="s">
        <v>9951</v>
      </c>
      <c r="AT521" t="s">
        <v>9913</v>
      </c>
      <c r="AU521">
        <v>2011</v>
      </c>
      <c r="AV521">
        <v>535</v>
      </c>
      <c r="AW521" t="s">
        <v>74</v>
      </c>
      <c r="AX521" t="s">
        <v>74</v>
      </c>
      <c r="AY521" t="s">
        <v>74</v>
      </c>
      <c r="AZ521" t="s">
        <v>74</v>
      </c>
      <c r="BA521" t="s">
        <v>74</v>
      </c>
      <c r="BB521" t="s">
        <v>74</v>
      </c>
      <c r="BC521" t="s">
        <v>74</v>
      </c>
      <c r="BD521" t="s">
        <v>9952</v>
      </c>
      <c r="BE521" t="s">
        <v>9953</v>
      </c>
      <c r="BF521" t="str">
        <f>HYPERLINK("http://dx.doi.org/10.1051/0004-6361/201117345","http://dx.doi.org/10.1051/0004-6361/201117345")</f>
        <v>http://dx.doi.org/10.1051/0004-6361/201117345</v>
      </c>
      <c r="BG521" t="s">
        <v>74</v>
      </c>
      <c r="BH521" t="s">
        <v>74</v>
      </c>
      <c r="BI521">
        <v>8</v>
      </c>
      <c r="BJ521" t="s">
        <v>5208</v>
      </c>
      <c r="BK521" t="s">
        <v>100</v>
      </c>
      <c r="BL521" t="s">
        <v>5208</v>
      </c>
      <c r="BM521" t="s">
        <v>9954</v>
      </c>
      <c r="BN521" t="s">
        <v>74</v>
      </c>
      <c r="BO521" t="s">
        <v>3833</v>
      </c>
      <c r="BP521" t="s">
        <v>74</v>
      </c>
      <c r="BQ521" t="s">
        <v>74</v>
      </c>
      <c r="BR521" t="s">
        <v>102</v>
      </c>
      <c r="BS521" t="s">
        <v>9955</v>
      </c>
      <c r="BT521" t="str">
        <f>HYPERLINK("https%3A%2F%2Fwww.webofscience.com%2Fwos%2Fwoscc%2Ffull-record%2FWOS:000297841200124","View Full Record in Web of Science")</f>
        <v>View Full Record in Web of Science</v>
      </c>
    </row>
    <row r="522" spans="1:72" x14ac:dyDescent="0.15">
      <c r="A522" t="s">
        <v>72</v>
      </c>
      <c r="B522" t="s">
        <v>9956</v>
      </c>
      <c r="C522" t="s">
        <v>74</v>
      </c>
      <c r="D522" t="s">
        <v>74</v>
      </c>
      <c r="E522" t="s">
        <v>74</v>
      </c>
      <c r="F522" t="s">
        <v>9957</v>
      </c>
      <c r="G522" t="s">
        <v>74</v>
      </c>
      <c r="H522" t="s">
        <v>74</v>
      </c>
      <c r="I522" t="s">
        <v>9958</v>
      </c>
      <c r="J522" t="s">
        <v>478</v>
      </c>
      <c r="K522" t="s">
        <v>74</v>
      </c>
      <c r="L522" t="s">
        <v>74</v>
      </c>
      <c r="M522" t="s">
        <v>78</v>
      </c>
      <c r="N522" t="s">
        <v>79</v>
      </c>
      <c r="O522" t="s">
        <v>74</v>
      </c>
      <c r="P522" t="s">
        <v>74</v>
      </c>
      <c r="Q522" t="s">
        <v>74</v>
      </c>
      <c r="R522" t="s">
        <v>74</v>
      </c>
      <c r="S522" t="s">
        <v>74</v>
      </c>
      <c r="T522" t="s">
        <v>9959</v>
      </c>
      <c r="U522" t="s">
        <v>9960</v>
      </c>
      <c r="V522" t="s">
        <v>9961</v>
      </c>
      <c r="W522" t="s">
        <v>9962</v>
      </c>
      <c r="X522" t="s">
        <v>9963</v>
      </c>
      <c r="Y522" t="s">
        <v>9964</v>
      </c>
      <c r="Z522" t="s">
        <v>9965</v>
      </c>
      <c r="AA522" t="s">
        <v>74</v>
      </c>
      <c r="AB522" t="s">
        <v>74</v>
      </c>
      <c r="AC522" t="s">
        <v>9966</v>
      </c>
      <c r="AD522" t="s">
        <v>9967</v>
      </c>
      <c r="AE522" t="s">
        <v>9968</v>
      </c>
      <c r="AF522" t="s">
        <v>74</v>
      </c>
      <c r="AG522">
        <v>34</v>
      </c>
      <c r="AH522">
        <v>5</v>
      </c>
      <c r="AI522">
        <v>6</v>
      </c>
      <c r="AJ522">
        <v>0</v>
      </c>
      <c r="AK522">
        <v>22</v>
      </c>
      <c r="AL522" t="s">
        <v>250</v>
      </c>
      <c r="AM522" t="s">
        <v>413</v>
      </c>
      <c r="AN522" t="s">
        <v>514</v>
      </c>
      <c r="AO522" t="s">
        <v>491</v>
      </c>
      <c r="AP522" t="s">
        <v>492</v>
      </c>
      <c r="AQ522" t="s">
        <v>74</v>
      </c>
      <c r="AR522" t="s">
        <v>493</v>
      </c>
      <c r="AS522" t="s">
        <v>494</v>
      </c>
      <c r="AT522" t="s">
        <v>9913</v>
      </c>
      <c r="AU522">
        <v>2011</v>
      </c>
      <c r="AV522">
        <v>30</v>
      </c>
      <c r="AW522">
        <v>6</v>
      </c>
      <c r="AX522" t="s">
        <v>74</v>
      </c>
      <c r="AY522" t="s">
        <v>74</v>
      </c>
      <c r="AZ522" t="s">
        <v>74</v>
      </c>
      <c r="BA522" t="s">
        <v>74</v>
      </c>
      <c r="BB522">
        <v>104</v>
      </c>
      <c r="BC522">
        <v>111</v>
      </c>
      <c r="BD522" t="s">
        <v>74</v>
      </c>
      <c r="BE522" t="s">
        <v>9969</v>
      </c>
      <c r="BF522" t="str">
        <f>HYPERLINK("http://dx.doi.org/10.1007/s13131-011-0167-7","http://dx.doi.org/10.1007/s13131-011-0167-7")</f>
        <v>http://dx.doi.org/10.1007/s13131-011-0167-7</v>
      </c>
      <c r="BG522" t="s">
        <v>74</v>
      </c>
      <c r="BH522" t="s">
        <v>74</v>
      </c>
      <c r="BI522">
        <v>8</v>
      </c>
      <c r="BJ522" t="s">
        <v>496</v>
      </c>
      <c r="BK522" t="s">
        <v>100</v>
      </c>
      <c r="BL522" t="s">
        <v>496</v>
      </c>
      <c r="BM522" t="s">
        <v>9970</v>
      </c>
      <c r="BN522" t="s">
        <v>74</v>
      </c>
      <c r="BO522" t="s">
        <v>74</v>
      </c>
      <c r="BP522" t="s">
        <v>74</v>
      </c>
      <c r="BQ522" t="s">
        <v>74</v>
      </c>
      <c r="BR522" t="s">
        <v>102</v>
      </c>
      <c r="BS522" t="s">
        <v>9971</v>
      </c>
      <c r="BT522" t="str">
        <f>HYPERLINK("https%3A%2F%2Fwww.webofscience.com%2Fwos%2Fwoscc%2Ffull-record%2FWOS:000297936700013","View Full Record in Web of Science")</f>
        <v>View Full Record in Web of Science</v>
      </c>
    </row>
    <row r="523" spans="1:72" x14ac:dyDescent="0.15">
      <c r="A523" t="s">
        <v>72</v>
      </c>
      <c r="B523" t="s">
        <v>9972</v>
      </c>
      <c r="C523" t="s">
        <v>74</v>
      </c>
      <c r="D523" t="s">
        <v>74</v>
      </c>
      <c r="E523" t="s">
        <v>74</v>
      </c>
      <c r="F523" t="s">
        <v>9973</v>
      </c>
      <c r="G523" t="s">
        <v>74</v>
      </c>
      <c r="H523" t="s">
        <v>74</v>
      </c>
      <c r="I523" t="s">
        <v>9974</v>
      </c>
      <c r="J523" t="s">
        <v>9975</v>
      </c>
      <c r="K523" t="s">
        <v>74</v>
      </c>
      <c r="L523" t="s">
        <v>74</v>
      </c>
      <c r="M523" t="s">
        <v>78</v>
      </c>
      <c r="N523" t="s">
        <v>79</v>
      </c>
      <c r="O523" t="s">
        <v>74</v>
      </c>
      <c r="P523" t="s">
        <v>74</v>
      </c>
      <c r="Q523" t="s">
        <v>74</v>
      </c>
      <c r="R523" t="s">
        <v>74</v>
      </c>
      <c r="S523" t="s">
        <v>74</v>
      </c>
      <c r="T523" t="s">
        <v>74</v>
      </c>
      <c r="U523" t="s">
        <v>9976</v>
      </c>
      <c r="V523" t="s">
        <v>9977</v>
      </c>
      <c r="W523" t="s">
        <v>9978</v>
      </c>
      <c r="X523" t="s">
        <v>9979</v>
      </c>
      <c r="Y523" t="s">
        <v>9980</v>
      </c>
      <c r="Z523" t="s">
        <v>9981</v>
      </c>
      <c r="AA523" t="s">
        <v>74</v>
      </c>
      <c r="AB523" t="s">
        <v>9982</v>
      </c>
      <c r="AC523" t="s">
        <v>9983</v>
      </c>
      <c r="AD523" t="s">
        <v>9984</v>
      </c>
      <c r="AE523" t="s">
        <v>9985</v>
      </c>
      <c r="AF523" t="s">
        <v>74</v>
      </c>
      <c r="AG523">
        <v>49</v>
      </c>
      <c r="AH523">
        <v>13</v>
      </c>
      <c r="AI523">
        <v>18</v>
      </c>
      <c r="AJ523">
        <v>0</v>
      </c>
      <c r="AK523">
        <v>17</v>
      </c>
      <c r="AL523" t="s">
        <v>9986</v>
      </c>
      <c r="AM523" t="s">
        <v>7666</v>
      </c>
      <c r="AN523" t="s">
        <v>9987</v>
      </c>
      <c r="AO523" t="s">
        <v>9988</v>
      </c>
      <c r="AP523" t="s">
        <v>74</v>
      </c>
      <c r="AQ523" t="s">
        <v>74</v>
      </c>
      <c r="AR523" t="s">
        <v>9989</v>
      </c>
      <c r="AS523" t="s">
        <v>9990</v>
      </c>
      <c r="AT523" t="s">
        <v>9913</v>
      </c>
      <c r="AU523">
        <v>2011</v>
      </c>
      <c r="AV523">
        <v>43</v>
      </c>
      <c r="AW523">
        <v>4</v>
      </c>
      <c r="AX523" t="s">
        <v>74</v>
      </c>
      <c r="AY523" t="s">
        <v>74</v>
      </c>
      <c r="AZ523" t="s">
        <v>74</v>
      </c>
      <c r="BA523" t="s">
        <v>74</v>
      </c>
      <c r="BB523">
        <v>517</v>
      </c>
      <c r="BC523">
        <v>526</v>
      </c>
      <c r="BD523" t="s">
        <v>74</v>
      </c>
      <c r="BE523" t="s">
        <v>9991</v>
      </c>
      <c r="BF523" t="str">
        <f>HYPERLINK("http://dx.doi.org/10.1657/1938-4246-43.4.517","http://dx.doi.org/10.1657/1938-4246-43.4.517")</f>
        <v>http://dx.doi.org/10.1657/1938-4246-43.4.517</v>
      </c>
      <c r="BG523" t="s">
        <v>74</v>
      </c>
      <c r="BH523" t="s">
        <v>74</v>
      </c>
      <c r="BI523">
        <v>10</v>
      </c>
      <c r="BJ523" t="s">
        <v>7914</v>
      </c>
      <c r="BK523" t="s">
        <v>100</v>
      </c>
      <c r="BL523" t="s">
        <v>7915</v>
      </c>
      <c r="BM523" t="s">
        <v>9992</v>
      </c>
      <c r="BN523" t="s">
        <v>74</v>
      </c>
      <c r="BO523" t="s">
        <v>892</v>
      </c>
      <c r="BP523" t="s">
        <v>74</v>
      </c>
      <c r="BQ523" t="s">
        <v>74</v>
      </c>
      <c r="BR523" t="s">
        <v>102</v>
      </c>
      <c r="BS523" t="s">
        <v>9993</v>
      </c>
      <c r="BT523" t="str">
        <f>HYPERLINK("https%3A%2F%2Fwww.webofscience.com%2Fwos%2Fwoscc%2Ffull-record%2FWOS:000298722400003","View Full Record in Web of Science")</f>
        <v>View Full Record in Web of Science</v>
      </c>
    </row>
    <row r="524" spans="1:72" x14ac:dyDescent="0.15">
      <c r="A524" t="s">
        <v>72</v>
      </c>
      <c r="B524" t="s">
        <v>9994</v>
      </c>
      <c r="C524" t="s">
        <v>74</v>
      </c>
      <c r="D524" t="s">
        <v>74</v>
      </c>
      <c r="E524" t="s">
        <v>74</v>
      </c>
      <c r="F524" t="s">
        <v>9995</v>
      </c>
      <c r="G524" t="s">
        <v>74</v>
      </c>
      <c r="H524" t="s">
        <v>74</v>
      </c>
      <c r="I524" t="s">
        <v>9996</v>
      </c>
      <c r="J524" t="s">
        <v>9975</v>
      </c>
      <c r="K524" t="s">
        <v>74</v>
      </c>
      <c r="L524" t="s">
        <v>74</v>
      </c>
      <c r="M524" t="s">
        <v>78</v>
      </c>
      <c r="N524" t="s">
        <v>79</v>
      </c>
      <c r="O524" t="s">
        <v>74</v>
      </c>
      <c r="P524" t="s">
        <v>74</v>
      </c>
      <c r="Q524" t="s">
        <v>74</v>
      </c>
      <c r="R524" t="s">
        <v>74</v>
      </c>
      <c r="S524" t="s">
        <v>74</v>
      </c>
      <c r="T524" t="s">
        <v>74</v>
      </c>
      <c r="U524" t="s">
        <v>9997</v>
      </c>
      <c r="V524" t="s">
        <v>9998</v>
      </c>
      <c r="W524" t="s">
        <v>9999</v>
      </c>
      <c r="X524" t="s">
        <v>8801</v>
      </c>
      <c r="Y524" t="s">
        <v>10000</v>
      </c>
      <c r="Z524" t="s">
        <v>10001</v>
      </c>
      <c r="AA524" t="s">
        <v>74</v>
      </c>
      <c r="AB524" t="s">
        <v>10002</v>
      </c>
      <c r="AC524" t="s">
        <v>10003</v>
      </c>
      <c r="AD524" t="s">
        <v>10004</v>
      </c>
      <c r="AE524" t="s">
        <v>10005</v>
      </c>
      <c r="AF524" t="s">
        <v>74</v>
      </c>
      <c r="AG524">
        <v>63</v>
      </c>
      <c r="AH524">
        <v>32</v>
      </c>
      <c r="AI524">
        <v>46</v>
      </c>
      <c r="AJ524">
        <v>0</v>
      </c>
      <c r="AK524">
        <v>17</v>
      </c>
      <c r="AL524" t="s">
        <v>9986</v>
      </c>
      <c r="AM524" t="s">
        <v>7666</v>
      </c>
      <c r="AN524" t="s">
        <v>9987</v>
      </c>
      <c r="AO524" t="s">
        <v>9988</v>
      </c>
      <c r="AP524" t="s">
        <v>10006</v>
      </c>
      <c r="AQ524" t="s">
        <v>74</v>
      </c>
      <c r="AR524" t="s">
        <v>9989</v>
      </c>
      <c r="AS524" t="s">
        <v>9990</v>
      </c>
      <c r="AT524" t="s">
        <v>9913</v>
      </c>
      <c r="AU524">
        <v>2011</v>
      </c>
      <c r="AV524">
        <v>43</v>
      </c>
      <c r="AW524">
        <v>4</v>
      </c>
      <c r="AX524" t="s">
        <v>74</v>
      </c>
      <c r="AY524" t="s">
        <v>74</v>
      </c>
      <c r="AZ524" t="s">
        <v>74</v>
      </c>
      <c r="BA524" t="s">
        <v>74</v>
      </c>
      <c r="BB524">
        <v>527</v>
      </c>
      <c r="BC524">
        <v>542</v>
      </c>
      <c r="BD524" t="s">
        <v>74</v>
      </c>
      <c r="BE524" t="s">
        <v>10007</v>
      </c>
      <c r="BF524" t="str">
        <f>HYPERLINK("http://dx.doi.org/10.1657/1938-4246-43.4.527","http://dx.doi.org/10.1657/1938-4246-43.4.527")</f>
        <v>http://dx.doi.org/10.1657/1938-4246-43.4.527</v>
      </c>
      <c r="BG524" t="s">
        <v>74</v>
      </c>
      <c r="BH524" t="s">
        <v>74</v>
      </c>
      <c r="BI524">
        <v>16</v>
      </c>
      <c r="BJ524" t="s">
        <v>7914</v>
      </c>
      <c r="BK524" t="s">
        <v>100</v>
      </c>
      <c r="BL524" t="s">
        <v>7915</v>
      </c>
      <c r="BM524" t="s">
        <v>9992</v>
      </c>
      <c r="BN524" t="s">
        <v>74</v>
      </c>
      <c r="BO524" t="s">
        <v>3786</v>
      </c>
      <c r="BP524" t="s">
        <v>74</v>
      </c>
      <c r="BQ524" t="s">
        <v>74</v>
      </c>
      <c r="BR524" t="s">
        <v>102</v>
      </c>
      <c r="BS524" t="s">
        <v>10008</v>
      </c>
      <c r="BT524" t="str">
        <f>HYPERLINK("https%3A%2F%2Fwww.webofscience.com%2Fwos%2Fwoscc%2Ffull-record%2FWOS:000298722400004","View Full Record in Web of Science")</f>
        <v>View Full Record in Web of Science</v>
      </c>
    </row>
    <row r="525" spans="1:72" x14ac:dyDescent="0.15">
      <c r="A525" t="s">
        <v>72</v>
      </c>
      <c r="B525" t="s">
        <v>10009</v>
      </c>
      <c r="C525" t="s">
        <v>74</v>
      </c>
      <c r="D525" t="s">
        <v>74</v>
      </c>
      <c r="E525" t="s">
        <v>74</v>
      </c>
      <c r="F525" t="s">
        <v>10010</v>
      </c>
      <c r="G525" t="s">
        <v>74</v>
      </c>
      <c r="H525" t="s">
        <v>74</v>
      </c>
      <c r="I525" t="s">
        <v>10011</v>
      </c>
      <c r="J525" t="s">
        <v>9975</v>
      </c>
      <c r="K525" t="s">
        <v>74</v>
      </c>
      <c r="L525" t="s">
        <v>74</v>
      </c>
      <c r="M525" t="s">
        <v>78</v>
      </c>
      <c r="N525" t="s">
        <v>79</v>
      </c>
      <c r="O525" t="s">
        <v>74</v>
      </c>
      <c r="P525" t="s">
        <v>74</v>
      </c>
      <c r="Q525" t="s">
        <v>74</v>
      </c>
      <c r="R525" t="s">
        <v>74</v>
      </c>
      <c r="S525" t="s">
        <v>74</v>
      </c>
      <c r="T525" t="s">
        <v>74</v>
      </c>
      <c r="U525" t="s">
        <v>10012</v>
      </c>
      <c r="V525" t="s">
        <v>10013</v>
      </c>
      <c r="W525" t="s">
        <v>10014</v>
      </c>
      <c r="X525" t="s">
        <v>10015</v>
      </c>
      <c r="Y525" t="s">
        <v>10016</v>
      </c>
      <c r="Z525" t="s">
        <v>10017</v>
      </c>
      <c r="AA525" t="s">
        <v>74</v>
      </c>
      <c r="AB525" t="s">
        <v>10018</v>
      </c>
      <c r="AC525" t="s">
        <v>10019</v>
      </c>
      <c r="AD525" t="s">
        <v>10020</v>
      </c>
      <c r="AE525" t="s">
        <v>10021</v>
      </c>
      <c r="AF525" t="s">
        <v>74</v>
      </c>
      <c r="AG525">
        <v>75</v>
      </c>
      <c r="AH525">
        <v>29</v>
      </c>
      <c r="AI525">
        <v>33</v>
      </c>
      <c r="AJ525">
        <v>3</v>
      </c>
      <c r="AK525">
        <v>46</v>
      </c>
      <c r="AL525" t="s">
        <v>1150</v>
      </c>
      <c r="AM525" t="s">
        <v>1151</v>
      </c>
      <c r="AN525" t="s">
        <v>1152</v>
      </c>
      <c r="AO525" t="s">
        <v>9988</v>
      </c>
      <c r="AP525" t="s">
        <v>10006</v>
      </c>
      <c r="AQ525" t="s">
        <v>74</v>
      </c>
      <c r="AR525" t="s">
        <v>9989</v>
      </c>
      <c r="AS525" t="s">
        <v>9990</v>
      </c>
      <c r="AT525" t="s">
        <v>9913</v>
      </c>
      <c r="AU525">
        <v>2011</v>
      </c>
      <c r="AV525">
        <v>43</v>
      </c>
      <c r="AW525">
        <v>4</v>
      </c>
      <c r="AX525" t="s">
        <v>74</v>
      </c>
      <c r="AY525" t="s">
        <v>74</v>
      </c>
      <c r="AZ525" t="s">
        <v>74</v>
      </c>
      <c r="BA525" t="s">
        <v>74</v>
      </c>
      <c r="BB525">
        <v>555</v>
      </c>
      <c r="BC525">
        <v>567</v>
      </c>
      <c r="BD525" t="s">
        <v>74</v>
      </c>
      <c r="BE525" t="s">
        <v>10022</v>
      </c>
      <c r="BF525" t="str">
        <f>HYPERLINK("http://dx.doi.org/10.1657/1938-4246-43.4.555","http://dx.doi.org/10.1657/1938-4246-43.4.555")</f>
        <v>http://dx.doi.org/10.1657/1938-4246-43.4.555</v>
      </c>
      <c r="BG525" t="s">
        <v>74</v>
      </c>
      <c r="BH525" t="s">
        <v>74</v>
      </c>
      <c r="BI525">
        <v>13</v>
      </c>
      <c r="BJ525" t="s">
        <v>7914</v>
      </c>
      <c r="BK525" t="s">
        <v>100</v>
      </c>
      <c r="BL525" t="s">
        <v>7915</v>
      </c>
      <c r="BM525" t="s">
        <v>9992</v>
      </c>
      <c r="BN525" t="s">
        <v>74</v>
      </c>
      <c r="BO525" t="s">
        <v>1796</v>
      </c>
      <c r="BP525" t="s">
        <v>74</v>
      </c>
      <c r="BQ525" t="s">
        <v>74</v>
      </c>
      <c r="BR525" t="s">
        <v>102</v>
      </c>
      <c r="BS525" t="s">
        <v>10023</v>
      </c>
      <c r="BT525" t="str">
        <f>HYPERLINK("https%3A%2F%2Fwww.webofscience.com%2Fwos%2Fwoscc%2Ffull-record%2FWOS:000298722400006","View Full Record in Web of Science")</f>
        <v>View Full Record in Web of Science</v>
      </c>
    </row>
    <row r="526" spans="1:72" x14ac:dyDescent="0.15">
      <c r="A526" t="s">
        <v>72</v>
      </c>
      <c r="B526" t="s">
        <v>10024</v>
      </c>
      <c r="C526" t="s">
        <v>74</v>
      </c>
      <c r="D526" t="s">
        <v>74</v>
      </c>
      <c r="E526" t="s">
        <v>74</v>
      </c>
      <c r="F526" t="s">
        <v>10025</v>
      </c>
      <c r="G526" t="s">
        <v>74</v>
      </c>
      <c r="H526" t="s">
        <v>74</v>
      </c>
      <c r="I526" t="s">
        <v>10026</v>
      </c>
      <c r="J526" t="s">
        <v>9975</v>
      </c>
      <c r="K526" t="s">
        <v>74</v>
      </c>
      <c r="L526" t="s">
        <v>74</v>
      </c>
      <c r="M526" t="s">
        <v>78</v>
      </c>
      <c r="N526" t="s">
        <v>79</v>
      </c>
      <c r="O526" t="s">
        <v>74</v>
      </c>
      <c r="P526" t="s">
        <v>74</v>
      </c>
      <c r="Q526" t="s">
        <v>74</v>
      </c>
      <c r="R526" t="s">
        <v>74</v>
      </c>
      <c r="S526" t="s">
        <v>74</v>
      </c>
      <c r="T526" t="s">
        <v>74</v>
      </c>
      <c r="U526" t="s">
        <v>10027</v>
      </c>
      <c r="V526" t="s">
        <v>10028</v>
      </c>
      <c r="W526" t="s">
        <v>10029</v>
      </c>
      <c r="X526" t="s">
        <v>10030</v>
      </c>
      <c r="Y526" t="s">
        <v>10031</v>
      </c>
      <c r="Z526" t="s">
        <v>10032</v>
      </c>
      <c r="AA526" t="s">
        <v>10033</v>
      </c>
      <c r="AB526" t="s">
        <v>10034</v>
      </c>
      <c r="AC526" t="s">
        <v>10035</v>
      </c>
      <c r="AD526" t="s">
        <v>10036</v>
      </c>
      <c r="AE526" t="s">
        <v>10037</v>
      </c>
      <c r="AF526" t="s">
        <v>74</v>
      </c>
      <c r="AG526">
        <v>87</v>
      </c>
      <c r="AH526">
        <v>20</v>
      </c>
      <c r="AI526">
        <v>24</v>
      </c>
      <c r="AJ526">
        <v>0</v>
      </c>
      <c r="AK526">
        <v>50</v>
      </c>
      <c r="AL526" t="s">
        <v>1150</v>
      </c>
      <c r="AM526" t="s">
        <v>1151</v>
      </c>
      <c r="AN526" t="s">
        <v>1152</v>
      </c>
      <c r="AO526" t="s">
        <v>9988</v>
      </c>
      <c r="AP526" t="s">
        <v>10006</v>
      </c>
      <c r="AQ526" t="s">
        <v>74</v>
      </c>
      <c r="AR526" t="s">
        <v>9989</v>
      </c>
      <c r="AS526" t="s">
        <v>9990</v>
      </c>
      <c r="AT526" t="s">
        <v>9913</v>
      </c>
      <c r="AU526">
        <v>2011</v>
      </c>
      <c r="AV526">
        <v>43</v>
      </c>
      <c r="AW526">
        <v>4</v>
      </c>
      <c r="AX526" t="s">
        <v>74</v>
      </c>
      <c r="AY526" t="s">
        <v>74</v>
      </c>
      <c r="AZ526" t="s">
        <v>74</v>
      </c>
      <c r="BA526" t="s">
        <v>74</v>
      </c>
      <c r="BB526">
        <v>568</v>
      </c>
      <c r="BC526">
        <v>584</v>
      </c>
      <c r="BD526" t="s">
        <v>74</v>
      </c>
      <c r="BE526" t="s">
        <v>10038</v>
      </c>
      <c r="BF526" t="str">
        <f>HYPERLINK("http://dx.doi.org/10.1657/1938-4246-43.4.568","http://dx.doi.org/10.1657/1938-4246-43.4.568")</f>
        <v>http://dx.doi.org/10.1657/1938-4246-43.4.568</v>
      </c>
      <c r="BG526" t="s">
        <v>74</v>
      </c>
      <c r="BH526" t="s">
        <v>74</v>
      </c>
      <c r="BI526">
        <v>17</v>
      </c>
      <c r="BJ526" t="s">
        <v>7914</v>
      </c>
      <c r="BK526" t="s">
        <v>100</v>
      </c>
      <c r="BL526" t="s">
        <v>7915</v>
      </c>
      <c r="BM526" t="s">
        <v>9992</v>
      </c>
      <c r="BN526" t="s">
        <v>74</v>
      </c>
      <c r="BO526" t="s">
        <v>892</v>
      </c>
      <c r="BP526" t="s">
        <v>74</v>
      </c>
      <c r="BQ526" t="s">
        <v>74</v>
      </c>
      <c r="BR526" t="s">
        <v>102</v>
      </c>
      <c r="BS526" t="s">
        <v>10039</v>
      </c>
      <c r="BT526" t="str">
        <f>HYPERLINK("https%3A%2F%2Fwww.webofscience.com%2Fwos%2Fwoscc%2Ffull-record%2FWOS:000298722400007","View Full Record in Web of Science")</f>
        <v>View Full Record in Web of Science</v>
      </c>
    </row>
    <row r="527" spans="1:72" x14ac:dyDescent="0.15">
      <c r="A527" t="s">
        <v>72</v>
      </c>
      <c r="B527" t="s">
        <v>10040</v>
      </c>
      <c r="C527" t="s">
        <v>74</v>
      </c>
      <c r="D527" t="s">
        <v>74</v>
      </c>
      <c r="E527" t="s">
        <v>74</v>
      </c>
      <c r="F527" t="s">
        <v>10041</v>
      </c>
      <c r="G527" t="s">
        <v>74</v>
      </c>
      <c r="H527" t="s">
        <v>74</v>
      </c>
      <c r="I527" t="s">
        <v>10042</v>
      </c>
      <c r="J527" t="s">
        <v>9975</v>
      </c>
      <c r="K527" t="s">
        <v>74</v>
      </c>
      <c r="L527" t="s">
        <v>74</v>
      </c>
      <c r="M527" t="s">
        <v>78</v>
      </c>
      <c r="N527" t="s">
        <v>79</v>
      </c>
      <c r="O527" t="s">
        <v>74</v>
      </c>
      <c r="P527" t="s">
        <v>74</v>
      </c>
      <c r="Q527" t="s">
        <v>74</v>
      </c>
      <c r="R527" t="s">
        <v>74</v>
      </c>
      <c r="S527" t="s">
        <v>74</v>
      </c>
      <c r="T527" t="s">
        <v>74</v>
      </c>
      <c r="U527" t="s">
        <v>10043</v>
      </c>
      <c r="V527" t="s">
        <v>10044</v>
      </c>
      <c r="W527" t="s">
        <v>10045</v>
      </c>
      <c r="X527" t="s">
        <v>10046</v>
      </c>
      <c r="Y527" t="s">
        <v>10047</v>
      </c>
      <c r="Z527" t="s">
        <v>10048</v>
      </c>
      <c r="AA527" t="s">
        <v>74</v>
      </c>
      <c r="AB527" t="s">
        <v>74</v>
      </c>
      <c r="AC527" t="s">
        <v>10049</v>
      </c>
      <c r="AD527" t="s">
        <v>3558</v>
      </c>
      <c r="AE527" t="s">
        <v>10050</v>
      </c>
      <c r="AF527" t="s">
        <v>74</v>
      </c>
      <c r="AG527">
        <v>62</v>
      </c>
      <c r="AH527">
        <v>31</v>
      </c>
      <c r="AI527">
        <v>37</v>
      </c>
      <c r="AJ527">
        <v>10</v>
      </c>
      <c r="AK527">
        <v>113</v>
      </c>
      <c r="AL527" t="s">
        <v>1150</v>
      </c>
      <c r="AM527" t="s">
        <v>1151</v>
      </c>
      <c r="AN527" t="s">
        <v>1152</v>
      </c>
      <c r="AO527" t="s">
        <v>9988</v>
      </c>
      <c r="AP527" t="s">
        <v>10006</v>
      </c>
      <c r="AQ527" t="s">
        <v>74</v>
      </c>
      <c r="AR527" t="s">
        <v>9989</v>
      </c>
      <c r="AS527" t="s">
        <v>9990</v>
      </c>
      <c r="AT527" t="s">
        <v>9913</v>
      </c>
      <c r="AU527">
        <v>2011</v>
      </c>
      <c r="AV527">
        <v>43</v>
      </c>
      <c r="AW527">
        <v>4</v>
      </c>
      <c r="AX527" t="s">
        <v>74</v>
      </c>
      <c r="AY527" t="s">
        <v>74</v>
      </c>
      <c r="AZ527" t="s">
        <v>74</v>
      </c>
      <c r="BA527" t="s">
        <v>74</v>
      </c>
      <c r="BB527">
        <v>585</v>
      </c>
      <c r="BC527">
        <v>592</v>
      </c>
      <c r="BD527" t="s">
        <v>74</v>
      </c>
      <c r="BE527" t="s">
        <v>10051</v>
      </c>
      <c r="BF527" t="str">
        <f>HYPERLINK("http://dx.doi.org/10.1657/1938-4246-43.4.585","http://dx.doi.org/10.1657/1938-4246-43.4.585")</f>
        <v>http://dx.doi.org/10.1657/1938-4246-43.4.585</v>
      </c>
      <c r="BG527" t="s">
        <v>74</v>
      </c>
      <c r="BH527" t="s">
        <v>74</v>
      </c>
      <c r="BI527">
        <v>8</v>
      </c>
      <c r="BJ527" t="s">
        <v>7914</v>
      </c>
      <c r="BK527" t="s">
        <v>100</v>
      </c>
      <c r="BL527" t="s">
        <v>7915</v>
      </c>
      <c r="BM527" t="s">
        <v>9992</v>
      </c>
      <c r="BN527" t="s">
        <v>74</v>
      </c>
      <c r="BO527" t="s">
        <v>3786</v>
      </c>
      <c r="BP527" t="s">
        <v>74</v>
      </c>
      <c r="BQ527" t="s">
        <v>74</v>
      </c>
      <c r="BR527" t="s">
        <v>102</v>
      </c>
      <c r="BS527" t="s">
        <v>10052</v>
      </c>
      <c r="BT527" t="str">
        <f>HYPERLINK("https%3A%2F%2Fwww.webofscience.com%2Fwos%2Fwoscc%2Ffull-record%2FWOS:000298722400008","View Full Record in Web of Science")</f>
        <v>View Full Record in Web of Science</v>
      </c>
    </row>
    <row r="528" spans="1:72" x14ac:dyDescent="0.15">
      <c r="A528" t="s">
        <v>72</v>
      </c>
      <c r="B528" t="s">
        <v>10053</v>
      </c>
      <c r="C528" t="s">
        <v>74</v>
      </c>
      <c r="D528" t="s">
        <v>74</v>
      </c>
      <c r="E528" t="s">
        <v>74</v>
      </c>
      <c r="F528" t="s">
        <v>10054</v>
      </c>
      <c r="G528" t="s">
        <v>74</v>
      </c>
      <c r="H528" t="s">
        <v>74</v>
      </c>
      <c r="I528" t="s">
        <v>10055</v>
      </c>
      <c r="J528" t="s">
        <v>9975</v>
      </c>
      <c r="K528" t="s">
        <v>74</v>
      </c>
      <c r="L528" t="s">
        <v>74</v>
      </c>
      <c r="M528" t="s">
        <v>78</v>
      </c>
      <c r="N528" t="s">
        <v>79</v>
      </c>
      <c r="O528" t="s">
        <v>74</v>
      </c>
      <c r="P528" t="s">
        <v>74</v>
      </c>
      <c r="Q528" t="s">
        <v>74</v>
      </c>
      <c r="R528" t="s">
        <v>74</v>
      </c>
      <c r="S528" t="s">
        <v>74</v>
      </c>
      <c r="T528" t="s">
        <v>74</v>
      </c>
      <c r="U528" t="s">
        <v>10056</v>
      </c>
      <c r="V528" t="s">
        <v>10057</v>
      </c>
      <c r="W528" t="s">
        <v>10058</v>
      </c>
      <c r="X528" t="s">
        <v>10059</v>
      </c>
      <c r="Y528" t="s">
        <v>10060</v>
      </c>
      <c r="Z528" t="s">
        <v>10061</v>
      </c>
      <c r="AA528" t="s">
        <v>10062</v>
      </c>
      <c r="AB528" t="s">
        <v>10063</v>
      </c>
      <c r="AC528" t="s">
        <v>10064</v>
      </c>
      <c r="AD528" t="s">
        <v>10065</v>
      </c>
      <c r="AE528" t="s">
        <v>10066</v>
      </c>
      <c r="AF528" t="s">
        <v>74</v>
      </c>
      <c r="AG528">
        <v>47</v>
      </c>
      <c r="AH528">
        <v>7</v>
      </c>
      <c r="AI528">
        <v>9</v>
      </c>
      <c r="AJ528">
        <v>0</v>
      </c>
      <c r="AK528">
        <v>20</v>
      </c>
      <c r="AL528" t="s">
        <v>1150</v>
      </c>
      <c r="AM528" t="s">
        <v>1151</v>
      </c>
      <c r="AN528" t="s">
        <v>1152</v>
      </c>
      <c r="AO528" t="s">
        <v>9988</v>
      </c>
      <c r="AP528" t="s">
        <v>10006</v>
      </c>
      <c r="AQ528" t="s">
        <v>74</v>
      </c>
      <c r="AR528" t="s">
        <v>9989</v>
      </c>
      <c r="AS528" t="s">
        <v>9990</v>
      </c>
      <c r="AT528" t="s">
        <v>9913</v>
      </c>
      <c r="AU528">
        <v>2011</v>
      </c>
      <c r="AV528">
        <v>43</v>
      </c>
      <c r="AW528">
        <v>4</v>
      </c>
      <c r="AX528" t="s">
        <v>74</v>
      </c>
      <c r="AY528" t="s">
        <v>74</v>
      </c>
      <c r="AZ528" t="s">
        <v>74</v>
      </c>
      <c r="BA528" t="s">
        <v>74</v>
      </c>
      <c r="BB528">
        <v>593</v>
      </c>
      <c r="BC528">
        <v>600</v>
      </c>
      <c r="BD528" t="s">
        <v>74</v>
      </c>
      <c r="BE528" t="s">
        <v>10067</v>
      </c>
      <c r="BF528" t="str">
        <f>HYPERLINK("http://dx.doi.org/10.1657/1938-4246-43.4.593","http://dx.doi.org/10.1657/1938-4246-43.4.593")</f>
        <v>http://dx.doi.org/10.1657/1938-4246-43.4.593</v>
      </c>
      <c r="BG528" t="s">
        <v>74</v>
      </c>
      <c r="BH528" t="s">
        <v>74</v>
      </c>
      <c r="BI528">
        <v>8</v>
      </c>
      <c r="BJ528" t="s">
        <v>7914</v>
      </c>
      <c r="BK528" t="s">
        <v>100</v>
      </c>
      <c r="BL528" t="s">
        <v>7915</v>
      </c>
      <c r="BM528" t="s">
        <v>9992</v>
      </c>
      <c r="BN528" t="s">
        <v>74</v>
      </c>
      <c r="BO528" t="s">
        <v>74</v>
      </c>
      <c r="BP528" t="s">
        <v>74</v>
      </c>
      <c r="BQ528" t="s">
        <v>74</v>
      </c>
      <c r="BR528" t="s">
        <v>102</v>
      </c>
      <c r="BS528" t="s">
        <v>10068</v>
      </c>
      <c r="BT528" t="str">
        <f>HYPERLINK("https%3A%2F%2Fwww.webofscience.com%2Fwos%2Fwoscc%2Ffull-record%2FWOS:000298722400009","View Full Record in Web of Science")</f>
        <v>View Full Record in Web of Science</v>
      </c>
    </row>
    <row r="529" spans="1:72" x14ac:dyDescent="0.15">
      <c r="A529" t="s">
        <v>72</v>
      </c>
      <c r="B529" t="s">
        <v>10069</v>
      </c>
      <c r="C529" t="s">
        <v>74</v>
      </c>
      <c r="D529" t="s">
        <v>74</v>
      </c>
      <c r="E529" t="s">
        <v>74</v>
      </c>
      <c r="F529" t="s">
        <v>10070</v>
      </c>
      <c r="G529" t="s">
        <v>74</v>
      </c>
      <c r="H529" t="s">
        <v>74</v>
      </c>
      <c r="I529" t="s">
        <v>10071</v>
      </c>
      <c r="J529" t="s">
        <v>9975</v>
      </c>
      <c r="K529" t="s">
        <v>74</v>
      </c>
      <c r="L529" t="s">
        <v>74</v>
      </c>
      <c r="M529" t="s">
        <v>78</v>
      </c>
      <c r="N529" t="s">
        <v>79</v>
      </c>
      <c r="O529" t="s">
        <v>74</v>
      </c>
      <c r="P529" t="s">
        <v>74</v>
      </c>
      <c r="Q529" t="s">
        <v>74</v>
      </c>
      <c r="R529" t="s">
        <v>74</v>
      </c>
      <c r="S529" t="s">
        <v>74</v>
      </c>
      <c r="T529" t="s">
        <v>74</v>
      </c>
      <c r="U529" t="s">
        <v>10072</v>
      </c>
      <c r="V529" t="s">
        <v>10073</v>
      </c>
      <c r="W529" t="s">
        <v>10074</v>
      </c>
      <c r="X529" t="s">
        <v>10075</v>
      </c>
      <c r="Y529" t="s">
        <v>10076</v>
      </c>
      <c r="Z529" t="s">
        <v>10077</v>
      </c>
      <c r="AA529" t="s">
        <v>10078</v>
      </c>
      <c r="AB529" t="s">
        <v>10079</v>
      </c>
      <c r="AC529" t="s">
        <v>10080</v>
      </c>
      <c r="AD529" t="s">
        <v>10081</v>
      </c>
      <c r="AE529" t="s">
        <v>10082</v>
      </c>
      <c r="AF529" t="s">
        <v>74</v>
      </c>
      <c r="AG529">
        <v>91</v>
      </c>
      <c r="AH529">
        <v>24</v>
      </c>
      <c r="AI529">
        <v>26</v>
      </c>
      <c r="AJ529">
        <v>0</v>
      </c>
      <c r="AK529">
        <v>21</v>
      </c>
      <c r="AL529" t="s">
        <v>1150</v>
      </c>
      <c r="AM529" t="s">
        <v>1151</v>
      </c>
      <c r="AN529" t="s">
        <v>1152</v>
      </c>
      <c r="AO529" t="s">
        <v>9988</v>
      </c>
      <c r="AP529" t="s">
        <v>10006</v>
      </c>
      <c r="AQ529" t="s">
        <v>74</v>
      </c>
      <c r="AR529" t="s">
        <v>9989</v>
      </c>
      <c r="AS529" t="s">
        <v>9990</v>
      </c>
      <c r="AT529" t="s">
        <v>9913</v>
      </c>
      <c r="AU529">
        <v>2011</v>
      </c>
      <c r="AV529">
        <v>43</v>
      </c>
      <c r="AW529">
        <v>4</v>
      </c>
      <c r="AX529" t="s">
        <v>74</v>
      </c>
      <c r="AY529" t="s">
        <v>74</v>
      </c>
      <c r="AZ529" t="s">
        <v>74</v>
      </c>
      <c r="BA529" t="s">
        <v>74</v>
      </c>
      <c r="BB529">
        <v>601</v>
      </c>
      <c r="BC529">
        <v>611</v>
      </c>
      <c r="BD529" t="s">
        <v>74</v>
      </c>
      <c r="BE529" t="s">
        <v>10083</v>
      </c>
      <c r="BF529" t="str">
        <f>HYPERLINK("http://dx.doi.org/10.1657/1938-4246-43.4.601","http://dx.doi.org/10.1657/1938-4246-43.4.601")</f>
        <v>http://dx.doi.org/10.1657/1938-4246-43.4.601</v>
      </c>
      <c r="BG529" t="s">
        <v>74</v>
      </c>
      <c r="BH529" t="s">
        <v>74</v>
      </c>
      <c r="BI529">
        <v>11</v>
      </c>
      <c r="BJ529" t="s">
        <v>7914</v>
      </c>
      <c r="BK529" t="s">
        <v>100</v>
      </c>
      <c r="BL529" t="s">
        <v>7915</v>
      </c>
      <c r="BM529" t="s">
        <v>9992</v>
      </c>
      <c r="BN529" t="s">
        <v>74</v>
      </c>
      <c r="BO529" t="s">
        <v>1796</v>
      </c>
      <c r="BP529" t="s">
        <v>74</v>
      </c>
      <c r="BQ529" t="s">
        <v>74</v>
      </c>
      <c r="BR529" t="s">
        <v>102</v>
      </c>
      <c r="BS529" t="s">
        <v>10084</v>
      </c>
      <c r="BT529" t="str">
        <f>HYPERLINK("https%3A%2F%2Fwww.webofscience.com%2Fwos%2Fwoscc%2Ffull-record%2FWOS:000298722400010","View Full Record in Web of Science")</f>
        <v>View Full Record in Web of Science</v>
      </c>
    </row>
    <row r="530" spans="1:72" x14ac:dyDescent="0.15">
      <c r="A530" t="s">
        <v>72</v>
      </c>
      <c r="B530" t="s">
        <v>10085</v>
      </c>
      <c r="C530" t="s">
        <v>74</v>
      </c>
      <c r="D530" t="s">
        <v>74</v>
      </c>
      <c r="E530" t="s">
        <v>74</v>
      </c>
      <c r="F530" t="s">
        <v>10086</v>
      </c>
      <c r="G530" t="s">
        <v>74</v>
      </c>
      <c r="H530" t="s">
        <v>74</v>
      </c>
      <c r="I530" t="s">
        <v>10087</v>
      </c>
      <c r="J530" t="s">
        <v>9975</v>
      </c>
      <c r="K530" t="s">
        <v>74</v>
      </c>
      <c r="L530" t="s">
        <v>74</v>
      </c>
      <c r="M530" t="s">
        <v>78</v>
      </c>
      <c r="N530" t="s">
        <v>79</v>
      </c>
      <c r="O530" t="s">
        <v>74</v>
      </c>
      <c r="P530" t="s">
        <v>74</v>
      </c>
      <c r="Q530" t="s">
        <v>74</v>
      </c>
      <c r="R530" t="s">
        <v>74</v>
      </c>
      <c r="S530" t="s">
        <v>74</v>
      </c>
      <c r="T530" t="s">
        <v>74</v>
      </c>
      <c r="U530" t="s">
        <v>10088</v>
      </c>
      <c r="V530" t="s">
        <v>10089</v>
      </c>
      <c r="W530" t="s">
        <v>10090</v>
      </c>
      <c r="X530" t="s">
        <v>10091</v>
      </c>
      <c r="Y530" t="s">
        <v>10092</v>
      </c>
      <c r="Z530" t="s">
        <v>10093</v>
      </c>
      <c r="AA530" t="s">
        <v>74</v>
      </c>
      <c r="AB530" t="s">
        <v>74</v>
      </c>
      <c r="AC530" t="s">
        <v>10094</v>
      </c>
      <c r="AD530" t="s">
        <v>10095</v>
      </c>
      <c r="AE530" t="s">
        <v>10096</v>
      </c>
      <c r="AF530" t="s">
        <v>74</v>
      </c>
      <c r="AG530">
        <v>57</v>
      </c>
      <c r="AH530">
        <v>19</v>
      </c>
      <c r="AI530">
        <v>19</v>
      </c>
      <c r="AJ530">
        <v>3</v>
      </c>
      <c r="AK530">
        <v>58</v>
      </c>
      <c r="AL530" t="s">
        <v>1150</v>
      </c>
      <c r="AM530" t="s">
        <v>1151</v>
      </c>
      <c r="AN530" t="s">
        <v>1152</v>
      </c>
      <c r="AO530" t="s">
        <v>9988</v>
      </c>
      <c r="AP530" t="s">
        <v>10006</v>
      </c>
      <c r="AQ530" t="s">
        <v>74</v>
      </c>
      <c r="AR530" t="s">
        <v>9989</v>
      </c>
      <c r="AS530" t="s">
        <v>9990</v>
      </c>
      <c r="AT530" t="s">
        <v>9913</v>
      </c>
      <c r="AU530">
        <v>2011</v>
      </c>
      <c r="AV530">
        <v>43</v>
      </c>
      <c r="AW530">
        <v>4</v>
      </c>
      <c r="AX530" t="s">
        <v>74</v>
      </c>
      <c r="AY530" t="s">
        <v>74</v>
      </c>
      <c r="AZ530" t="s">
        <v>74</v>
      </c>
      <c r="BA530" t="s">
        <v>74</v>
      </c>
      <c r="BB530">
        <v>612</v>
      </c>
      <c r="BC530">
        <v>620</v>
      </c>
      <c r="BD530" t="s">
        <v>74</v>
      </c>
      <c r="BE530" t="s">
        <v>10097</v>
      </c>
      <c r="BF530" t="str">
        <f>HYPERLINK("http://dx.doi.org/10.1657/1938-4246-43.4.612","http://dx.doi.org/10.1657/1938-4246-43.4.612")</f>
        <v>http://dx.doi.org/10.1657/1938-4246-43.4.612</v>
      </c>
      <c r="BG530" t="s">
        <v>74</v>
      </c>
      <c r="BH530" t="s">
        <v>74</v>
      </c>
      <c r="BI530">
        <v>9</v>
      </c>
      <c r="BJ530" t="s">
        <v>7914</v>
      </c>
      <c r="BK530" t="s">
        <v>100</v>
      </c>
      <c r="BL530" t="s">
        <v>7915</v>
      </c>
      <c r="BM530" t="s">
        <v>9992</v>
      </c>
      <c r="BN530" t="s">
        <v>74</v>
      </c>
      <c r="BO530" t="s">
        <v>892</v>
      </c>
      <c r="BP530" t="s">
        <v>74</v>
      </c>
      <c r="BQ530" t="s">
        <v>74</v>
      </c>
      <c r="BR530" t="s">
        <v>102</v>
      </c>
      <c r="BS530" t="s">
        <v>10098</v>
      </c>
      <c r="BT530" t="str">
        <f>HYPERLINK("https%3A%2F%2Fwww.webofscience.com%2Fwos%2Fwoscc%2Ffull-record%2FWOS:000298722400011","View Full Record in Web of Science")</f>
        <v>View Full Record in Web of Science</v>
      </c>
    </row>
    <row r="531" spans="1:72" x14ac:dyDescent="0.15">
      <c r="A531" t="s">
        <v>72</v>
      </c>
      <c r="B531" t="s">
        <v>10099</v>
      </c>
      <c r="C531" t="s">
        <v>74</v>
      </c>
      <c r="D531" t="s">
        <v>74</v>
      </c>
      <c r="E531" t="s">
        <v>74</v>
      </c>
      <c r="F531" t="s">
        <v>10100</v>
      </c>
      <c r="G531" t="s">
        <v>74</v>
      </c>
      <c r="H531" t="s">
        <v>74</v>
      </c>
      <c r="I531" t="s">
        <v>10101</v>
      </c>
      <c r="J531" t="s">
        <v>9975</v>
      </c>
      <c r="K531" t="s">
        <v>74</v>
      </c>
      <c r="L531" t="s">
        <v>74</v>
      </c>
      <c r="M531" t="s">
        <v>78</v>
      </c>
      <c r="N531" t="s">
        <v>79</v>
      </c>
      <c r="O531" t="s">
        <v>74</v>
      </c>
      <c r="P531" t="s">
        <v>74</v>
      </c>
      <c r="Q531" t="s">
        <v>74</v>
      </c>
      <c r="R531" t="s">
        <v>74</v>
      </c>
      <c r="S531" t="s">
        <v>74</v>
      </c>
      <c r="T531" t="s">
        <v>74</v>
      </c>
      <c r="U531" t="s">
        <v>10102</v>
      </c>
      <c r="V531" t="s">
        <v>10103</v>
      </c>
      <c r="W531" t="s">
        <v>10104</v>
      </c>
      <c r="X531" t="s">
        <v>10105</v>
      </c>
      <c r="Y531" t="s">
        <v>10106</v>
      </c>
      <c r="Z531" t="s">
        <v>10107</v>
      </c>
      <c r="AA531" t="s">
        <v>74</v>
      </c>
      <c r="AB531" t="s">
        <v>10108</v>
      </c>
      <c r="AC531" t="s">
        <v>10109</v>
      </c>
      <c r="AD531" t="s">
        <v>10110</v>
      </c>
      <c r="AE531" t="s">
        <v>10111</v>
      </c>
      <c r="AF531" t="s">
        <v>74</v>
      </c>
      <c r="AG531">
        <v>52</v>
      </c>
      <c r="AH531">
        <v>12</v>
      </c>
      <c r="AI531">
        <v>12</v>
      </c>
      <c r="AJ531">
        <v>0</v>
      </c>
      <c r="AK531">
        <v>18</v>
      </c>
      <c r="AL531" t="s">
        <v>9986</v>
      </c>
      <c r="AM531" t="s">
        <v>7666</v>
      </c>
      <c r="AN531" t="s">
        <v>9987</v>
      </c>
      <c r="AO531" t="s">
        <v>9988</v>
      </c>
      <c r="AP531" t="s">
        <v>10006</v>
      </c>
      <c r="AQ531" t="s">
        <v>74</v>
      </c>
      <c r="AR531" t="s">
        <v>9989</v>
      </c>
      <c r="AS531" t="s">
        <v>9990</v>
      </c>
      <c r="AT531" t="s">
        <v>9913</v>
      </c>
      <c r="AU531">
        <v>2011</v>
      </c>
      <c r="AV531">
        <v>43</v>
      </c>
      <c r="AW531">
        <v>4</v>
      </c>
      <c r="AX531" t="s">
        <v>74</v>
      </c>
      <c r="AY531" t="s">
        <v>74</v>
      </c>
      <c r="AZ531" t="s">
        <v>74</v>
      </c>
      <c r="BA531" t="s">
        <v>74</v>
      </c>
      <c r="BB531">
        <v>621</v>
      </c>
      <c r="BC531">
        <v>631</v>
      </c>
      <c r="BD531" t="s">
        <v>74</v>
      </c>
      <c r="BE531" t="s">
        <v>10112</v>
      </c>
      <c r="BF531" t="str">
        <f>HYPERLINK("http://dx.doi.org/10.1657/1938-4246-43.4.621","http://dx.doi.org/10.1657/1938-4246-43.4.621")</f>
        <v>http://dx.doi.org/10.1657/1938-4246-43.4.621</v>
      </c>
      <c r="BG531" t="s">
        <v>74</v>
      </c>
      <c r="BH531" t="s">
        <v>74</v>
      </c>
      <c r="BI531">
        <v>11</v>
      </c>
      <c r="BJ531" t="s">
        <v>7914</v>
      </c>
      <c r="BK531" t="s">
        <v>100</v>
      </c>
      <c r="BL531" t="s">
        <v>7915</v>
      </c>
      <c r="BM531" t="s">
        <v>9992</v>
      </c>
      <c r="BN531" t="s">
        <v>74</v>
      </c>
      <c r="BO531" t="s">
        <v>1796</v>
      </c>
      <c r="BP531" t="s">
        <v>74</v>
      </c>
      <c r="BQ531" t="s">
        <v>74</v>
      </c>
      <c r="BR531" t="s">
        <v>102</v>
      </c>
      <c r="BS531" t="s">
        <v>10113</v>
      </c>
      <c r="BT531" t="str">
        <f>HYPERLINK("https%3A%2F%2Fwww.webofscience.com%2Fwos%2Fwoscc%2Ffull-record%2FWOS:000298722400012","View Full Record in Web of Science")</f>
        <v>View Full Record in Web of Science</v>
      </c>
    </row>
    <row r="532" spans="1:72" x14ac:dyDescent="0.15">
      <c r="A532" t="s">
        <v>72</v>
      </c>
      <c r="B532" t="s">
        <v>10114</v>
      </c>
      <c r="C532" t="s">
        <v>74</v>
      </c>
      <c r="D532" t="s">
        <v>74</v>
      </c>
      <c r="E532" t="s">
        <v>74</v>
      </c>
      <c r="F532" t="s">
        <v>10115</v>
      </c>
      <c r="G532" t="s">
        <v>74</v>
      </c>
      <c r="H532" t="s">
        <v>74</v>
      </c>
      <c r="I532" t="s">
        <v>10116</v>
      </c>
      <c r="J532" t="s">
        <v>10117</v>
      </c>
      <c r="K532" t="s">
        <v>74</v>
      </c>
      <c r="L532" t="s">
        <v>74</v>
      </c>
      <c r="M532" t="s">
        <v>78</v>
      </c>
      <c r="N532" t="s">
        <v>10118</v>
      </c>
      <c r="O532" t="s">
        <v>74</v>
      </c>
      <c r="P532" t="s">
        <v>74</v>
      </c>
      <c r="Q532" t="s">
        <v>74</v>
      </c>
      <c r="R532" t="s">
        <v>74</v>
      </c>
      <c r="S532" t="s">
        <v>74</v>
      </c>
      <c r="T532" t="s">
        <v>74</v>
      </c>
      <c r="U532" t="s">
        <v>74</v>
      </c>
      <c r="V532" t="s">
        <v>74</v>
      </c>
      <c r="W532" t="s">
        <v>10119</v>
      </c>
      <c r="X532" t="s">
        <v>10120</v>
      </c>
      <c r="Y532" t="s">
        <v>10121</v>
      </c>
      <c r="Z532" t="s">
        <v>74</v>
      </c>
      <c r="AA532" t="s">
        <v>10122</v>
      </c>
      <c r="AB532" t="s">
        <v>74</v>
      </c>
      <c r="AC532" t="s">
        <v>10123</v>
      </c>
      <c r="AD532" t="s">
        <v>10124</v>
      </c>
      <c r="AE532" t="s">
        <v>74</v>
      </c>
      <c r="AF532" t="s">
        <v>74</v>
      </c>
      <c r="AG532">
        <v>0</v>
      </c>
      <c r="AH532">
        <v>3</v>
      </c>
      <c r="AI532">
        <v>3</v>
      </c>
      <c r="AJ532">
        <v>0</v>
      </c>
      <c r="AK532">
        <v>7</v>
      </c>
      <c r="AL532" t="s">
        <v>3775</v>
      </c>
      <c r="AM532" t="s">
        <v>3776</v>
      </c>
      <c r="AN532" t="s">
        <v>3777</v>
      </c>
      <c r="AO532" t="s">
        <v>10125</v>
      </c>
      <c r="AP532" t="s">
        <v>74</v>
      </c>
      <c r="AQ532" t="s">
        <v>74</v>
      </c>
      <c r="AR532" t="s">
        <v>10126</v>
      </c>
      <c r="AS532" t="s">
        <v>10127</v>
      </c>
      <c r="AT532" t="s">
        <v>9913</v>
      </c>
      <c r="AU532">
        <v>2011</v>
      </c>
      <c r="AV532">
        <v>92</v>
      </c>
      <c r="AW532">
        <v>11</v>
      </c>
      <c r="AX532" t="s">
        <v>74</v>
      </c>
      <c r="AY532" t="s">
        <v>74</v>
      </c>
      <c r="AZ532" t="s">
        <v>74</v>
      </c>
      <c r="BA532" t="s">
        <v>74</v>
      </c>
      <c r="BB532">
        <v>1411</v>
      </c>
      <c r="BC532">
        <v>1412</v>
      </c>
      <c r="BD532" t="s">
        <v>74</v>
      </c>
      <c r="BE532" t="s">
        <v>74</v>
      </c>
      <c r="BF532" t="s">
        <v>74</v>
      </c>
      <c r="BG532" t="s">
        <v>74</v>
      </c>
      <c r="BH532" t="s">
        <v>74</v>
      </c>
      <c r="BI532">
        <v>2</v>
      </c>
      <c r="BJ532" t="s">
        <v>463</v>
      </c>
      <c r="BK532" t="s">
        <v>100</v>
      </c>
      <c r="BL532" t="s">
        <v>463</v>
      </c>
      <c r="BM532" t="s">
        <v>10128</v>
      </c>
      <c r="BN532" t="s">
        <v>74</v>
      </c>
      <c r="BO532" t="s">
        <v>74</v>
      </c>
      <c r="BP532" t="s">
        <v>74</v>
      </c>
      <c r="BQ532" t="s">
        <v>74</v>
      </c>
      <c r="BR532" t="s">
        <v>102</v>
      </c>
      <c r="BS532" t="s">
        <v>10129</v>
      </c>
      <c r="BT532" t="str">
        <f>HYPERLINK("https%3A%2F%2Fwww.webofscience.com%2Fwos%2Fwoscc%2Ffull-record%2FWOS:000298205600004","View Full Record in Web of Science")</f>
        <v>View Full Record in Web of Science</v>
      </c>
    </row>
    <row r="533" spans="1:72" x14ac:dyDescent="0.15">
      <c r="A533" t="s">
        <v>72</v>
      </c>
      <c r="B533" t="s">
        <v>10130</v>
      </c>
      <c r="C533" t="s">
        <v>74</v>
      </c>
      <c r="D533" t="s">
        <v>74</v>
      </c>
      <c r="E533" t="s">
        <v>74</v>
      </c>
      <c r="F533" t="s">
        <v>10131</v>
      </c>
      <c r="G533" t="s">
        <v>74</v>
      </c>
      <c r="H533" t="s">
        <v>74</v>
      </c>
      <c r="I533" t="s">
        <v>10132</v>
      </c>
      <c r="J533" t="s">
        <v>10133</v>
      </c>
      <c r="K533" t="s">
        <v>74</v>
      </c>
      <c r="L533" t="s">
        <v>74</v>
      </c>
      <c r="M533" t="s">
        <v>78</v>
      </c>
      <c r="N533" t="s">
        <v>79</v>
      </c>
      <c r="O533" t="s">
        <v>74</v>
      </c>
      <c r="P533" t="s">
        <v>74</v>
      </c>
      <c r="Q533" t="s">
        <v>74</v>
      </c>
      <c r="R533" t="s">
        <v>74</v>
      </c>
      <c r="S533" t="s">
        <v>74</v>
      </c>
      <c r="T533" t="s">
        <v>10134</v>
      </c>
      <c r="U533" t="s">
        <v>10135</v>
      </c>
      <c r="V533" t="s">
        <v>10136</v>
      </c>
      <c r="W533" t="s">
        <v>10137</v>
      </c>
      <c r="X533" t="s">
        <v>10138</v>
      </c>
      <c r="Y533" t="s">
        <v>10139</v>
      </c>
      <c r="Z533" t="s">
        <v>10140</v>
      </c>
      <c r="AA533" t="s">
        <v>10141</v>
      </c>
      <c r="AB533" t="s">
        <v>10142</v>
      </c>
      <c r="AC533" t="s">
        <v>10143</v>
      </c>
      <c r="AD533" t="s">
        <v>10144</v>
      </c>
      <c r="AE533" t="s">
        <v>10145</v>
      </c>
      <c r="AF533" t="s">
        <v>74</v>
      </c>
      <c r="AG533">
        <v>84</v>
      </c>
      <c r="AH533">
        <v>2</v>
      </c>
      <c r="AI533">
        <v>4</v>
      </c>
      <c r="AJ533">
        <v>2</v>
      </c>
      <c r="AK533">
        <v>39</v>
      </c>
      <c r="AL533" t="s">
        <v>279</v>
      </c>
      <c r="AM533" t="s">
        <v>280</v>
      </c>
      <c r="AN533" t="s">
        <v>10146</v>
      </c>
      <c r="AO533" t="s">
        <v>10147</v>
      </c>
      <c r="AP533" t="s">
        <v>10148</v>
      </c>
      <c r="AQ533" t="s">
        <v>74</v>
      </c>
      <c r="AR533" t="s">
        <v>10149</v>
      </c>
      <c r="AS533" t="s">
        <v>10150</v>
      </c>
      <c r="AT533" t="s">
        <v>9913</v>
      </c>
      <c r="AU533">
        <v>2011</v>
      </c>
      <c r="AV533">
        <v>29</v>
      </c>
      <c r="AW533">
        <v>6</v>
      </c>
      <c r="AX533" t="s">
        <v>74</v>
      </c>
      <c r="AY533" t="s">
        <v>74</v>
      </c>
      <c r="AZ533" t="s">
        <v>74</v>
      </c>
      <c r="BA533" t="s">
        <v>74</v>
      </c>
      <c r="BB533">
        <v>1224</v>
      </c>
      <c r="BC533">
        <v>1236</v>
      </c>
      <c r="BD533" t="s">
        <v>74</v>
      </c>
      <c r="BE533" t="s">
        <v>10151</v>
      </c>
      <c r="BF533" t="str">
        <f>HYPERLINK("http://dx.doi.org/10.1007/s00343-011-0308-z","http://dx.doi.org/10.1007/s00343-011-0308-z")</f>
        <v>http://dx.doi.org/10.1007/s00343-011-0308-z</v>
      </c>
      <c r="BG533" t="s">
        <v>74</v>
      </c>
      <c r="BH533" t="s">
        <v>74</v>
      </c>
      <c r="BI533">
        <v>13</v>
      </c>
      <c r="BJ533" t="s">
        <v>4268</v>
      </c>
      <c r="BK533" t="s">
        <v>100</v>
      </c>
      <c r="BL533" t="s">
        <v>4141</v>
      </c>
      <c r="BM533" t="s">
        <v>10152</v>
      </c>
      <c r="BN533" t="s">
        <v>74</v>
      </c>
      <c r="BO533" t="s">
        <v>74</v>
      </c>
      <c r="BP533" t="s">
        <v>74</v>
      </c>
      <c r="BQ533" t="s">
        <v>74</v>
      </c>
      <c r="BR533" t="s">
        <v>102</v>
      </c>
      <c r="BS533" t="s">
        <v>10153</v>
      </c>
      <c r="BT533" t="str">
        <f>HYPERLINK("https%3A%2F%2Fwww.webofscience.com%2Fwos%2Fwoscc%2Ffull-record%2FWOS:000299039400009","View Full Record in Web of Science")</f>
        <v>View Full Record in Web of Science</v>
      </c>
    </row>
    <row r="534" spans="1:72" x14ac:dyDescent="0.15">
      <c r="A534" t="s">
        <v>72</v>
      </c>
      <c r="B534" t="s">
        <v>10154</v>
      </c>
      <c r="C534" t="s">
        <v>74</v>
      </c>
      <c r="D534" t="s">
        <v>74</v>
      </c>
      <c r="E534" t="s">
        <v>74</v>
      </c>
      <c r="F534" t="s">
        <v>10155</v>
      </c>
      <c r="G534" t="s">
        <v>74</v>
      </c>
      <c r="H534" t="s">
        <v>74</v>
      </c>
      <c r="I534" t="s">
        <v>10156</v>
      </c>
      <c r="J534" t="s">
        <v>10133</v>
      </c>
      <c r="K534" t="s">
        <v>74</v>
      </c>
      <c r="L534" t="s">
        <v>74</v>
      </c>
      <c r="M534" t="s">
        <v>78</v>
      </c>
      <c r="N534" t="s">
        <v>79</v>
      </c>
      <c r="O534" t="s">
        <v>74</v>
      </c>
      <c r="P534" t="s">
        <v>74</v>
      </c>
      <c r="Q534" t="s">
        <v>74</v>
      </c>
      <c r="R534" t="s">
        <v>74</v>
      </c>
      <c r="S534" t="s">
        <v>74</v>
      </c>
      <c r="T534" t="s">
        <v>10157</v>
      </c>
      <c r="U534" t="s">
        <v>10158</v>
      </c>
      <c r="V534" t="s">
        <v>10159</v>
      </c>
      <c r="W534" t="s">
        <v>10160</v>
      </c>
      <c r="X534" t="s">
        <v>10161</v>
      </c>
      <c r="Y534" t="s">
        <v>10162</v>
      </c>
      <c r="Z534" t="s">
        <v>10163</v>
      </c>
      <c r="AA534" t="s">
        <v>10164</v>
      </c>
      <c r="AB534" t="s">
        <v>74</v>
      </c>
      <c r="AC534" t="s">
        <v>10165</v>
      </c>
      <c r="AD534" t="s">
        <v>10166</v>
      </c>
      <c r="AE534" t="s">
        <v>10167</v>
      </c>
      <c r="AF534" t="s">
        <v>74</v>
      </c>
      <c r="AG534">
        <v>81</v>
      </c>
      <c r="AH534">
        <v>2</v>
      </c>
      <c r="AI534">
        <v>4</v>
      </c>
      <c r="AJ534">
        <v>1</v>
      </c>
      <c r="AK534">
        <v>25</v>
      </c>
      <c r="AL534" t="s">
        <v>279</v>
      </c>
      <c r="AM534" t="s">
        <v>280</v>
      </c>
      <c r="AN534" t="s">
        <v>10146</v>
      </c>
      <c r="AO534" t="s">
        <v>10147</v>
      </c>
      <c r="AP534" t="s">
        <v>10148</v>
      </c>
      <c r="AQ534" t="s">
        <v>74</v>
      </c>
      <c r="AR534" t="s">
        <v>10149</v>
      </c>
      <c r="AS534" t="s">
        <v>10150</v>
      </c>
      <c r="AT534" t="s">
        <v>9913</v>
      </c>
      <c r="AU534">
        <v>2011</v>
      </c>
      <c r="AV534">
        <v>29</v>
      </c>
      <c r="AW534">
        <v>6</v>
      </c>
      <c r="AX534" t="s">
        <v>74</v>
      </c>
      <c r="AY534" t="s">
        <v>74</v>
      </c>
      <c r="AZ534" t="s">
        <v>74</v>
      </c>
      <c r="BA534" t="s">
        <v>74</v>
      </c>
      <c r="BB534">
        <v>1309</v>
      </c>
      <c r="BC534">
        <v>1324</v>
      </c>
      <c r="BD534" t="s">
        <v>74</v>
      </c>
      <c r="BE534" t="s">
        <v>10168</v>
      </c>
      <c r="BF534" t="str">
        <f>HYPERLINK("http://dx.doi.org/10.1007/s00343-011-1027-1","http://dx.doi.org/10.1007/s00343-011-1027-1")</f>
        <v>http://dx.doi.org/10.1007/s00343-011-1027-1</v>
      </c>
      <c r="BG534" t="s">
        <v>74</v>
      </c>
      <c r="BH534" t="s">
        <v>74</v>
      </c>
      <c r="BI534">
        <v>16</v>
      </c>
      <c r="BJ534" t="s">
        <v>4268</v>
      </c>
      <c r="BK534" t="s">
        <v>100</v>
      </c>
      <c r="BL534" t="s">
        <v>4141</v>
      </c>
      <c r="BM534" t="s">
        <v>10152</v>
      </c>
      <c r="BN534" t="s">
        <v>74</v>
      </c>
      <c r="BO534" t="s">
        <v>74</v>
      </c>
      <c r="BP534" t="s">
        <v>74</v>
      </c>
      <c r="BQ534" t="s">
        <v>74</v>
      </c>
      <c r="BR534" t="s">
        <v>102</v>
      </c>
      <c r="BS534" t="s">
        <v>10169</v>
      </c>
      <c r="BT534" t="str">
        <f>HYPERLINK("https%3A%2F%2Fwww.webofscience.com%2Fwos%2Fwoscc%2Ffull-record%2FWOS:000299039400020","View Full Record in Web of Science")</f>
        <v>View Full Record in Web of Science</v>
      </c>
    </row>
    <row r="535" spans="1:72" x14ac:dyDescent="0.15">
      <c r="A535" t="s">
        <v>72</v>
      </c>
      <c r="B535" t="s">
        <v>10170</v>
      </c>
      <c r="C535" t="s">
        <v>74</v>
      </c>
      <c r="D535" t="s">
        <v>74</v>
      </c>
      <c r="E535" t="s">
        <v>74</v>
      </c>
      <c r="F535" t="s">
        <v>10171</v>
      </c>
      <c r="G535" t="s">
        <v>74</v>
      </c>
      <c r="H535" t="s">
        <v>74</v>
      </c>
      <c r="I535" t="s">
        <v>10172</v>
      </c>
      <c r="J535" t="s">
        <v>10133</v>
      </c>
      <c r="K535" t="s">
        <v>74</v>
      </c>
      <c r="L535" t="s">
        <v>74</v>
      </c>
      <c r="M535" t="s">
        <v>78</v>
      </c>
      <c r="N535" t="s">
        <v>79</v>
      </c>
      <c r="O535" t="s">
        <v>74</v>
      </c>
      <c r="P535" t="s">
        <v>74</v>
      </c>
      <c r="Q535" t="s">
        <v>74</v>
      </c>
      <c r="R535" t="s">
        <v>74</v>
      </c>
      <c r="S535" t="s">
        <v>74</v>
      </c>
      <c r="T535" t="s">
        <v>10173</v>
      </c>
      <c r="U535" t="s">
        <v>10174</v>
      </c>
      <c r="V535" t="s">
        <v>10175</v>
      </c>
      <c r="W535" t="s">
        <v>10176</v>
      </c>
      <c r="X535" t="s">
        <v>10177</v>
      </c>
      <c r="Y535" t="s">
        <v>10178</v>
      </c>
      <c r="Z535" t="s">
        <v>10179</v>
      </c>
      <c r="AA535" t="s">
        <v>10180</v>
      </c>
      <c r="AB535" t="s">
        <v>10181</v>
      </c>
      <c r="AC535" t="s">
        <v>10182</v>
      </c>
      <c r="AD535" t="s">
        <v>10183</v>
      </c>
      <c r="AE535" t="s">
        <v>10184</v>
      </c>
      <c r="AF535" t="s">
        <v>74</v>
      </c>
      <c r="AG535">
        <v>31</v>
      </c>
      <c r="AH535">
        <v>5</v>
      </c>
      <c r="AI535">
        <v>13</v>
      </c>
      <c r="AJ535">
        <v>1</v>
      </c>
      <c r="AK535">
        <v>18</v>
      </c>
      <c r="AL535" t="s">
        <v>279</v>
      </c>
      <c r="AM535" t="s">
        <v>280</v>
      </c>
      <c r="AN535" t="s">
        <v>10146</v>
      </c>
      <c r="AO535" t="s">
        <v>10147</v>
      </c>
      <c r="AP535" t="s">
        <v>10148</v>
      </c>
      <c r="AQ535" t="s">
        <v>74</v>
      </c>
      <c r="AR535" t="s">
        <v>10149</v>
      </c>
      <c r="AS535" t="s">
        <v>10150</v>
      </c>
      <c r="AT535" t="s">
        <v>9913</v>
      </c>
      <c r="AU535">
        <v>2011</v>
      </c>
      <c r="AV535">
        <v>29</v>
      </c>
      <c r="AW535">
        <v>6</v>
      </c>
      <c r="AX535" t="s">
        <v>74</v>
      </c>
      <c r="AY535" t="s">
        <v>74</v>
      </c>
      <c r="AZ535" t="s">
        <v>74</v>
      </c>
      <c r="BA535" t="s">
        <v>74</v>
      </c>
      <c r="BB535">
        <v>1325</v>
      </c>
      <c r="BC535">
        <v>1338</v>
      </c>
      <c r="BD535" t="s">
        <v>74</v>
      </c>
      <c r="BE535" t="s">
        <v>10185</v>
      </c>
      <c r="BF535" t="str">
        <f>HYPERLINK("http://dx.doi.org/10.1007/s00343-011-0318-x","http://dx.doi.org/10.1007/s00343-011-0318-x")</f>
        <v>http://dx.doi.org/10.1007/s00343-011-0318-x</v>
      </c>
      <c r="BG535" t="s">
        <v>74</v>
      </c>
      <c r="BH535" t="s">
        <v>74</v>
      </c>
      <c r="BI535">
        <v>14</v>
      </c>
      <c r="BJ535" t="s">
        <v>4268</v>
      </c>
      <c r="BK535" t="s">
        <v>100</v>
      </c>
      <c r="BL535" t="s">
        <v>4141</v>
      </c>
      <c r="BM535" t="s">
        <v>10152</v>
      </c>
      <c r="BN535" t="s">
        <v>74</v>
      </c>
      <c r="BO535" t="s">
        <v>74</v>
      </c>
      <c r="BP535" t="s">
        <v>74</v>
      </c>
      <c r="BQ535" t="s">
        <v>74</v>
      </c>
      <c r="BR535" t="s">
        <v>102</v>
      </c>
      <c r="BS535" t="s">
        <v>10186</v>
      </c>
      <c r="BT535" t="str">
        <f>HYPERLINK("https%3A%2F%2Fwww.webofscience.com%2Fwos%2Fwoscc%2Ffull-record%2FWOS:000299039400021","View Full Record in Web of Science")</f>
        <v>View Full Record in Web of Science</v>
      </c>
    </row>
    <row r="536" spans="1:72" x14ac:dyDescent="0.15">
      <c r="A536" t="s">
        <v>72</v>
      </c>
      <c r="B536" t="s">
        <v>10187</v>
      </c>
      <c r="C536" t="s">
        <v>74</v>
      </c>
      <c r="D536" t="s">
        <v>74</v>
      </c>
      <c r="E536" t="s">
        <v>74</v>
      </c>
      <c r="F536" t="s">
        <v>10188</v>
      </c>
      <c r="G536" t="s">
        <v>74</v>
      </c>
      <c r="H536" t="s">
        <v>74</v>
      </c>
      <c r="I536" t="s">
        <v>10189</v>
      </c>
      <c r="J536" t="s">
        <v>10190</v>
      </c>
      <c r="K536" t="s">
        <v>74</v>
      </c>
      <c r="L536" t="s">
        <v>74</v>
      </c>
      <c r="M536" t="s">
        <v>78</v>
      </c>
      <c r="N536" t="s">
        <v>79</v>
      </c>
      <c r="O536" t="s">
        <v>74</v>
      </c>
      <c r="P536" t="s">
        <v>74</v>
      </c>
      <c r="Q536" t="s">
        <v>74</v>
      </c>
      <c r="R536" t="s">
        <v>74</v>
      </c>
      <c r="S536" t="s">
        <v>74</v>
      </c>
      <c r="T536" t="s">
        <v>10191</v>
      </c>
      <c r="U536" t="s">
        <v>10192</v>
      </c>
      <c r="V536" t="s">
        <v>10193</v>
      </c>
      <c r="W536" t="s">
        <v>10194</v>
      </c>
      <c r="X536" t="s">
        <v>10195</v>
      </c>
      <c r="Y536" t="s">
        <v>10196</v>
      </c>
      <c r="Z536" t="s">
        <v>10197</v>
      </c>
      <c r="AA536" t="s">
        <v>10198</v>
      </c>
      <c r="AB536" t="s">
        <v>10199</v>
      </c>
      <c r="AC536" t="s">
        <v>10200</v>
      </c>
      <c r="AD536" t="s">
        <v>10201</v>
      </c>
      <c r="AE536" t="s">
        <v>10202</v>
      </c>
      <c r="AF536" t="s">
        <v>74</v>
      </c>
      <c r="AG536">
        <v>92</v>
      </c>
      <c r="AH536">
        <v>5</v>
      </c>
      <c r="AI536">
        <v>5</v>
      </c>
      <c r="AJ536">
        <v>0</v>
      </c>
      <c r="AK536">
        <v>18</v>
      </c>
      <c r="AL536" t="s">
        <v>155</v>
      </c>
      <c r="AM536" t="s">
        <v>156</v>
      </c>
      <c r="AN536" t="s">
        <v>157</v>
      </c>
      <c r="AO536" t="s">
        <v>10203</v>
      </c>
      <c r="AP536" t="s">
        <v>10204</v>
      </c>
      <c r="AQ536" t="s">
        <v>74</v>
      </c>
      <c r="AR536" t="s">
        <v>10205</v>
      </c>
      <c r="AS536" t="s">
        <v>10206</v>
      </c>
      <c r="AT536" t="s">
        <v>9913</v>
      </c>
      <c r="AU536">
        <v>2011</v>
      </c>
      <c r="AV536">
        <v>37</v>
      </c>
      <c r="AW536">
        <v>11</v>
      </c>
      <c r="AX536" t="s">
        <v>74</v>
      </c>
      <c r="AY536" t="s">
        <v>74</v>
      </c>
      <c r="AZ536" t="s">
        <v>74</v>
      </c>
      <c r="BA536" t="s">
        <v>74</v>
      </c>
      <c r="BB536">
        <v>1721</v>
      </c>
      <c r="BC536">
        <v>1726</v>
      </c>
      <c r="BD536" t="s">
        <v>74</v>
      </c>
      <c r="BE536" t="s">
        <v>10207</v>
      </c>
      <c r="BF536" t="str">
        <f>HYPERLINK("http://dx.doi.org/10.1016/j.cageo.2011.06.009","http://dx.doi.org/10.1016/j.cageo.2011.06.009")</f>
        <v>http://dx.doi.org/10.1016/j.cageo.2011.06.009</v>
      </c>
      <c r="BG536" t="s">
        <v>74</v>
      </c>
      <c r="BH536" t="s">
        <v>74</v>
      </c>
      <c r="BI536">
        <v>6</v>
      </c>
      <c r="BJ536" t="s">
        <v>10208</v>
      </c>
      <c r="BK536" t="s">
        <v>100</v>
      </c>
      <c r="BL536" t="s">
        <v>10209</v>
      </c>
      <c r="BM536" t="s">
        <v>10210</v>
      </c>
      <c r="BN536" t="s">
        <v>74</v>
      </c>
      <c r="BO536" t="s">
        <v>74</v>
      </c>
      <c r="BP536" t="s">
        <v>74</v>
      </c>
      <c r="BQ536" t="s">
        <v>74</v>
      </c>
      <c r="BR536" t="s">
        <v>102</v>
      </c>
      <c r="BS536" t="s">
        <v>10211</v>
      </c>
      <c r="BT536" t="str">
        <f>HYPERLINK("https%3A%2F%2Fwww.webofscience.com%2Fwos%2Fwoscc%2Ffull-record%2FWOS:000299139800001","View Full Record in Web of Science")</f>
        <v>View Full Record in Web of Science</v>
      </c>
    </row>
    <row r="537" spans="1:72" x14ac:dyDescent="0.15">
      <c r="A537" t="s">
        <v>72</v>
      </c>
      <c r="B537" t="s">
        <v>10212</v>
      </c>
      <c r="C537" t="s">
        <v>74</v>
      </c>
      <c r="D537" t="s">
        <v>74</v>
      </c>
      <c r="E537" t="s">
        <v>74</v>
      </c>
      <c r="F537" t="s">
        <v>10213</v>
      </c>
      <c r="G537" t="s">
        <v>74</v>
      </c>
      <c r="H537" t="s">
        <v>74</v>
      </c>
      <c r="I537" t="s">
        <v>10214</v>
      </c>
      <c r="J537" t="s">
        <v>10190</v>
      </c>
      <c r="K537" t="s">
        <v>74</v>
      </c>
      <c r="L537" t="s">
        <v>74</v>
      </c>
      <c r="M537" t="s">
        <v>78</v>
      </c>
      <c r="N537" t="s">
        <v>79</v>
      </c>
      <c r="O537" t="s">
        <v>74</v>
      </c>
      <c r="P537" t="s">
        <v>74</v>
      </c>
      <c r="Q537" t="s">
        <v>74</v>
      </c>
      <c r="R537" t="s">
        <v>74</v>
      </c>
      <c r="S537" t="s">
        <v>74</v>
      </c>
      <c r="T537" t="s">
        <v>10215</v>
      </c>
      <c r="U537" t="s">
        <v>10216</v>
      </c>
      <c r="V537" t="s">
        <v>10217</v>
      </c>
      <c r="W537" t="s">
        <v>10218</v>
      </c>
      <c r="X537" t="s">
        <v>10219</v>
      </c>
      <c r="Y537" t="s">
        <v>10220</v>
      </c>
      <c r="Z537" t="s">
        <v>10221</v>
      </c>
      <c r="AA537" t="s">
        <v>10222</v>
      </c>
      <c r="AB537" t="s">
        <v>10223</v>
      </c>
      <c r="AC537" t="s">
        <v>10224</v>
      </c>
      <c r="AD537" t="s">
        <v>10225</v>
      </c>
      <c r="AE537" t="s">
        <v>10226</v>
      </c>
      <c r="AF537" t="s">
        <v>74</v>
      </c>
      <c r="AG537">
        <v>28</v>
      </c>
      <c r="AH537">
        <v>7</v>
      </c>
      <c r="AI537">
        <v>10</v>
      </c>
      <c r="AJ537">
        <v>2</v>
      </c>
      <c r="AK537">
        <v>31</v>
      </c>
      <c r="AL537" t="s">
        <v>155</v>
      </c>
      <c r="AM537" t="s">
        <v>156</v>
      </c>
      <c r="AN537" t="s">
        <v>157</v>
      </c>
      <c r="AO537" t="s">
        <v>10203</v>
      </c>
      <c r="AP537" t="s">
        <v>10204</v>
      </c>
      <c r="AQ537" t="s">
        <v>74</v>
      </c>
      <c r="AR537" t="s">
        <v>10205</v>
      </c>
      <c r="AS537" t="s">
        <v>10206</v>
      </c>
      <c r="AT537" t="s">
        <v>9913</v>
      </c>
      <c r="AU537">
        <v>2011</v>
      </c>
      <c r="AV537">
        <v>37</v>
      </c>
      <c r="AW537">
        <v>11</v>
      </c>
      <c r="AX537" t="s">
        <v>74</v>
      </c>
      <c r="AY537" t="s">
        <v>74</v>
      </c>
      <c r="AZ537" t="s">
        <v>74</v>
      </c>
      <c r="BA537" t="s">
        <v>74</v>
      </c>
      <c r="BB537">
        <v>1727</v>
      </c>
      <c r="BC537">
        <v>1734</v>
      </c>
      <c r="BD537" t="s">
        <v>74</v>
      </c>
      <c r="BE537" t="s">
        <v>10227</v>
      </c>
      <c r="BF537" t="str">
        <f>HYPERLINK("http://dx.doi.org/10.1016/j.cageo.2011.05.013","http://dx.doi.org/10.1016/j.cageo.2011.05.013")</f>
        <v>http://dx.doi.org/10.1016/j.cageo.2011.05.013</v>
      </c>
      <c r="BG537" t="s">
        <v>74</v>
      </c>
      <c r="BH537" t="s">
        <v>74</v>
      </c>
      <c r="BI537">
        <v>8</v>
      </c>
      <c r="BJ537" t="s">
        <v>10208</v>
      </c>
      <c r="BK537" t="s">
        <v>100</v>
      </c>
      <c r="BL537" t="s">
        <v>10209</v>
      </c>
      <c r="BM537" t="s">
        <v>10210</v>
      </c>
      <c r="BN537" t="s">
        <v>74</v>
      </c>
      <c r="BO537" t="s">
        <v>74</v>
      </c>
      <c r="BP537" t="s">
        <v>74</v>
      </c>
      <c r="BQ537" t="s">
        <v>74</v>
      </c>
      <c r="BR537" t="s">
        <v>102</v>
      </c>
      <c r="BS537" t="s">
        <v>10228</v>
      </c>
      <c r="BT537" t="str">
        <f>HYPERLINK("https%3A%2F%2Fwww.webofscience.com%2Fwos%2Fwoscc%2Ffull-record%2FWOS:000299139800002","View Full Record in Web of Science")</f>
        <v>View Full Record in Web of Science</v>
      </c>
    </row>
    <row r="538" spans="1:72" x14ac:dyDescent="0.15">
      <c r="A538" t="s">
        <v>72</v>
      </c>
      <c r="B538" t="s">
        <v>10229</v>
      </c>
      <c r="C538" t="s">
        <v>74</v>
      </c>
      <c r="D538" t="s">
        <v>74</v>
      </c>
      <c r="E538" t="s">
        <v>74</v>
      </c>
      <c r="F538" t="s">
        <v>10230</v>
      </c>
      <c r="G538" t="s">
        <v>74</v>
      </c>
      <c r="H538" t="s">
        <v>74</v>
      </c>
      <c r="I538" t="s">
        <v>10231</v>
      </c>
      <c r="J538" t="s">
        <v>10190</v>
      </c>
      <c r="K538" t="s">
        <v>74</v>
      </c>
      <c r="L538" t="s">
        <v>74</v>
      </c>
      <c r="M538" t="s">
        <v>78</v>
      </c>
      <c r="N538" t="s">
        <v>79</v>
      </c>
      <c r="O538" t="s">
        <v>74</v>
      </c>
      <c r="P538" t="s">
        <v>74</v>
      </c>
      <c r="Q538" t="s">
        <v>74</v>
      </c>
      <c r="R538" t="s">
        <v>74</v>
      </c>
      <c r="S538" t="s">
        <v>74</v>
      </c>
      <c r="T538" t="s">
        <v>10232</v>
      </c>
      <c r="U538" t="s">
        <v>10233</v>
      </c>
      <c r="V538" t="s">
        <v>10234</v>
      </c>
      <c r="W538" t="s">
        <v>74</v>
      </c>
      <c r="X538" t="s">
        <v>74</v>
      </c>
      <c r="Y538" t="s">
        <v>74</v>
      </c>
      <c r="Z538" t="s">
        <v>10235</v>
      </c>
      <c r="AA538" t="s">
        <v>10236</v>
      </c>
      <c r="AB538" t="s">
        <v>74</v>
      </c>
      <c r="AC538" t="s">
        <v>10237</v>
      </c>
      <c r="AD538" t="s">
        <v>10238</v>
      </c>
      <c r="AE538" t="s">
        <v>10239</v>
      </c>
      <c r="AF538" t="s">
        <v>74</v>
      </c>
      <c r="AG538">
        <v>34</v>
      </c>
      <c r="AH538">
        <v>16</v>
      </c>
      <c r="AI538">
        <v>20</v>
      </c>
      <c r="AJ538">
        <v>3</v>
      </c>
      <c r="AK538">
        <v>42</v>
      </c>
      <c r="AL538" t="s">
        <v>155</v>
      </c>
      <c r="AM538" t="s">
        <v>156</v>
      </c>
      <c r="AN538" t="s">
        <v>157</v>
      </c>
      <c r="AO538" t="s">
        <v>10203</v>
      </c>
      <c r="AP538" t="s">
        <v>10204</v>
      </c>
      <c r="AQ538" t="s">
        <v>74</v>
      </c>
      <c r="AR538" t="s">
        <v>10205</v>
      </c>
      <c r="AS538" t="s">
        <v>10206</v>
      </c>
      <c r="AT538" t="s">
        <v>9913</v>
      </c>
      <c r="AU538">
        <v>2011</v>
      </c>
      <c r="AV538">
        <v>37</v>
      </c>
      <c r="AW538">
        <v>11</v>
      </c>
      <c r="AX538" t="s">
        <v>74</v>
      </c>
      <c r="AY538" t="s">
        <v>74</v>
      </c>
      <c r="AZ538" t="s">
        <v>74</v>
      </c>
      <c r="BA538" t="s">
        <v>74</v>
      </c>
      <c r="BB538">
        <v>1743</v>
      </c>
      <c r="BC538">
        <v>1751</v>
      </c>
      <c r="BD538" t="s">
        <v>74</v>
      </c>
      <c r="BE538" t="s">
        <v>10240</v>
      </c>
      <c r="BF538" t="str">
        <f>HYPERLINK("http://dx.doi.org/10.1016/j.cageo.2011.04.009","http://dx.doi.org/10.1016/j.cageo.2011.04.009")</f>
        <v>http://dx.doi.org/10.1016/j.cageo.2011.04.009</v>
      </c>
      <c r="BG538" t="s">
        <v>74</v>
      </c>
      <c r="BH538" t="s">
        <v>74</v>
      </c>
      <c r="BI538">
        <v>9</v>
      </c>
      <c r="BJ538" t="s">
        <v>10208</v>
      </c>
      <c r="BK538" t="s">
        <v>100</v>
      </c>
      <c r="BL538" t="s">
        <v>10209</v>
      </c>
      <c r="BM538" t="s">
        <v>10210</v>
      </c>
      <c r="BN538" t="s">
        <v>74</v>
      </c>
      <c r="BO538" t="s">
        <v>74</v>
      </c>
      <c r="BP538" t="s">
        <v>74</v>
      </c>
      <c r="BQ538" t="s">
        <v>74</v>
      </c>
      <c r="BR538" t="s">
        <v>102</v>
      </c>
      <c r="BS538" t="s">
        <v>10241</v>
      </c>
      <c r="BT538" t="str">
        <f>HYPERLINK("https%3A%2F%2Fwww.webofscience.com%2Fwos%2Fwoscc%2Ffull-record%2FWOS:000299139800004","View Full Record in Web of Science")</f>
        <v>View Full Record in Web of Science</v>
      </c>
    </row>
    <row r="539" spans="1:72" x14ac:dyDescent="0.15">
      <c r="A539" t="s">
        <v>72</v>
      </c>
      <c r="B539" t="s">
        <v>10242</v>
      </c>
      <c r="C539" t="s">
        <v>74</v>
      </c>
      <c r="D539" t="s">
        <v>74</v>
      </c>
      <c r="E539" t="s">
        <v>74</v>
      </c>
      <c r="F539" t="s">
        <v>10243</v>
      </c>
      <c r="G539" t="s">
        <v>74</v>
      </c>
      <c r="H539" t="s">
        <v>74</v>
      </c>
      <c r="I539" t="s">
        <v>10244</v>
      </c>
      <c r="J539" t="s">
        <v>10245</v>
      </c>
      <c r="K539" t="s">
        <v>74</v>
      </c>
      <c r="L539" t="s">
        <v>74</v>
      </c>
      <c r="M539" t="s">
        <v>78</v>
      </c>
      <c r="N539" t="s">
        <v>79</v>
      </c>
      <c r="O539" t="s">
        <v>74</v>
      </c>
      <c r="P539" t="s">
        <v>74</v>
      </c>
      <c r="Q539" t="s">
        <v>74</v>
      </c>
      <c r="R539" t="s">
        <v>74</v>
      </c>
      <c r="S539" t="s">
        <v>74</v>
      </c>
      <c r="T539" t="s">
        <v>10246</v>
      </c>
      <c r="U539" t="s">
        <v>10247</v>
      </c>
      <c r="V539" t="s">
        <v>10248</v>
      </c>
      <c r="W539" t="s">
        <v>10249</v>
      </c>
      <c r="X539" t="s">
        <v>10250</v>
      </c>
      <c r="Y539" t="s">
        <v>10251</v>
      </c>
      <c r="Z539" t="s">
        <v>10252</v>
      </c>
      <c r="AA539" t="s">
        <v>74</v>
      </c>
      <c r="AB539" t="s">
        <v>10253</v>
      </c>
      <c r="AC539" t="s">
        <v>10254</v>
      </c>
      <c r="AD539" t="s">
        <v>10254</v>
      </c>
      <c r="AE539" t="s">
        <v>10255</v>
      </c>
      <c r="AF539" t="s">
        <v>74</v>
      </c>
      <c r="AG539">
        <v>56</v>
      </c>
      <c r="AH539">
        <v>23</v>
      </c>
      <c r="AI539">
        <v>24</v>
      </c>
      <c r="AJ539">
        <v>0</v>
      </c>
      <c r="AK539">
        <v>24</v>
      </c>
      <c r="AL539" t="s">
        <v>10256</v>
      </c>
      <c r="AM539" t="s">
        <v>985</v>
      </c>
      <c r="AN539" t="s">
        <v>10257</v>
      </c>
      <c r="AO539" t="s">
        <v>10258</v>
      </c>
      <c r="AP539" t="s">
        <v>10259</v>
      </c>
      <c r="AQ539" t="s">
        <v>74</v>
      </c>
      <c r="AR539" t="s">
        <v>10260</v>
      </c>
      <c r="AS539" t="s">
        <v>10261</v>
      </c>
      <c r="AT539" t="s">
        <v>9913</v>
      </c>
      <c r="AU539">
        <v>2011</v>
      </c>
      <c r="AV539">
        <v>125</v>
      </c>
      <c r="AW539">
        <v>4</v>
      </c>
      <c r="AX539" t="s">
        <v>74</v>
      </c>
      <c r="AY539" t="s">
        <v>74</v>
      </c>
      <c r="AZ539" t="s">
        <v>74</v>
      </c>
      <c r="BA539" t="s">
        <v>74</v>
      </c>
      <c r="BB539">
        <v>385</v>
      </c>
      <c r="BC539">
        <v>392</v>
      </c>
      <c r="BD539" t="s">
        <v>74</v>
      </c>
      <c r="BE539" t="s">
        <v>10262</v>
      </c>
      <c r="BF539" t="str">
        <f>HYPERLINK("http://dx.doi.org/10.1037/a0024513","http://dx.doi.org/10.1037/a0024513")</f>
        <v>http://dx.doi.org/10.1037/a0024513</v>
      </c>
      <c r="BG539" t="s">
        <v>74</v>
      </c>
      <c r="BH539" t="s">
        <v>74</v>
      </c>
      <c r="BI539">
        <v>8</v>
      </c>
      <c r="BJ539" t="s">
        <v>10263</v>
      </c>
      <c r="BK539" t="s">
        <v>7768</v>
      </c>
      <c r="BL539" t="s">
        <v>10264</v>
      </c>
      <c r="BM539" t="s">
        <v>10265</v>
      </c>
      <c r="BN539">
        <v>21767004</v>
      </c>
      <c r="BO539" t="s">
        <v>74</v>
      </c>
      <c r="BP539" t="s">
        <v>74</v>
      </c>
      <c r="BQ539" t="s">
        <v>74</v>
      </c>
      <c r="BR539" t="s">
        <v>102</v>
      </c>
      <c r="BS539" t="s">
        <v>10266</v>
      </c>
      <c r="BT539" t="str">
        <f>HYPERLINK("https%3A%2F%2Fwww.webofscience.com%2Fwos%2Fwoscc%2Ffull-record%2FWOS:000297746300002","View Full Record in Web of Science")</f>
        <v>View Full Record in Web of Science</v>
      </c>
    </row>
    <row r="540" spans="1:72" x14ac:dyDescent="0.15">
      <c r="A540" t="s">
        <v>72</v>
      </c>
      <c r="B540" t="s">
        <v>10267</v>
      </c>
      <c r="C540" t="s">
        <v>74</v>
      </c>
      <c r="D540" t="s">
        <v>74</v>
      </c>
      <c r="E540" t="s">
        <v>74</v>
      </c>
      <c r="F540" t="s">
        <v>10268</v>
      </c>
      <c r="G540" t="s">
        <v>74</v>
      </c>
      <c r="H540" t="s">
        <v>74</v>
      </c>
      <c r="I540" t="s">
        <v>10269</v>
      </c>
      <c r="J540" t="s">
        <v>10270</v>
      </c>
      <c r="K540" t="s">
        <v>74</v>
      </c>
      <c r="L540" t="s">
        <v>74</v>
      </c>
      <c r="M540" t="s">
        <v>78</v>
      </c>
      <c r="N540" t="s">
        <v>79</v>
      </c>
      <c r="O540" t="s">
        <v>74</v>
      </c>
      <c r="P540" t="s">
        <v>74</v>
      </c>
      <c r="Q540" t="s">
        <v>74</v>
      </c>
      <c r="R540" t="s">
        <v>74</v>
      </c>
      <c r="S540" t="s">
        <v>74</v>
      </c>
      <c r="T540" t="s">
        <v>10271</v>
      </c>
      <c r="U540" t="s">
        <v>10272</v>
      </c>
      <c r="V540" t="s">
        <v>10273</v>
      </c>
      <c r="W540" t="s">
        <v>10274</v>
      </c>
      <c r="X540" t="s">
        <v>10275</v>
      </c>
      <c r="Y540" t="s">
        <v>10276</v>
      </c>
      <c r="Z540" t="s">
        <v>10277</v>
      </c>
      <c r="AA540" t="s">
        <v>74</v>
      </c>
      <c r="AB540" t="s">
        <v>74</v>
      </c>
      <c r="AC540" t="s">
        <v>10278</v>
      </c>
      <c r="AD540" t="s">
        <v>10279</v>
      </c>
      <c r="AE540" t="s">
        <v>10280</v>
      </c>
      <c r="AF540" t="s">
        <v>74</v>
      </c>
      <c r="AG540">
        <v>40</v>
      </c>
      <c r="AH540">
        <v>6</v>
      </c>
      <c r="AI540">
        <v>15</v>
      </c>
      <c r="AJ540">
        <v>0</v>
      </c>
      <c r="AK540">
        <v>10</v>
      </c>
      <c r="AL540" t="s">
        <v>795</v>
      </c>
      <c r="AM540" t="s">
        <v>1468</v>
      </c>
      <c r="AN540" t="s">
        <v>1469</v>
      </c>
      <c r="AO540" t="s">
        <v>10281</v>
      </c>
      <c r="AP540" t="s">
        <v>74</v>
      </c>
      <c r="AQ540" t="s">
        <v>74</v>
      </c>
      <c r="AR540" t="s">
        <v>10282</v>
      </c>
      <c r="AS540" t="s">
        <v>10283</v>
      </c>
      <c r="AT540" t="s">
        <v>10284</v>
      </c>
      <c r="AU540">
        <v>2011</v>
      </c>
      <c r="AV540">
        <v>24</v>
      </c>
      <c r="AW540">
        <v>6</v>
      </c>
      <c r="AX540" t="s">
        <v>74</v>
      </c>
      <c r="AY540" t="s">
        <v>74</v>
      </c>
      <c r="AZ540" t="s">
        <v>74</v>
      </c>
      <c r="BA540" t="s">
        <v>74</v>
      </c>
      <c r="BB540">
        <v>1025</v>
      </c>
      <c r="BC540">
        <v>1032</v>
      </c>
      <c r="BD540" t="s">
        <v>74</v>
      </c>
      <c r="BE540" t="s">
        <v>10285</v>
      </c>
      <c r="BF540" t="str">
        <f>HYPERLINK("http://dx.doi.org/10.1002/jmr.1151","http://dx.doi.org/10.1002/jmr.1151")</f>
        <v>http://dx.doi.org/10.1002/jmr.1151</v>
      </c>
      <c r="BG540" t="s">
        <v>74</v>
      </c>
      <c r="BH540" t="s">
        <v>74</v>
      </c>
      <c r="BI540">
        <v>8</v>
      </c>
      <c r="BJ540" t="s">
        <v>9792</v>
      </c>
      <c r="BK540" t="s">
        <v>100</v>
      </c>
      <c r="BL540" t="s">
        <v>9792</v>
      </c>
      <c r="BM540" t="s">
        <v>10286</v>
      </c>
      <c r="BN540">
        <v>22038809</v>
      </c>
      <c r="BO540" t="s">
        <v>2679</v>
      </c>
      <c r="BP540" t="s">
        <v>74</v>
      </c>
      <c r="BQ540" t="s">
        <v>74</v>
      </c>
      <c r="BR540" t="s">
        <v>102</v>
      </c>
      <c r="BS540" t="s">
        <v>10287</v>
      </c>
      <c r="BT540" t="str">
        <f>HYPERLINK("https%3A%2F%2Fwww.webofscience.com%2Fwos%2Fwoscc%2Ffull-record%2FWOS:000298599500014","View Full Record in Web of Science")</f>
        <v>View Full Record in Web of Science</v>
      </c>
    </row>
    <row r="541" spans="1:72" x14ac:dyDescent="0.15">
      <c r="A541" t="s">
        <v>72</v>
      </c>
      <c r="B541" t="s">
        <v>10288</v>
      </c>
      <c r="C541" t="s">
        <v>74</v>
      </c>
      <c r="D541" t="s">
        <v>74</v>
      </c>
      <c r="E541" t="s">
        <v>74</v>
      </c>
      <c r="F541" t="s">
        <v>10289</v>
      </c>
      <c r="G541" t="s">
        <v>74</v>
      </c>
      <c r="H541" t="s">
        <v>74</v>
      </c>
      <c r="I541" t="s">
        <v>10290</v>
      </c>
      <c r="J541" t="s">
        <v>7775</v>
      </c>
      <c r="K541" t="s">
        <v>74</v>
      </c>
      <c r="L541" t="s">
        <v>74</v>
      </c>
      <c r="M541" t="s">
        <v>78</v>
      </c>
      <c r="N541" t="s">
        <v>79</v>
      </c>
      <c r="O541" t="s">
        <v>74</v>
      </c>
      <c r="P541" t="s">
        <v>74</v>
      </c>
      <c r="Q541" t="s">
        <v>74</v>
      </c>
      <c r="R541" t="s">
        <v>74</v>
      </c>
      <c r="S541" t="s">
        <v>74</v>
      </c>
      <c r="T541" t="s">
        <v>74</v>
      </c>
      <c r="U541" t="s">
        <v>10291</v>
      </c>
      <c r="V541" t="s">
        <v>10292</v>
      </c>
      <c r="W541" t="s">
        <v>10293</v>
      </c>
      <c r="X541" t="s">
        <v>10294</v>
      </c>
      <c r="Y541" t="s">
        <v>10295</v>
      </c>
      <c r="Z541" t="s">
        <v>10296</v>
      </c>
      <c r="AA541" t="s">
        <v>74</v>
      </c>
      <c r="AB541" t="s">
        <v>74</v>
      </c>
      <c r="AC541" t="s">
        <v>10297</v>
      </c>
      <c r="AD541" t="s">
        <v>10298</v>
      </c>
      <c r="AE541" t="s">
        <v>10299</v>
      </c>
      <c r="AF541" t="s">
        <v>74</v>
      </c>
      <c r="AG541">
        <v>31</v>
      </c>
      <c r="AH541">
        <v>13</v>
      </c>
      <c r="AI541">
        <v>14</v>
      </c>
      <c r="AJ541">
        <v>0</v>
      </c>
      <c r="AK541">
        <v>12</v>
      </c>
      <c r="AL541" t="s">
        <v>3775</v>
      </c>
      <c r="AM541" t="s">
        <v>3776</v>
      </c>
      <c r="AN541" t="s">
        <v>3777</v>
      </c>
      <c r="AO541" t="s">
        <v>7788</v>
      </c>
      <c r="AP541" t="s">
        <v>7789</v>
      </c>
      <c r="AQ541" t="s">
        <v>74</v>
      </c>
      <c r="AR541" t="s">
        <v>7790</v>
      </c>
      <c r="AS541" t="s">
        <v>7791</v>
      </c>
      <c r="AT541" t="s">
        <v>9913</v>
      </c>
      <c r="AU541">
        <v>2011</v>
      </c>
      <c r="AV541">
        <v>41</v>
      </c>
      <c r="AW541">
        <v>11</v>
      </c>
      <c r="AX541" t="s">
        <v>74</v>
      </c>
      <c r="AY541" t="s">
        <v>74</v>
      </c>
      <c r="AZ541" t="s">
        <v>74</v>
      </c>
      <c r="BA541" t="s">
        <v>74</v>
      </c>
      <c r="BB541">
        <v>2168</v>
      </c>
      <c r="BC541">
        <v>2186</v>
      </c>
      <c r="BD541" t="s">
        <v>74</v>
      </c>
      <c r="BE541" t="s">
        <v>10300</v>
      </c>
      <c r="BF541" t="str">
        <f>HYPERLINK("http://dx.doi.org/10.1175/JPO-D-11-08.1","http://dx.doi.org/10.1175/JPO-D-11-08.1")</f>
        <v>http://dx.doi.org/10.1175/JPO-D-11-08.1</v>
      </c>
      <c r="BG541" t="s">
        <v>74</v>
      </c>
      <c r="BH541" t="s">
        <v>74</v>
      </c>
      <c r="BI541">
        <v>19</v>
      </c>
      <c r="BJ541" t="s">
        <v>496</v>
      </c>
      <c r="BK541" t="s">
        <v>100</v>
      </c>
      <c r="BL541" t="s">
        <v>496</v>
      </c>
      <c r="BM541" t="s">
        <v>10301</v>
      </c>
      <c r="BN541" t="s">
        <v>74</v>
      </c>
      <c r="BO541" t="s">
        <v>7794</v>
      </c>
      <c r="BP541" t="s">
        <v>74</v>
      </c>
      <c r="BQ541" t="s">
        <v>74</v>
      </c>
      <c r="BR541" t="s">
        <v>102</v>
      </c>
      <c r="BS541" t="s">
        <v>10302</v>
      </c>
      <c r="BT541" t="str">
        <f>HYPERLINK("https%3A%2F%2Fwww.webofscience.com%2Fwos%2Fwoscc%2Ffull-record%2FWOS:000298020600009","View Full Record in Web of Science")</f>
        <v>View Full Record in Web of Science</v>
      </c>
    </row>
    <row r="542" spans="1:72" x14ac:dyDescent="0.15">
      <c r="A542" t="s">
        <v>72</v>
      </c>
      <c r="B542" t="s">
        <v>10303</v>
      </c>
      <c r="C542" t="s">
        <v>74</v>
      </c>
      <c r="D542" t="s">
        <v>74</v>
      </c>
      <c r="E542" t="s">
        <v>74</v>
      </c>
      <c r="F542" t="s">
        <v>10304</v>
      </c>
      <c r="G542" t="s">
        <v>74</v>
      </c>
      <c r="H542" t="s">
        <v>74</v>
      </c>
      <c r="I542" t="s">
        <v>10305</v>
      </c>
      <c r="J542" t="s">
        <v>10306</v>
      </c>
      <c r="K542" t="s">
        <v>74</v>
      </c>
      <c r="L542" t="s">
        <v>74</v>
      </c>
      <c r="M542" t="s">
        <v>78</v>
      </c>
      <c r="N542" t="s">
        <v>1513</v>
      </c>
      <c r="O542" t="s">
        <v>74</v>
      </c>
      <c r="P542" t="s">
        <v>74</v>
      </c>
      <c r="Q542" t="s">
        <v>74</v>
      </c>
      <c r="R542" t="s">
        <v>74</v>
      </c>
      <c r="S542" t="s">
        <v>74</v>
      </c>
      <c r="T542" t="s">
        <v>10307</v>
      </c>
      <c r="U542" t="s">
        <v>10308</v>
      </c>
      <c r="V542" t="s">
        <v>10309</v>
      </c>
      <c r="W542" t="s">
        <v>10310</v>
      </c>
      <c r="X542" t="s">
        <v>10311</v>
      </c>
      <c r="Y542" t="s">
        <v>10312</v>
      </c>
      <c r="Z542" t="s">
        <v>10313</v>
      </c>
      <c r="AA542" t="s">
        <v>10314</v>
      </c>
      <c r="AB542" t="s">
        <v>10315</v>
      </c>
      <c r="AC542" t="s">
        <v>10316</v>
      </c>
      <c r="AD542" t="s">
        <v>10317</v>
      </c>
      <c r="AE542" t="s">
        <v>10318</v>
      </c>
      <c r="AF542" t="s">
        <v>74</v>
      </c>
      <c r="AG542">
        <v>44</v>
      </c>
      <c r="AH542">
        <v>40</v>
      </c>
      <c r="AI542">
        <v>42</v>
      </c>
      <c r="AJ542">
        <v>1</v>
      </c>
      <c r="AK542">
        <v>17</v>
      </c>
      <c r="AL542" t="s">
        <v>10319</v>
      </c>
      <c r="AM542" t="s">
        <v>4967</v>
      </c>
      <c r="AN542" t="s">
        <v>10320</v>
      </c>
      <c r="AO542" t="s">
        <v>74</v>
      </c>
      <c r="AP542" t="s">
        <v>10321</v>
      </c>
      <c r="AQ542" t="s">
        <v>74</v>
      </c>
      <c r="AR542" t="s">
        <v>10322</v>
      </c>
      <c r="AS542" t="s">
        <v>10323</v>
      </c>
      <c r="AT542" t="s">
        <v>9913</v>
      </c>
      <c r="AU542">
        <v>2011</v>
      </c>
      <c r="AV542">
        <v>9</v>
      </c>
      <c r="AW542">
        <v>11</v>
      </c>
      <c r="AX542" t="s">
        <v>74</v>
      </c>
      <c r="AY542" t="s">
        <v>74</v>
      </c>
      <c r="AZ542" t="s">
        <v>74</v>
      </c>
      <c r="BA542" t="s">
        <v>74</v>
      </c>
      <c r="BB542">
        <v>2423</v>
      </c>
      <c r="BC542">
        <v>2437</v>
      </c>
      <c r="BD542" t="s">
        <v>74</v>
      </c>
      <c r="BE542" t="s">
        <v>10324</v>
      </c>
      <c r="BF542" t="str">
        <f>HYPERLINK("http://dx.doi.org/10.3390/md9112423","http://dx.doi.org/10.3390/md9112423")</f>
        <v>http://dx.doi.org/10.3390/md9112423</v>
      </c>
      <c r="BG542" t="s">
        <v>74</v>
      </c>
      <c r="BH542" t="s">
        <v>74</v>
      </c>
      <c r="BI542">
        <v>15</v>
      </c>
      <c r="BJ542" t="s">
        <v>10325</v>
      </c>
      <c r="BK542" t="s">
        <v>100</v>
      </c>
      <c r="BL542" t="s">
        <v>10326</v>
      </c>
      <c r="BM542" t="s">
        <v>10327</v>
      </c>
      <c r="BN542">
        <v>22163194</v>
      </c>
      <c r="BO542" t="s">
        <v>10328</v>
      </c>
      <c r="BP542" t="s">
        <v>74</v>
      </c>
      <c r="BQ542" t="s">
        <v>74</v>
      </c>
      <c r="BR542" t="s">
        <v>102</v>
      </c>
      <c r="BS542" t="s">
        <v>10329</v>
      </c>
      <c r="BT542" t="str">
        <f>HYPERLINK("https%3A%2F%2Fwww.webofscience.com%2Fwos%2Fwoscc%2Ffull-record%2FWOS:000298929200016","View Full Record in Web of Science")</f>
        <v>View Full Record in Web of Science</v>
      </c>
    </row>
    <row r="543" spans="1:72" x14ac:dyDescent="0.15">
      <c r="A543" t="s">
        <v>72</v>
      </c>
      <c r="B543" t="s">
        <v>10330</v>
      </c>
      <c r="C543" t="s">
        <v>74</v>
      </c>
      <c r="D543" t="s">
        <v>74</v>
      </c>
      <c r="E543" t="s">
        <v>74</v>
      </c>
      <c r="F543" t="s">
        <v>10331</v>
      </c>
      <c r="G543" t="s">
        <v>74</v>
      </c>
      <c r="H543" t="s">
        <v>74</v>
      </c>
      <c r="I543" t="s">
        <v>10332</v>
      </c>
      <c r="J543" t="s">
        <v>7195</v>
      </c>
      <c r="K543" t="s">
        <v>74</v>
      </c>
      <c r="L543" t="s">
        <v>74</v>
      </c>
      <c r="M543" t="s">
        <v>78</v>
      </c>
      <c r="N543" t="s">
        <v>79</v>
      </c>
      <c r="O543" t="s">
        <v>74</v>
      </c>
      <c r="P543" t="s">
        <v>74</v>
      </c>
      <c r="Q543" t="s">
        <v>74</v>
      </c>
      <c r="R543" t="s">
        <v>74</v>
      </c>
      <c r="S543" t="s">
        <v>74</v>
      </c>
      <c r="T543" t="s">
        <v>10333</v>
      </c>
      <c r="U543" t="s">
        <v>10334</v>
      </c>
      <c r="V543" t="s">
        <v>10335</v>
      </c>
      <c r="W543" t="s">
        <v>10336</v>
      </c>
      <c r="X543" t="s">
        <v>10337</v>
      </c>
      <c r="Y543" t="s">
        <v>10338</v>
      </c>
      <c r="Z543" t="s">
        <v>10339</v>
      </c>
      <c r="AA543" t="s">
        <v>74</v>
      </c>
      <c r="AB543" t="s">
        <v>74</v>
      </c>
      <c r="AC543" t="s">
        <v>10340</v>
      </c>
      <c r="AD543" t="s">
        <v>10341</v>
      </c>
      <c r="AE543" t="s">
        <v>10342</v>
      </c>
      <c r="AF543" t="s">
        <v>74</v>
      </c>
      <c r="AG543">
        <v>42</v>
      </c>
      <c r="AH543">
        <v>22</v>
      </c>
      <c r="AI543">
        <v>24</v>
      </c>
      <c r="AJ543">
        <v>0</v>
      </c>
      <c r="AK543">
        <v>9</v>
      </c>
      <c r="AL543" t="s">
        <v>333</v>
      </c>
      <c r="AM543" t="s">
        <v>334</v>
      </c>
      <c r="AN543" t="s">
        <v>335</v>
      </c>
      <c r="AO543" t="s">
        <v>7208</v>
      </c>
      <c r="AP543" t="s">
        <v>7209</v>
      </c>
      <c r="AQ543" t="s">
        <v>74</v>
      </c>
      <c r="AR543" t="s">
        <v>7210</v>
      </c>
      <c r="AS543" t="s">
        <v>7211</v>
      </c>
      <c r="AT543" t="s">
        <v>10343</v>
      </c>
      <c r="AU543">
        <v>2011</v>
      </c>
      <c r="AV543">
        <v>289</v>
      </c>
      <c r="AW543" t="s">
        <v>6483</v>
      </c>
      <c r="AX543" t="s">
        <v>74</v>
      </c>
      <c r="AY543" t="s">
        <v>74</v>
      </c>
      <c r="AZ543" t="s">
        <v>74</v>
      </c>
      <c r="BA543" t="s">
        <v>74</v>
      </c>
      <c r="BB543">
        <v>86</v>
      </c>
      <c r="BC543">
        <v>99</v>
      </c>
      <c r="BD543" t="s">
        <v>74</v>
      </c>
      <c r="BE543" t="s">
        <v>10344</v>
      </c>
      <c r="BF543" t="str">
        <f>HYPERLINK("http://dx.doi.org/10.1016/j.margeo.2011.09.005","http://dx.doi.org/10.1016/j.margeo.2011.09.005")</f>
        <v>http://dx.doi.org/10.1016/j.margeo.2011.09.005</v>
      </c>
      <c r="BG543" t="s">
        <v>74</v>
      </c>
      <c r="BH543" t="s">
        <v>74</v>
      </c>
      <c r="BI543">
        <v>14</v>
      </c>
      <c r="BJ543" t="s">
        <v>7214</v>
      </c>
      <c r="BK543" t="s">
        <v>100</v>
      </c>
      <c r="BL543" t="s">
        <v>7215</v>
      </c>
      <c r="BM543" t="s">
        <v>10345</v>
      </c>
      <c r="BN543" t="s">
        <v>74</v>
      </c>
      <c r="BO543" t="s">
        <v>74</v>
      </c>
      <c r="BP543" t="s">
        <v>74</v>
      </c>
      <c r="BQ543" t="s">
        <v>74</v>
      </c>
      <c r="BR543" t="s">
        <v>102</v>
      </c>
      <c r="BS543" t="s">
        <v>10346</v>
      </c>
      <c r="BT543" t="str">
        <f>HYPERLINK("https%3A%2F%2Fwww.webofscience.com%2Fwos%2Fwoscc%2Ffull-record%2FWOS:000298533800008","View Full Record in Web of Science")</f>
        <v>View Full Record in Web of Science</v>
      </c>
    </row>
    <row r="544" spans="1:72" x14ac:dyDescent="0.15">
      <c r="A544" t="s">
        <v>72</v>
      </c>
      <c r="B544" t="s">
        <v>10347</v>
      </c>
      <c r="C544" t="s">
        <v>74</v>
      </c>
      <c r="D544" t="s">
        <v>74</v>
      </c>
      <c r="E544" t="s">
        <v>74</v>
      </c>
      <c r="F544" t="s">
        <v>10348</v>
      </c>
      <c r="G544" t="s">
        <v>74</v>
      </c>
      <c r="H544" t="s">
        <v>10349</v>
      </c>
      <c r="I544" t="s">
        <v>10350</v>
      </c>
      <c r="J544" t="s">
        <v>10351</v>
      </c>
      <c r="K544" t="s">
        <v>74</v>
      </c>
      <c r="L544" t="s">
        <v>74</v>
      </c>
      <c r="M544" t="s">
        <v>78</v>
      </c>
      <c r="N544" t="s">
        <v>1513</v>
      </c>
      <c r="O544" t="s">
        <v>74</v>
      </c>
      <c r="P544" t="s">
        <v>74</v>
      </c>
      <c r="Q544" t="s">
        <v>74</v>
      </c>
      <c r="R544" t="s">
        <v>74</v>
      </c>
      <c r="S544" t="s">
        <v>74</v>
      </c>
      <c r="T544" t="s">
        <v>74</v>
      </c>
      <c r="U544" t="s">
        <v>10352</v>
      </c>
      <c r="V544" t="s">
        <v>10353</v>
      </c>
      <c r="W544" t="s">
        <v>10354</v>
      </c>
      <c r="X544" t="s">
        <v>10355</v>
      </c>
      <c r="Y544" t="s">
        <v>10356</v>
      </c>
      <c r="Z544" t="s">
        <v>74</v>
      </c>
      <c r="AA544" t="s">
        <v>10357</v>
      </c>
      <c r="AB544" t="s">
        <v>10358</v>
      </c>
      <c r="AC544" t="s">
        <v>74</v>
      </c>
      <c r="AD544" t="s">
        <v>74</v>
      </c>
      <c r="AE544" t="s">
        <v>74</v>
      </c>
      <c r="AF544" t="s">
        <v>74</v>
      </c>
      <c r="AG544">
        <v>222</v>
      </c>
      <c r="AH544">
        <v>12</v>
      </c>
      <c r="AI544">
        <v>12</v>
      </c>
      <c r="AJ544">
        <v>1</v>
      </c>
      <c r="AK544">
        <v>65</v>
      </c>
      <c r="AL544" t="s">
        <v>2832</v>
      </c>
      <c r="AM544" t="s">
        <v>796</v>
      </c>
      <c r="AN544" t="s">
        <v>797</v>
      </c>
      <c r="AO544" t="s">
        <v>10359</v>
      </c>
      <c r="AP544" t="s">
        <v>10360</v>
      </c>
      <c r="AQ544" t="s">
        <v>74</v>
      </c>
      <c r="AR544" t="s">
        <v>10361</v>
      </c>
      <c r="AS544" t="s">
        <v>10362</v>
      </c>
      <c r="AT544" t="s">
        <v>10284</v>
      </c>
      <c r="AU544">
        <v>2011</v>
      </c>
      <c r="AV544">
        <v>2</v>
      </c>
      <c r="AW544">
        <v>6</v>
      </c>
      <c r="AX544" t="s">
        <v>74</v>
      </c>
      <c r="AY544" t="s">
        <v>74</v>
      </c>
      <c r="AZ544" t="s">
        <v>74</v>
      </c>
      <c r="BA544" t="s">
        <v>74</v>
      </c>
      <c r="BB544">
        <v>902</v>
      </c>
      <c r="BC544">
        <v>918</v>
      </c>
      <c r="BD544" t="s">
        <v>74</v>
      </c>
      <c r="BE544" t="s">
        <v>10363</v>
      </c>
      <c r="BF544" t="str">
        <f>HYPERLINK("http://dx.doi.org/10.1002/wcc.138","http://dx.doi.org/10.1002/wcc.138")</f>
        <v>http://dx.doi.org/10.1002/wcc.138</v>
      </c>
      <c r="BG544" t="s">
        <v>74</v>
      </c>
      <c r="BH544" t="s">
        <v>74</v>
      </c>
      <c r="BI544">
        <v>17</v>
      </c>
      <c r="BJ544" t="s">
        <v>10364</v>
      </c>
      <c r="BK544" t="s">
        <v>7768</v>
      </c>
      <c r="BL544" t="s">
        <v>1182</v>
      </c>
      <c r="BM544" t="s">
        <v>10365</v>
      </c>
      <c r="BN544" t="s">
        <v>74</v>
      </c>
      <c r="BO544" t="s">
        <v>74</v>
      </c>
      <c r="BP544" t="s">
        <v>74</v>
      </c>
      <c r="BQ544" t="s">
        <v>74</v>
      </c>
      <c r="BR544" t="s">
        <v>102</v>
      </c>
      <c r="BS544" t="s">
        <v>10366</v>
      </c>
      <c r="BT544" t="str">
        <f>HYPERLINK("https%3A%2F%2Fwww.webofscience.com%2Fwos%2Fwoscc%2Ffull-record%2FWOS:000297582700007","View Full Record in Web of Science")</f>
        <v>View Full Record in Web of Science</v>
      </c>
    </row>
    <row r="545" spans="1:72" x14ac:dyDescent="0.15">
      <c r="A545" t="s">
        <v>72</v>
      </c>
      <c r="B545" t="s">
        <v>10367</v>
      </c>
      <c r="C545" t="s">
        <v>74</v>
      </c>
      <c r="D545" t="s">
        <v>74</v>
      </c>
      <c r="E545" t="s">
        <v>74</v>
      </c>
      <c r="F545" t="s">
        <v>10368</v>
      </c>
      <c r="G545" t="s">
        <v>74</v>
      </c>
      <c r="H545" t="s">
        <v>74</v>
      </c>
      <c r="I545" t="s">
        <v>10369</v>
      </c>
      <c r="J545" t="s">
        <v>10370</v>
      </c>
      <c r="K545" t="s">
        <v>74</v>
      </c>
      <c r="L545" t="s">
        <v>74</v>
      </c>
      <c r="M545" t="s">
        <v>78</v>
      </c>
      <c r="N545" t="s">
        <v>79</v>
      </c>
      <c r="O545" t="s">
        <v>74</v>
      </c>
      <c r="P545" t="s">
        <v>74</v>
      </c>
      <c r="Q545" t="s">
        <v>74</v>
      </c>
      <c r="R545" t="s">
        <v>74</v>
      </c>
      <c r="S545" t="s">
        <v>74</v>
      </c>
      <c r="T545" t="s">
        <v>74</v>
      </c>
      <c r="U545" t="s">
        <v>10371</v>
      </c>
      <c r="V545" t="s">
        <v>10372</v>
      </c>
      <c r="W545" t="s">
        <v>10373</v>
      </c>
      <c r="X545" t="s">
        <v>10374</v>
      </c>
      <c r="Y545" t="s">
        <v>10375</v>
      </c>
      <c r="Z545" t="s">
        <v>10376</v>
      </c>
      <c r="AA545" t="s">
        <v>74</v>
      </c>
      <c r="AB545" t="s">
        <v>10377</v>
      </c>
      <c r="AC545" t="s">
        <v>10378</v>
      </c>
      <c r="AD545" t="s">
        <v>10379</v>
      </c>
      <c r="AE545" t="s">
        <v>10380</v>
      </c>
      <c r="AF545" t="s">
        <v>74</v>
      </c>
      <c r="AG545">
        <v>42</v>
      </c>
      <c r="AH545">
        <v>24</v>
      </c>
      <c r="AI545">
        <v>29</v>
      </c>
      <c r="AJ545">
        <v>5</v>
      </c>
      <c r="AK545">
        <v>40</v>
      </c>
      <c r="AL545" t="s">
        <v>155</v>
      </c>
      <c r="AM545" t="s">
        <v>156</v>
      </c>
      <c r="AN545" t="s">
        <v>157</v>
      </c>
      <c r="AO545" t="s">
        <v>10381</v>
      </c>
      <c r="AP545" t="s">
        <v>74</v>
      </c>
      <c r="AQ545" t="s">
        <v>74</v>
      </c>
      <c r="AR545" t="s">
        <v>10382</v>
      </c>
      <c r="AS545" t="s">
        <v>10383</v>
      </c>
      <c r="AT545" t="s">
        <v>9913</v>
      </c>
      <c r="AU545">
        <v>2011</v>
      </c>
      <c r="AV545">
        <v>26</v>
      </c>
      <c r="AW545">
        <v>11</v>
      </c>
      <c r="AX545" t="s">
        <v>74</v>
      </c>
      <c r="AY545" t="s">
        <v>74</v>
      </c>
      <c r="AZ545" t="s">
        <v>74</v>
      </c>
      <c r="BA545" t="s">
        <v>74</v>
      </c>
      <c r="BB545">
        <v>1897</v>
      </c>
      <c r="BC545">
        <v>1904</v>
      </c>
      <c r="BD545" t="s">
        <v>74</v>
      </c>
      <c r="BE545" t="s">
        <v>10384</v>
      </c>
      <c r="BF545" t="str">
        <f>HYPERLINK("http://dx.doi.org/10.1016/j.apgeochem.2011.06.013","http://dx.doi.org/10.1016/j.apgeochem.2011.06.013")</f>
        <v>http://dx.doi.org/10.1016/j.apgeochem.2011.06.013</v>
      </c>
      <c r="BG545" t="s">
        <v>74</v>
      </c>
      <c r="BH545" t="s">
        <v>74</v>
      </c>
      <c r="BI545">
        <v>8</v>
      </c>
      <c r="BJ545" t="s">
        <v>164</v>
      </c>
      <c r="BK545" t="s">
        <v>100</v>
      </c>
      <c r="BL545" t="s">
        <v>164</v>
      </c>
      <c r="BM545" t="s">
        <v>10385</v>
      </c>
      <c r="BN545" t="s">
        <v>74</v>
      </c>
      <c r="BO545" t="s">
        <v>74</v>
      </c>
      <c r="BP545" t="s">
        <v>74</v>
      </c>
      <c r="BQ545" t="s">
        <v>74</v>
      </c>
      <c r="BR545" t="s">
        <v>102</v>
      </c>
      <c r="BS545" t="s">
        <v>10386</v>
      </c>
      <c r="BT545" t="str">
        <f>HYPERLINK("https%3A%2F%2Fwww.webofscience.com%2Fwos%2Fwoscc%2Ffull-record%2FWOS:000297913900013","View Full Record in Web of Science")</f>
        <v>View Full Record in Web of Science</v>
      </c>
    </row>
    <row r="546" spans="1:72" x14ac:dyDescent="0.15">
      <c r="A546" t="s">
        <v>72</v>
      </c>
      <c r="B546" t="s">
        <v>10387</v>
      </c>
      <c r="C546" t="s">
        <v>74</v>
      </c>
      <c r="D546" t="s">
        <v>74</v>
      </c>
      <c r="E546" t="s">
        <v>74</v>
      </c>
      <c r="F546" t="s">
        <v>10388</v>
      </c>
      <c r="G546" t="s">
        <v>74</v>
      </c>
      <c r="H546" t="s">
        <v>74</v>
      </c>
      <c r="I546" t="s">
        <v>10389</v>
      </c>
      <c r="J546" t="s">
        <v>10390</v>
      </c>
      <c r="K546" t="s">
        <v>74</v>
      </c>
      <c r="L546" t="s">
        <v>74</v>
      </c>
      <c r="M546" t="s">
        <v>78</v>
      </c>
      <c r="N546" t="s">
        <v>79</v>
      </c>
      <c r="O546" t="s">
        <v>74</v>
      </c>
      <c r="P546" t="s">
        <v>74</v>
      </c>
      <c r="Q546" t="s">
        <v>74</v>
      </c>
      <c r="R546" t="s">
        <v>74</v>
      </c>
      <c r="S546" t="s">
        <v>74</v>
      </c>
      <c r="T546" t="s">
        <v>10391</v>
      </c>
      <c r="U546" t="s">
        <v>10392</v>
      </c>
      <c r="V546" t="s">
        <v>10393</v>
      </c>
      <c r="W546" t="s">
        <v>10394</v>
      </c>
      <c r="X546" t="s">
        <v>10395</v>
      </c>
      <c r="Y546" t="s">
        <v>10396</v>
      </c>
      <c r="Z546" t="s">
        <v>10397</v>
      </c>
      <c r="AA546" t="s">
        <v>10398</v>
      </c>
      <c r="AB546" t="s">
        <v>10399</v>
      </c>
      <c r="AC546" t="s">
        <v>10400</v>
      </c>
      <c r="AD546" t="s">
        <v>10401</v>
      </c>
      <c r="AE546" t="s">
        <v>10402</v>
      </c>
      <c r="AF546" t="s">
        <v>74</v>
      </c>
      <c r="AG546">
        <v>67</v>
      </c>
      <c r="AH546">
        <v>14</v>
      </c>
      <c r="AI546">
        <v>16</v>
      </c>
      <c r="AJ546">
        <v>1</v>
      </c>
      <c r="AK546">
        <v>31</v>
      </c>
      <c r="AL546" t="s">
        <v>250</v>
      </c>
      <c r="AM546" t="s">
        <v>413</v>
      </c>
      <c r="AN546" t="s">
        <v>490</v>
      </c>
      <c r="AO546" t="s">
        <v>10403</v>
      </c>
      <c r="AP546" t="s">
        <v>10404</v>
      </c>
      <c r="AQ546" t="s">
        <v>74</v>
      </c>
      <c r="AR546" t="s">
        <v>10405</v>
      </c>
      <c r="AS546" t="s">
        <v>10406</v>
      </c>
      <c r="AT546" t="s">
        <v>9913</v>
      </c>
      <c r="AU546">
        <v>2011</v>
      </c>
      <c r="AV546">
        <v>73</v>
      </c>
      <c r="AW546">
        <v>9</v>
      </c>
      <c r="AX546" t="s">
        <v>74</v>
      </c>
      <c r="AY546" t="s">
        <v>74</v>
      </c>
      <c r="AZ546" t="s">
        <v>74</v>
      </c>
      <c r="BA546" t="s">
        <v>74</v>
      </c>
      <c r="BB546">
        <v>1259</v>
      </c>
      <c r="BC546">
        <v>1277</v>
      </c>
      <c r="BD546" t="s">
        <v>74</v>
      </c>
      <c r="BE546" t="s">
        <v>10407</v>
      </c>
      <c r="BF546" t="str">
        <f>HYPERLINK("http://dx.doi.org/10.1007/s00445-011-0477-9","http://dx.doi.org/10.1007/s00445-011-0477-9")</f>
        <v>http://dx.doi.org/10.1007/s00445-011-0477-9</v>
      </c>
      <c r="BG546" t="s">
        <v>74</v>
      </c>
      <c r="BH546" t="s">
        <v>74</v>
      </c>
      <c r="BI546">
        <v>19</v>
      </c>
      <c r="BJ546" t="s">
        <v>287</v>
      </c>
      <c r="BK546" t="s">
        <v>100</v>
      </c>
      <c r="BL546" t="s">
        <v>288</v>
      </c>
      <c r="BM546" t="s">
        <v>10408</v>
      </c>
      <c r="BN546" t="s">
        <v>74</v>
      </c>
      <c r="BO546" t="s">
        <v>74</v>
      </c>
      <c r="BP546" t="s">
        <v>74</v>
      </c>
      <c r="BQ546" t="s">
        <v>74</v>
      </c>
      <c r="BR546" t="s">
        <v>102</v>
      </c>
      <c r="BS546" t="s">
        <v>10409</v>
      </c>
      <c r="BT546" t="str">
        <f>HYPERLINK("https%3A%2F%2Fwww.webofscience.com%2Fwos%2Fwoscc%2Ffull-record%2FWOS:000297737100012","View Full Record in Web of Science")</f>
        <v>View Full Record in Web of Science</v>
      </c>
    </row>
    <row r="547" spans="1:72" x14ac:dyDescent="0.15">
      <c r="A547" t="s">
        <v>72</v>
      </c>
      <c r="B547" t="s">
        <v>10410</v>
      </c>
      <c r="C547" t="s">
        <v>74</v>
      </c>
      <c r="D547" t="s">
        <v>74</v>
      </c>
      <c r="E547" t="s">
        <v>74</v>
      </c>
      <c r="F547" t="s">
        <v>10411</v>
      </c>
      <c r="G547" t="s">
        <v>74</v>
      </c>
      <c r="H547" t="s">
        <v>74</v>
      </c>
      <c r="I547" t="s">
        <v>10412</v>
      </c>
      <c r="J547" t="s">
        <v>10413</v>
      </c>
      <c r="K547" t="s">
        <v>74</v>
      </c>
      <c r="L547" t="s">
        <v>74</v>
      </c>
      <c r="M547" t="s">
        <v>78</v>
      </c>
      <c r="N547" t="s">
        <v>79</v>
      </c>
      <c r="O547" t="s">
        <v>74</v>
      </c>
      <c r="P547" t="s">
        <v>74</v>
      </c>
      <c r="Q547" t="s">
        <v>74</v>
      </c>
      <c r="R547" t="s">
        <v>74</v>
      </c>
      <c r="S547" t="s">
        <v>74</v>
      </c>
      <c r="T547" t="s">
        <v>74</v>
      </c>
      <c r="U547" t="s">
        <v>10414</v>
      </c>
      <c r="V547" t="s">
        <v>10415</v>
      </c>
      <c r="W547" t="s">
        <v>10416</v>
      </c>
      <c r="X547" t="s">
        <v>74</v>
      </c>
      <c r="Y547" t="s">
        <v>10417</v>
      </c>
      <c r="Z547" t="s">
        <v>10418</v>
      </c>
      <c r="AA547" t="s">
        <v>74</v>
      </c>
      <c r="AB547" t="s">
        <v>74</v>
      </c>
      <c r="AC547" t="s">
        <v>10419</v>
      </c>
      <c r="AD547" t="s">
        <v>3661</v>
      </c>
      <c r="AE547" t="s">
        <v>10420</v>
      </c>
      <c r="AF547" t="s">
        <v>74</v>
      </c>
      <c r="AG547">
        <v>52</v>
      </c>
      <c r="AH547">
        <v>12</v>
      </c>
      <c r="AI547">
        <v>13</v>
      </c>
      <c r="AJ547">
        <v>0</v>
      </c>
      <c r="AK547">
        <v>10</v>
      </c>
      <c r="AL547" t="s">
        <v>10421</v>
      </c>
      <c r="AM547" t="s">
        <v>10422</v>
      </c>
      <c r="AN547" t="s">
        <v>10423</v>
      </c>
      <c r="AO547" t="s">
        <v>10424</v>
      </c>
      <c r="AP547" t="s">
        <v>10425</v>
      </c>
      <c r="AQ547" t="s">
        <v>74</v>
      </c>
      <c r="AR547" t="s">
        <v>10426</v>
      </c>
      <c r="AS547" t="s">
        <v>10427</v>
      </c>
      <c r="AT547" t="s">
        <v>9913</v>
      </c>
      <c r="AU547">
        <v>2011</v>
      </c>
      <c r="AV547">
        <v>45</v>
      </c>
      <c r="AW547">
        <v>6</v>
      </c>
      <c r="AX547" t="s">
        <v>74</v>
      </c>
      <c r="AY547" t="s">
        <v>74</v>
      </c>
      <c r="AZ547" t="s">
        <v>74</v>
      </c>
      <c r="BA547" t="s">
        <v>74</v>
      </c>
      <c r="BB547">
        <v>496</v>
      </c>
      <c r="BC547">
        <v>512</v>
      </c>
      <c r="BD547" t="s">
        <v>74</v>
      </c>
      <c r="BE547" t="s">
        <v>10428</v>
      </c>
      <c r="BF547" t="str">
        <f>HYPERLINK("http://dx.doi.org/10.1134/S0016852111060057","http://dx.doi.org/10.1134/S0016852111060057")</f>
        <v>http://dx.doi.org/10.1134/S0016852111060057</v>
      </c>
      <c r="BG547" t="s">
        <v>74</v>
      </c>
      <c r="BH547" t="s">
        <v>74</v>
      </c>
      <c r="BI547">
        <v>17</v>
      </c>
      <c r="BJ547" t="s">
        <v>164</v>
      </c>
      <c r="BK547" t="s">
        <v>100</v>
      </c>
      <c r="BL547" t="s">
        <v>164</v>
      </c>
      <c r="BM547" t="s">
        <v>10429</v>
      </c>
      <c r="BN547" t="s">
        <v>74</v>
      </c>
      <c r="BO547" t="s">
        <v>74</v>
      </c>
      <c r="BP547" t="s">
        <v>74</v>
      </c>
      <c r="BQ547" t="s">
        <v>74</v>
      </c>
      <c r="BR547" t="s">
        <v>102</v>
      </c>
      <c r="BS547" t="s">
        <v>10430</v>
      </c>
      <c r="BT547" t="str">
        <f>HYPERLINK("https%3A%2F%2Fwww.webofscience.com%2Fwos%2Fwoscc%2Ffull-record%2FWOS:000297521500006","View Full Record in Web of Science")</f>
        <v>View Full Record in Web of Science</v>
      </c>
    </row>
    <row r="548" spans="1:72" x14ac:dyDescent="0.15">
      <c r="A548" t="s">
        <v>72</v>
      </c>
      <c r="B548" t="s">
        <v>10431</v>
      </c>
      <c r="C548" t="s">
        <v>74</v>
      </c>
      <c r="D548" t="s">
        <v>74</v>
      </c>
      <c r="E548" t="s">
        <v>74</v>
      </c>
      <c r="F548" t="s">
        <v>10432</v>
      </c>
      <c r="G548" t="s">
        <v>74</v>
      </c>
      <c r="H548" t="s">
        <v>74</v>
      </c>
      <c r="I548" t="s">
        <v>10433</v>
      </c>
      <c r="J548" t="s">
        <v>10434</v>
      </c>
      <c r="K548" t="s">
        <v>74</v>
      </c>
      <c r="L548" t="s">
        <v>74</v>
      </c>
      <c r="M548" t="s">
        <v>78</v>
      </c>
      <c r="N548" t="s">
        <v>79</v>
      </c>
      <c r="O548" t="s">
        <v>74</v>
      </c>
      <c r="P548" t="s">
        <v>74</v>
      </c>
      <c r="Q548" t="s">
        <v>74</v>
      </c>
      <c r="R548" t="s">
        <v>74</v>
      </c>
      <c r="S548" t="s">
        <v>74</v>
      </c>
      <c r="T548" t="s">
        <v>10435</v>
      </c>
      <c r="U548" t="s">
        <v>10436</v>
      </c>
      <c r="V548" t="s">
        <v>10437</v>
      </c>
      <c r="W548" t="s">
        <v>10438</v>
      </c>
      <c r="X548" t="s">
        <v>10439</v>
      </c>
      <c r="Y548" t="s">
        <v>10440</v>
      </c>
      <c r="Z548" t="s">
        <v>10441</v>
      </c>
      <c r="AA548" t="s">
        <v>10442</v>
      </c>
      <c r="AB548" t="s">
        <v>10443</v>
      </c>
      <c r="AC548" t="s">
        <v>10444</v>
      </c>
      <c r="AD548" t="s">
        <v>10445</v>
      </c>
      <c r="AE548" t="s">
        <v>10446</v>
      </c>
      <c r="AF548" t="s">
        <v>74</v>
      </c>
      <c r="AG548">
        <v>35</v>
      </c>
      <c r="AH548">
        <v>24</v>
      </c>
      <c r="AI548">
        <v>25</v>
      </c>
      <c r="AJ548">
        <v>0</v>
      </c>
      <c r="AK548">
        <v>21</v>
      </c>
      <c r="AL548" t="s">
        <v>155</v>
      </c>
      <c r="AM548" t="s">
        <v>156</v>
      </c>
      <c r="AN548" t="s">
        <v>157</v>
      </c>
      <c r="AO548" t="s">
        <v>10447</v>
      </c>
      <c r="AP548" t="s">
        <v>10448</v>
      </c>
      <c r="AQ548" t="s">
        <v>74</v>
      </c>
      <c r="AR548" t="s">
        <v>10449</v>
      </c>
      <c r="AS548" t="s">
        <v>10450</v>
      </c>
      <c r="AT548" t="s">
        <v>9913</v>
      </c>
      <c r="AU548">
        <v>2011</v>
      </c>
      <c r="AV548">
        <v>62</v>
      </c>
      <c r="AW548">
        <v>11</v>
      </c>
      <c r="AX548" t="s">
        <v>74</v>
      </c>
      <c r="AY548" t="s">
        <v>74</v>
      </c>
      <c r="AZ548" t="s">
        <v>74</v>
      </c>
      <c r="BA548" t="s">
        <v>74</v>
      </c>
      <c r="BB548">
        <v>2571</v>
      </c>
      <c r="BC548">
        <v>2575</v>
      </c>
      <c r="BD548" t="s">
        <v>74</v>
      </c>
      <c r="BE548" t="s">
        <v>10451</v>
      </c>
      <c r="BF548" t="str">
        <f>HYPERLINK("http://dx.doi.org/10.1016/j.marpolbul.2011.08.012","http://dx.doi.org/10.1016/j.marpolbul.2011.08.012")</f>
        <v>http://dx.doi.org/10.1016/j.marpolbul.2011.08.012</v>
      </c>
      <c r="BG548" t="s">
        <v>74</v>
      </c>
      <c r="BH548" t="s">
        <v>74</v>
      </c>
      <c r="BI548">
        <v>5</v>
      </c>
      <c r="BJ548" t="s">
        <v>10452</v>
      </c>
      <c r="BK548" t="s">
        <v>100</v>
      </c>
      <c r="BL548" t="s">
        <v>4395</v>
      </c>
      <c r="BM548" t="s">
        <v>10453</v>
      </c>
      <c r="BN548">
        <v>21903228</v>
      </c>
      <c r="BO548" t="s">
        <v>74</v>
      </c>
      <c r="BP548" t="s">
        <v>74</v>
      </c>
      <c r="BQ548" t="s">
        <v>74</v>
      </c>
      <c r="BR548" t="s">
        <v>102</v>
      </c>
      <c r="BS548" t="s">
        <v>10454</v>
      </c>
      <c r="BT548" t="str">
        <f>HYPERLINK("https%3A%2F%2Fwww.webofscience.com%2Fwos%2Fwoscc%2Ffull-record%2FWOS:000297393800050","View Full Record in Web of Science")</f>
        <v>View Full Record in Web of Science</v>
      </c>
    </row>
    <row r="549" spans="1:72" x14ac:dyDescent="0.15">
      <c r="A549" t="s">
        <v>72</v>
      </c>
      <c r="B549" t="s">
        <v>10455</v>
      </c>
      <c r="C549" t="s">
        <v>74</v>
      </c>
      <c r="D549" t="s">
        <v>74</v>
      </c>
      <c r="E549" t="s">
        <v>74</v>
      </c>
      <c r="F549" t="s">
        <v>10456</v>
      </c>
      <c r="G549" t="s">
        <v>74</v>
      </c>
      <c r="H549" t="s">
        <v>74</v>
      </c>
      <c r="I549" t="s">
        <v>10457</v>
      </c>
      <c r="J549" t="s">
        <v>7842</v>
      </c>
      <c r="K549" t="s">
        <v>74</v>
      </c>
      <c r="L549" t="s">
        <v>74</v>
      </c>
      <c r="M549" t="s">
        <v>78</v>
      </c>
      <c r="N549" t="s">
        <v>79</v>
      </c>
      <c r="O549" t="s">
        <v>74</v>
      </c>
      <c r="P549" t="s">
        <v>74</v>
      </c>
      <c r="Q549" t="s">
        <v>74</v>
      </c>
      <c r="R549" t="s">
        <v>74</v>
      </c>
      <c r="S549" t="s">
        <v>74</v>
      </c>
      <c r="T549" t="s">
        <v>74</v>
      </c>
      <c r="U549" t="s">
        <v>10458</v>
      </c>
      <c r="V549" t="s">
        <v>10459</v>
      </c>
      <c r="W549" t="s">
        <v>10460</v>
      </c>
      <c r="X549" t="s">
        <v>10461</v>
      </c>
      <c r="Y549" t="s">
        <v>10462</v>
      </c>
      <c r="Z549" t="s">
        <v>10463</v>
      </c>
      <c r="AA549" t="s">
        <v>10464</v>
      </c>
      <c r="AB549" t="s">
        <v>10465</v>
      </c>
      <c r="AC549" t="s">
        <v>10466</v>
      </c>
      <c r="AD549" t="s">
        <v>10467</v>
      </c>
      <c r="AE549" t="s">
        <v>10468</v>
      </c>
      <c r="AF549" t="s">
        <v>74</v>
      </c>
      <c r="AG549">
        <v>47</v>
      </c>
      <c r="AH549">
        <v>7</v>
      </c>
      <c r="AI549">
        <v>10</v>
      </c>
      <c r="AJ549">
        <v>0</v>
      </c>
      <c r="AK549">
        <v>4</v>
      </c>
      <c r="AL549" t="s">
        <v>2832</v>
      </c>
      <c r="AM549" t="s">
        <v>796</v>
      </c>
      <c r="AN549" t="s">
        <v>797</v>
      </c>
      <c r="AO549" t="s">
        <v>7853</v>
      </c>
      <c r="AP549" t="s">
        <v>7854</v>
      </c>
      <c r="AQ549" t="s">
        <v>74</v>
      </c>
      <c r="AR549" t="s">
        <v>7855</v>
      </c>
      <c r="AS549" t="s">
        <v>7856</v>
      </c>
      <c r="AT549" t="s">
        <v>9913</v>
      </c>
      <c r="AU549">
        <v>2011</v>
      </c>
      <c r="AV549">
        <v>46</v>
      </c>
      <c r="AW549">
        <v>11</v>
      </c>
      <c r="AX549" t="s">
        <v>74</v>
      </c>
      <c r="AY549" t="s">
        <v>74</v>
      </c>
      <c r="AZ549" t="s">
        <v>74</v>
      </c>
      <c r="BA549" t="s">
        <v>74</v>
      </c>
      <c r="BB549">
        <v>1742</v>
      </c>
      <c r="BC549">
        <v>1753</v>
      </c>
      <c r="BD549" t="s">
        <v>74</v>
      </c>
      <c r="BE549" t="s">
        <v>10469</v>
      </c>
      <c r="BF549" t="str">
        <f>HYPERLINK("http://dx.doi.org/10.1111/j.1945-5100.2011.01263.x","http://dx.doi.org/10.1111/j.1945-5100.2011.01263.x")</f>
        <v>http://dx.doi.org/10.1111/j.1945-5100.2011.01263.x</v>
      </c>
      <c r="BG549" t="s">
        <v>74</v>
      </c>
      <c r="BH549" t="s">
        <v>74</v>
      </c>
      <c r="BI549">
        <v>12</v>
      </c>
      <c r="BJ549" t="s">
        <v>164</v>
      </c>
      <c r="BK549" t="s">
        <v>100</v>
      </c>
      <c r="BL549" t="s">
        <v>164</v>
      </c>
      <c r="BM549" t="s">
        <v>10470</v>
      </c>
      <c r="BN549" t="s">
        <v>74</v>
      </c>
      <c r="BO549" t="s">
        <v>74</v>
      </c>
      <c r="BP549" t="s">
        <v>74</v>
      </c>
      <c r="BQ549" t="s">
        <v>74</v>
      </c>
      <c r="BR549" t="s">
        <v>102</v>
      </c>
      <c r="BS549" t="s">
        <v>10471</v>
      </c>
      <c r="BT549" t="str">
        <f>HYPERLINK("https%3A%2F%2Fwww.webofscience.com%2Fwos%2Fwoscc%2Ffull-record%2FWOS:000297414600010","View Full Record in Web of Science")</f>
        <v>View Full Record in Web of Science</v>
      </c>
    </row>
    <row r="550" spans="1:72" x14ac:dyDescent="0.15">
      <c r="A550" t="s">
        <v>72</v>
      </c>
      <c r="B550" t="s">
        <v>10472</v>
      </c>
      <c r="C550" t="s">
        <v>74</v>
      </c>
      <c r="D550" t="s">
        <v>74</v>
      </c>
      <c r="E550" t="s">
        <v>74</v>
      </c>
      <c r="F550" t="s">
        <v>10473</v>
      </c>
      <c r="G550" t="s">
        <v>74</v>
      </c>
      <c r="H550" t="s">
        <v>74</v>
      </c>
      <c r="I550" t="s">
        <v>10474</v>
      </c>
      <c r="J550" t="s">
        <v>10475</v>
      </c>
      <c r="K550" t="s">
        <v>74</v>
      </c>
      <c r="L550" t="s">
        <v>74</v>
      </c>
      <c r="M550" t="s">
        <v>78</v>
      </c>
      <c r="N550" t="s">
        <v>79</v>
      </c>
      <c r="O550" t="s">
        <v>74</v>
      </c>
      <c r="P550" t="s">
        <v>74</v>
      </c>
      <c r="Q550" t="s">
        <v>74</v>
      </c>
      <c r="R550" t="s">
        <v>74</v>
      </c>
      <c r="S550" t="s">
        <v>74</v>
      </c>
      <c r="T550" t="s">
        <v>10476</v>
      </c>
      <c r="U550" t="s">
        <v>10477</v>
      </c>
      <c r="V550" t="s">
        <v>10478</v>
      </c>
      <c r="W550" t="s">
        <v>10479</v>
      </c>
      <c r="X550" t="s">
        <v>10480</v>
      </c>
      <c r="Y550" t="s">
        <v>10481</v>
      </c>
      <c r="Z550" t="s">
        <v>10482</v>
      </c>
      <c r="AA550" t="s">
        <v>10483</v>
      </c>
      <c r="AB550" t="s">
        <v>10484</v>
      </c>
      <c r="AC550" t="s">
        <v>74</v>
      </c>
      <c r="AD550" t="s">
        <v>74</v>
      </c>
      <c r="AE550" t="s">
        <v>74</v>
      </c>
      <c r="AF550" t="s">
        <v>74</v>
      </c>
      <c r="AG550">
        <v>86</v>
      </c>
      <c r="AH550">
        <v>2</v>
      </c>
      <c r="AI550">
        <v>2</v>
      </c>
      <c r="AJ550">
        <v>0</v>
      </c>
      <c r="AK550">
        <v>9</v>
      </c>
      <c r="AL550" t="s">
        <v>10485</v>
      </c>
      <c r="AM550" t="s">
        <v>8809</v>
      </c>
      <c r="AN550" t="s">
        <v>10486</v>
      </c>
      <c r="AO550" t="s">
        <v>10487</v>
      </c>
      <c r="AP550" t="s">
        <v>10488</v>
      </c>
      <c r="AQ550" t="s">
        <v>74</v>
      </c>
      <c r="AR550" t="s">
        <v>10489</v>
      </c>
      <c r="AS550" t="s">
        <v>10490</v>
      </c>
      <c r="AT550" t="s">
        <v>9913</v>
      </c>
      <c r="AU550">
        <v>2011</v>
      </c>
      <c r="AV550">
        <v>27</v>
      </c>
      <c r="AW550">
        <v>6</v>
      </c>
      <c r="AX550" t="s">
        <v>74</v>
      </c>
      <c r="AY550" t="s">
        <v>74</v>
      </c>
      <c r="AZ550" t="s">
        <v>74</v>
      </c>
      <c r="BA550" t="s">
        <v>74</v>
      </c>
      <c r="BB550">
        <v>1005</v>
      </c>
      <c r="BC550">
        <v>1018</v>
      </c>
      <c r="BD550" t="s">
        <v>74</v>
      </c>
      <c r="BE550" t="s">
        <v>10491</v>
      </c>
      <c r="BF550" t="str">
        <f>HYPERLINK("http://dx.doi.org/10.2112/11A-00014.1","http://dx.doi.org/10.2112/11A-00014.1")</f>
        <v>http://dx.doi.org/10.2112/11A-00014.1</v>
      </c>
      <c r="BG550" t="s">
        <v>74</v>
      </c>
      <c r="BH550" t="s">
        <v>74</v>
      </c>
      <c r="BI550">
        <v>14</v>
      </c>
      <c r="BJ550" t="s">
        <v>7432</v>
      </c>
      <c r="BK550" t="s">
        <v>7768</v>
      </c>
      <c r="BL550" t="s">
        <v>2855</v>
      </c>
      <c r="BM550" t="s">
        <v>10492</v>
      </c>
      <c r="BN550" t="s">
        <v>74</v>
      </c>
      <c r="BO550" t="s">
        <v>74</v>
      </c>
      <c r="BP550" t="s">
        <v>74</v>
      </c>
      <c r="BQ550" t="s">
        <v>74</v>
      </c>
      <c r="BR550" t="s">
        <v>102</v>
      </c>
      <c r="BS550" t="s">
        <v>10493</v>
      </c>
      <c r="BT550" t="str">
        <f>HYPERLINK("https%3A%2F%2Fwww.webofscience.com%2Fwos%2Fwoscc%2Ffull-record%2FWOS:000297278300001","View Full Record in Web of Science")</f>
        <v>View Full Record in Web of Science</v>
      </c>
    </row>
    <row r="551" spans="1:72" x14ac:dyDescent="0.15">
      <c r="A551" t="s">
        <v>72</v>
      </c>
      <c r="B551" t="s">
        <v>10494</v>
      </c>
      <c r="C551" t="s">
        <v>74</v>
      </c>
      <c r="D551" t="s">
        <v>74</v>
      </c>
      <c r="E551" t="s">
        <v>74</v>
      </c>
      <c r="F551" t="s">
        <v>10495</v>
      </c>
      <c r="G551" t="s">
        <v>74</v>
      </c>
      <c r="H551" t="s">
        <v>74</v>
      </c>
      <c r="I551" t="s">
        <v>10496</v>
      </c>
      <c r="J551" t="s">
        <v>10497</v>
      </c>
      <c r="K551" t="s">
        <v>74</v>
      </c>
      <c r="L551" t="s">
        <v>74</v>
      </c>
      <c r="M551" t="s">
        <v>78</v>
      </c>
      <c r="N551" t="s">
        <v>79</v>
      </c>
      <c r="O551" t="s">
        <v>74</v>
      </c>
      <c r="P551" t="s">
        <v>74</v>
      </c>
      <c r="Q551" t="s">
        <v>74</v>
      </c>
      <c r="R551" t="s">
        <v>74</v>
      </c>
      <c r="S551" t="s">
        <v>74</v>
      </c>
      <c r="T551" t="s">
        <v>10498</v>
      </c>
      <c r="U551" t="s">
        <v>10499</v>
      </c>
      <c r="V551" t="s">
        <v>10500</v>
      </c>
      <c r="W551" t="s">
        <v>10501</v>
      </c>
      <c r="X551" t="s">
        <v>10502</v>
      </c>
      <c r="Y551" t="s">
        <v>10503</v>
      </c>
      <c r="Z551" t="s">
        <v>7314</v>
      </c>
      <c r="AA551" t="s">
        <v>10504</v>
      </c>
      <c r="AB551" t="s">
        <v>7316</v>
      </c>
      <c r="AC551" t="s">
        <v>10505</v>
      </c>
      <c r="AD551" t="s">
        <v>10506</v>
      </c>
      <c r="AE551" t="s">
        <v>10507</v>
      </c>
      <c r="AF551" t="s">
        <v>74</v>
      </c>
      <c r="AG551">
        <v>17</v>
      </c>
      <c r="AH551">
        <v>80</v>
      </c>
      <c r="AI551">
        <v>84</v>
      </c>
      <c r="AJ551">
        <v>0</v>
      </c>
      <c r="AK551">
        <v>36</v>
      </c>
      <c r="AL551" t="s">
        <v>1150</v>
      </c>
      <c r="AM551" t="s">
        <v>1151</v>
      </c>
      <c r="AN551" t="s">
        <v>1152</v>
      </c>
      <c r="AO551" t="s">
        <v>10508</v>
      </c>
      <c r="AP551" t="s">
        <v>10509</v>
      </c>
      <c r="AQ551" t="s">
        <v>74</v>
      </c>
      <c r="AR551" t="s">
        <v>10497</v>
      </c>
      <c r="AS551" t="s">
        <v>10510</v>
      </c>
      <c r="AT551" t="s">
        <v>9913</v>
      </c>
      <c r="AU551">
        <v>2011</v>
      </c>
      <c r="AV551">
        <v>50</v>
      </c>
      <c r="AW551">
        <v>6</v>
      </c>
      <c r="AX551" t="s">
        <v>74</v>
      </c>
      <c r="AY551" t="s">
        <v>74</v>
      </c>
      <c r="AZ551" t="s">
        <v>74</v>
      </c>
      <c r="BA551" t="s">
        <v>74</v>
      </c>
      <c r="BB551">
        <v>624</v>
      </c>
      <c r="BC551">
        <v>628</v>
      </c>
      <c r="BD551" t="s">
        <v>74</v>
      </c>
      <c r="BE551" t="s">
        <v>10511</v>
      </c>
      <c r="BF551" t="str">
        <f>HYPERLINK("http://dx.doi.org/10.2216/11-19.1","http://dx.doi.org/10.2216/11-19.1")</f>
        <v>http://dx.doi.org/10.2216/11-19.1</v>
      </c>
      <c r="BG551" t="s">
        <v>74</v>
      </c>
      <c r="BH551" t="s">
        <v>74</v>
      </c>
      <c r="BI551">
        <v>5</v>
      </c>
      <c r="BJ551" t="s">
        <v>8701</v>
      </c>
      <c r="BK551" t="s">
        <v>100</v>
      </c>
      <c r="BL551" t="s">
        <v>8701</v>
      </c>
      <c r="BM551" t="s">
        <v>10512</v>
      </c>
      <c r="BN551" t="s">
        <v>74</v>
      </c>
      <c r="BO551" t="s">
        <v>74</v>
      </c>
      <c r="BP551" t="s">
        <v>74</v>
      </c>
      <c r="BQ551" t="s">
        <v>74</v>
      </c>
      <c r="BR551" t="s">
        <v>102</v>
      </c>
      <c r="BS551" t="s">
        <v>10513</v>
      </c>
      <c r="BT551" t="str">
        <f>HYPERLINK("https%3A%2F%2Fwww.webofscience.com%2Fwos%2Fwoscc%2Ffull-record%2FWOS:000297204700006","View Full Record in Web of Science")</f>
        <v>View Full Record in Web of Science</v>
      </c>
    </row>
    <row r="552" spans="1:72" x14ac:dyDescent="0.15">
      <c r="A552" t="s">
        <v>72</v>
      </c>
      <c r="B552" t="s">
        <v>10514</v>
      </c>
      <c r="C552" t="s">
        <v>74</v>
      </c>
      <c r="D552" t="s">
        <v>74</v>
      </c>
      <c r="E552" t="s">
        <v>74</v>
      </c>
      <c r="F552" t="s">
        <v>10515</v>
      </c>
      <c r="G552" t="s">
        <v>74</v>
      </c>
      <c r="H552" t="s">
        <v>74</v>
      </c>
      <c r="I552" t="s">
        <v>10516</v>
      </c>
      <c r="J552" t="s">
        <v>10497</v>
      </c>
      <c r="K552" t="s">
        <v>74</v>
      </c>
      <c r="L552" t="s">
        <v>74</v>
      </c>
      <c r="M552" t="s">
        <v>78</v>
      </c>
      <c r="N552" t="s">
        <v>79</v>
      </c>
      <c r="O552" t="s">
        <v>74</v>
      </c>
      <c r="P552" t="s">
        <v>74</v>
      </c>
      <c r="Q552" t="s">
        <v>74</v>
      </c>
      <c r="R552" t="s">
        <v>74</v>
      </c>
      <c r="S552" t="s">
        <v>74</v>
      </c>
      <c r="T552" t="s">
        <v>10517</v>
      </c>
      <c r="U552" t="s">
        <v>10518</v>
      </c>
      <c r="V552" t="s">
        <v>10519</v>
      </c>
      <c r="W552" t="s">
        <v>10520</v>
      </c>
      <c r="X552" t="s">
        <v>10521</v>
      </c>
      <c r="Y552" t="s">
        <v>10522</v>
      </c>
      <c r="Z552" t="s">
        <v>10523</v>
      </c>
      <c r="AA552" t="s">
        <v>10524</v>
      </c>
      <c r="AB552" t="s">
        <v>10525</v>
      </c>
      <c r="AC552" t="s">
        <v>10526</v>
      </c>
      <c r="AD552" t="s">
        <v>10527</v>
      </c>
      <c r="AE552" t="s">
        <v>10528</v>
      </c>
      <c r="AF552" t="s">
        <v>74</v>
      </c>
      <c r="AG552">
        <v>42</v>
      </c>
      <c r="AH552">
        <v>13</v>
      </c>
      <c r="AI552">
        <v>16</v>
      </c>
      <c r="AJ552">
        <v>0</v>
      </c>
      <c r="AK552">
        <v>32</v>
      </c>
      <c r="AL552" t="s">
        <v>10529</v>
      </c>
      <c r="AM552" t="s">
        <v>8809</v>
      </c>
      <c r="AN552" t="s">
        <v>10530</v>
      </c>
      <c r="AO552" t="s">
        <v>10508</v>
      </c>
      <c r="AP552" t="s">
        <v>74</v>
      </c>
      <c r="AQ552" t="s">
        <v>74</v>
      </c>
      <c r="AR552" t="s">
        <v>10497</v>
      </c>
      <c r="AS552" t="s">
        <v>10510</v>
      </c>
      <c r="AT552" t="s">
        <v>9913</v>
      </c>
      <c r="AU552">
        <v>2011</v>
      </c>
      <c r="AV552">
        <v>50</v>
      </c>
      <c r="AW552">
        <v>6</v>
      </c>
      <c r="AX552" t="s">
        <v>74</v>
      </c>
      <c r="AY552" t="s">
        <v>74</v>
      </c>
      <c r="AZ552" t="s">
        <v>74</v>
      </c>
      <c r="BA552" t="s">
        <v>74</v>
      </c>
      <c r="BB552">
        <v>650</v>
      </c>
      <c r="BC552">
        <v>660</v>
      </c>
      <c r="BD552" t="s">
        <v>74</v>
      </c>
      <c r="BE552" t="s">
        <v>10531</v>
      </c>
      <c r="BF552" t="str">
        <f>HYPERLINK("http://dx.doi.org/10.2216/11-36.1","http://dx.doi.org/10.2216/11-36.1")</f>
        <v>http://dx.doi.org/10.2216/11-36.1</v>
      </c>
      <c r="BG552" t="s">
        <v>74</v>
      </c>
      <c r="BH552" t="s">
        <v>74</v>
      </c>
      <c r="BI552">
        <v>11</v>
      </c>
      <c r="BJ552" t="s">
        <v>8701</v>
      </c>
      <c r="BK552" t="s">
        <v>100</v>
      </c>
      <c r="BL552" t="s">
        <v>8701</v>
      </c>
      <c r="BM552" t="s">
        <v>10512</v>
      </c>
      <c r="BN552" t="s">
        <v>74</v>
      </c>
      <c r="BO552" t="s">
        <v>74</v>
      </c>
      <c r="BP552" t="s">
        <v>74</v>
      </c>
      <c r="BQ552" t="s">
        <v>74</v>
      </c>
      <c r="BR552" t="s">
        <v>102</v>
      </c>
      <c r="BS552" t="s">
        <v>10532</v>
      </c>
      <c r="BT552" t="str">
        <f>HYPERLINK("https%3A%2F%2Fwww.webofscience.com%2Fwos%2Fwoscc%2Ffull-record%2FWOS:000297204700009","View Full Record in Web of Science")</f>
        <v>View Full Record in Web of Science</v>
      </c>
    </row>
    <row r="553" spans="1:72" x14ac:dyDescent="0.15">
      <c r="A553" t="s">
        <v>72</v>
      </c>
      <c r="B553" t="s">
        <v>10533</v>
      </c>
      <c r="C553" t="s">
        <v>74</v>
      </c>
      <c r="D553" t="s">
        <v>74</v>
      </c>
      <c r="E553" t="s">
        <v>74</v>
      </c>
      <c r="F553" t="s">
        <v>10534</v>
      </c>
      <c r="G553" t="s">
        <v>74</v>
      </c>
      <c r="H553" t="s">
        <v>74</v>
      </c>
      <c r="I553" t="s">
        <v>10535</v>
      </c>
      <c r="J553" t="s">
        <v>10536</v>
      </c>
      <c r="K553" t="s">
        <v>74</v>
      </c>
      <c r="L553" t="s">
        <v>74</v>
      </c>
      <c r="M553" t="s">
        <v>78</v>
      </c>
      <c r="N553" t="s">
        <v>79</v>
      </c>
      <c r="O553" t="s">
        <v>74</v>
      </c>
      <c r="P553" t="s">
        <v>74</v>
      </c>
      <c r="Q553" t="s">
        <v>74</v>
      </c>
      <c r="R553" t="s">
        <v>74</v>
      </c>
      <c r="S553" t="s">
        <v>74</v>
      </c>
      <c r="T553" t="s">
        <v>10537</v>
      </c>
      <c r="U553" t="s">
        <v>10538</v>
      </c>
      <c r="V553" t="s">
        <v>10539</v>
      </c>
      <c r="W553" t="s">
        <v>10540</v>
      </c>
      <c r="X553" t="s">
        <v>10541</v>
      </c>
      <c r="Y553" t="s">
        <v>10542</v>
      </c>
      <c r="Z553" t="s">
        <v>10543</v>
      </c>
      <c r="AA553" t="s">
        <v>74</v>
      </c>
      <c r="AB553" t="s">
        <v>10544</v>
      </c>
      <c r="AC553" t="s">
        <v>10545</v>
      </c>
      <c r="AD553" t="s">
        <v>10546</v>
      </c>
      <c r="AE553" t="s">
        <v>10547</v>
      </c>
      <c r="AF553" t="s">
        <v>74</v>
      </c>
      <c r="AG553">
        <v>30</v>
      </c>
      <c r="AH553">
        <v>5</v>
      </c>
      <c r="AI553">
        <v>5</v>
      </c>
      <c r="AJ553">
        <v>0</v>
      </c>
      <c r="AK553">
        <v>18</v>
      </c>
      <c r="AL553" t="s">
        <v>10548</v>
      </c>
      <c r="AM553" t="s">
        <v>10549</v>
      </c>
      <c r="AN553" t="s">
        <v>10550</v>
      </c>
      <c r="AO553" t="s">
        <v>10551</v>
      </c>
      <c r="AP553" t="s">
        <v>74</v>
      </c>
      <c r="AQ553" t="s">
        <v>74</v>
      </c>
      <c r="AR553" t="s">
        <v>10552</v>
      </c>
      <c r="AS553" t="s">
        <v>10553</v>
      </c>
      <c r="AT553" t="s">
        <v>9913</v>
      </c>
      <c r="AU553">
        <v>2011</v>
      </c>
      <c r="AV553">
        <v>49</v>
      </c>
      <c r="AW553">
        <v>11</v>
      </c>
      <c r="AX553">
        <v>2</v>
      </c>
      <c r="AY553" t="s">
        <v>74</v>
      </c>
      <c r="AZ553" t="s">
        <v>74</v>
      </c>
      <c r="BA553" t="s">
        <v>74</v>
      </c>
      <c r="BB553">
        <v>4572</v>
      </c>
      <c r="BC553">
        <v>4579</v>
      </c>
      <c r="BD553" t="s">
        <v>74</v>
      </c>
      <c r="BE553" t="s">
        <v>10554</v>
      </c>
      <c r="BF553" t="str">
        <f>HYPERLINK("http://dx.doi.org/10.1109/TGRS.2011.2140376","http://dx.doi.org/10.1109/TGRS.2011.2140376")</f>
        <v>http://dx.doi.org/10.1109/TGRS.2011.2140376</v>
      </c>
      <c r="BG553" t="s">
        <v>74</v>
      </c>
      <c r="BH553" t="s">
        <v>74</v>
      </c>
      <c r="BI553">
        <v>8</v>
      </c>
      <c r="BJ553" t="s">
        <v>10555</v>
      </c>
      <c r="BK553" t="s">
        <v>100</v>
      </c>
      <c r="BL553" t="s">
        <v>10556</v>
      </c>
      <c r="BM553" t="s">
        <v>10557</v>
      </c>
      <c r="BN553" t="s">
        <v>74</v>
      </c>
      <c r="BO553" t="s">
        <v>74</v>
      </c>
      <c r="BP553" t="s">
        <v>74</v>
      </c>
      <c r="BQ553" t="s">
        <v>74</v>
      </c>
      <c r="BR553" t="s">
        <v>102</v>
      </c>
      <c r="BS553" t="s">
        <v>10558</v>
      </c>
      <c r="BT553" t="str">
        <f>HYPERLINK("https%3A%2F%2Fwww.webofscience.com%2Fwos%2Fwoscc%2Ffull-record%2FWOS:000297280500016","View Full Record in Web of Science")</f>
        <v>View Full Record in Web of Science</v>
      </c>
    </row>
    <row r="554" spans="1:72" x14ac:dyDescent="0.15">
      <c r="A554" t="s">
        <v>72</v>
      </c>
      <c r="B554" t="s">
        <v>10559</v>
      </c>
      <c r="C554" t="s">
        <v>74</v>
      </c>
      <c r="D554" t="s">
        <v>74</v>
      </c>
      <c r="E554" t="s">
        <v>74</v>
      </c>
      <c r="F554" t="s">
        <v>10560</v>
      </c>
      <c r="G554" t="s">
        <v>74</v>
      </c>
      <c r="H554" t="s">
        <v>74</v>
      </c>
      <c r="I554" t="s">
        <v>10561</v>
      </c>
      <c r="J554" t="s">
        <v>5283</v>
      </c>
      <c r="K554" t="s">
        <v>74</v>
      </c>
      <c r="L554" t="s">
        <v>74</v>
      </c>
      <c r="M554" t="s">
        <v>78</v>
      </c>
      <c r="N554" t="s">
        <v>79</v>
      </c>
      <c r="O554" t="s">
        <v>74</v>
      </c>
      <c r="P554" t="s">
        <v>74</v>
      </c>
      <c r="Q554" t="s">
        <v>74</v>
      </c>
      <c r="R554" t="s">
        <v>74</v>
      </c>
      <c r="S554" t="s">
        <v>74</v>
      </c>
      <c r="T554" t="s">
        <v>10562</v>
      </c>
      <c r="U554" t="s">
        <v>10563</v>
      </c>
      <c r="V554" t="s">
        <v>10564</v>
      </c>
      <c r="W554" t="s">
        <v>10565</v>
      </c>
      <c r="X554" t="s">
        <v>10566</v>
      </c>
      <c r="Y554" t="s">
        <v>10567</v>
      </c>
      <c r="Z554" t="s">
        <v>10568</v>
      </c>
      <c r="AA554" t="s">
        <v>74</v>
      </c>
      <c r="AB554" t="s">
        <v>10569</v>
      </c>
      <c r="AC554" t="s">
        <v>10570</v>
      </c>
      <c r="AD554" t="s">
        <v>10571</v>
      </c>
      <c r="AE554" t="s">
        <v>10572</v>
      </c>
      <c r="AF554" t="s">
        <v>74</v>
      </c>
      <c r="AG554">
        <v>47</v>
      </c>
      <c r="AH554">
        <v>22</v>
      </c>
      <c r="AI554">
        <v>27</v>
      </c>
      <c r="AJ554">
        <v>0</v>
      </c>
      <c r="AK554">
        <v>14</v>
      </c>
      <c r="AL554" t="s">
        <v>250</v>
      </c>
      <c r="AM554" t="s">
        <v>413</v>
      </c>
      <c r="AN554" t="s">
        <v>514</v>
      </c>
      <c r="AO554" t="s">
        <v>5295</v>
      </c>
      <c r="AP554" t="s">
        <v>74</v>
      </c>
      <c r="AQ554" t="s">
        <v>74</v>
      </c>
      <c r="AR554" t="s">
        <v>5297</v>
      </c>
      <c r="AS554" t="s">
        <v>5298</v>
      </c>
      <c r="AT554" t="s">
        <v>9913</v>
      </c>
      <c r="AU554">
        <v>2011</v>
      </c>
      <c r="AV554">
        <v>34</v>
      </c>
      <c r="AW554">
        <v>11</v>
      </c>
      <c r="AX554" t="s">
        <v>74</v>
      </c>
      <c r="AY554" t="s">
        <v>74</v>
      </c>
      <c r="AZ554" t="s">
        <v>74</v>
      </c>
      <c r="BA554" t="s">
        <v>74</v>
      </c>
      <c r="BB554">
        <v>1669</v>
      </c>
      <c r="BC554">
        <v>1677</v>
      </c>
      <c r="BD554" t="s">
        <v>74</v>
      </c>
      <c r="BE554" t="s">
        <v>10573</v>
      </c>
      <c r="BF554" t="str">
        <f>HYPERLINK("http://dx.doi.org/10.1007/s00300-011-1060-8","http://dx.doi.org/10.1007/s00300-011-1060-8")</f>
        <v>http://dx.doi.org/10.1007/s00300-011-1060-8</v>
      </c>
      <c r="BG554" t="s">
        <v>74</v>
      </c>
      <c r="BH554" t="s">
        <v>74</v>
      </c>
      <c r="BI554">
        <v>9</v>
      </c>
      <c r="BJ554" t="s">
        <v>5300</v>
      </c>
      <c r="BK554" t="s">
        <v>100</v>
      </c>
      <c r="BL554" t="s">
        <v>3505</v>
      </c>
      <c r="BM554" t="s">
        <v>10574</v>
      </c>
      <c r="BN554" t="s">
        <v>74</v>
      </c>
      <c r="BO554" t="s">
        <v>74</v>
      </c>
      <c r="BP554" t="s">
        <v>74</v>
      </c>
      <c r="BQ554" t="s">
        <v>74</v>
      </c>
      <c r="BR554" t="s">
        <v>102</v>
      </c>
      <c r="BS554" t="s">
        <v>10575</v>
      </c>
      <c r="BT554" t="str">
        <f>HYPERLINK("https%3A%2F%2Fwww.webofscience.com%2Fwos%2Fwoscc%2Ffull-record%2FWOS:000297202900005","View Full Record in Web of Science")</f>
        <v>View Full Record in Web of Science</v>
      </c>
    </row>
    <row r="555" spans="1:72" x14ac:dyDescent="0.15">
      <c r="A555" t="s">
        <v>72</v>
      </c>
      <c r="B555" t="s">
        <v>10576</v>
      </c>
      <c r="C555" t="s">
        <v>74</v>
      </c>
      <c r="D555" t="s">
        <v>74</v>
      </c>
      <c r="E555" t="s">
        <v>74</v>
      </c>
      <c r="F555" t="s">
        <v>10577</v>
      </c>
      <c r="G555" t="s">
        <v>74</v>
      </c>
      <c r="H555" t="s">
        <v>74</v>
      </c>
      <c r="I555" t="s">
        <v>10578</v>
      </c>
      <c r="J555" t="s">
        <v>5283</v>
      </c>
      <c r="K555" t="s">
        <v>74</v>
      </c>
      <c r="L555" t="s">
        <v>74</v>
      </c>
      <c r="M555" t="s">
        <v>78</v>
      </c>
      <c r="N555" t="s">
        <v>79</v>
      </c>
      <c r="O555" t="s">
        <v>74</v>
      </c>
      <c r="P555" t="s">
        <v>74</v>
      </c>
      <c r="Q555" t="s">
        <v>74</v>
      </c>
      <c r="R555" t="s">
        <v>74</v>
      </c>
      <c r="S555" t="s">
        <v>74</v>
      </c>
      <c r="T555" t="s">
        <v>10579</v>
      </c>
      <c r="U555" t="s">
        <v>10580</v>
      </c>
      <c r="V555" t="s">
        <v>10581</v>
      </c>
      <c r="W555" t="s">
        <v>10582</v>
      </c>
      <c r="X555" t="s">
        <v>10583</v>
      </c>
      <c r="Y555" t="s">
        <v>10584</v>
      </c>
      <c r="Z555" t="s">
        <v>10585</v>
      </c>
      <c r="AA555" t="s">
        <v>10586</v>
      </c>
      <c r="AB555" t="s">
        <v>10587</v>
      </c>
      <c r="AC555" t="s">
        <v>10588</v>
      </c>
      <c r="AD555" t="s">
        <v>10589</v>
      </c>
      <c r="AE555" t="s">
        <v>10590</v>
      </c>
      <c r="AF555" t="s">
        <v>74</v>
      </c>
      <c r="AG555">
        <v>85</v>
      </c>
      <c r="AH555">
        <v>34</v>
      </c>
      <c r="AI555">
        <v>43</v>
      </c>
      <c r="AJ555">
        <v>5</v>
      </c>
      <c r="AK555">
        <v>79</v>
      </c>
      <c r="AL555" t="s">
        <v>250</v>
      </c>
      <c r="AM555" t="s">
        <v>413</v>
      </c>
      <c r="AN555" t="s">
        <v>490</v>
      </c>
      <c r="AO555" t="s">
        <v>5295</v>
      </c>
      <c r="AP555" t="s">
        <v>5296</v>
      </c>
      <c r="AQ555" t="s">
        <v>74</v>
      </c>
      <c r="AR555" t="s">
        <v>5297</v>
      </c>
      <c r="AS555" t="s">
        <v>5298</v>
      </c>
      <c r="AT555" t="s">
        <v>9913</v>
      </c>
      <c r="AU555">
        <v>2011</v>
      </c>
      <c r="AV555">
        <v>34</v>
      </c>
      <c r="AW555">
        <v>11</v>
      </c>
      <c r="AX555" t="s">
        <v>74</v>
      </c>
      <c r="AY555" t="s">
        <v>74</v>
      </c>
      <c r="AZ555" t="s">
        <v>74</v>
      </c>
      <c r="BA555" t="s">
        <v>74</v>
      </c>
      <c r="BB555">
        <v>1701</v>
      </c>
      <c r="BC555">
        <v>1711</v>
      </c>
      <c r="BD555" t="s">
        <v>74</v>
      </c>
      <c r="BE555" t="s">
        <v>10591</v>
      </c>
      <c r="BF555" t="str">
        <f>HYPERLINK("http://dx.doi.org/10.1007/s00300-011-1021-2","http://dx.doi.org/10.1007/s00300-011-1021-2")</f>
        <v>http://dx.doi.org/10.1007/s00300-011-1021-2</v>
      </c>
      <c r="BG555" t="s">
        <v>74</v>
      </c>
      <c r="BH555" t="s">
        <v>74</v>
      </c>
      <c r="BI555">
        <v>11</v>
      </c>
      <c r="BJ555" t="s">
        <v>5300</v>
      </c>
      <c r="BK555" t="s">
        <v>100</v>
      </c>
      <c r="BL555" t="s">
        <v>3505</v>
      </c>
      <c r="BM555" t="s">
        <v>10574</v>
      </c>
      <c r="BN555" t="s">
        <v>74</v>
      </c>
      <c r="BO555" t="s">
        <v>74</v>
      </c>
      <c r="BP555" t="s">
        <v>74</v>
      </c>
      <c r="BQ555" t="s">
        <v>74</v>
      </c>
      <c r="BR555" t="s">
        <v>102</v>
      </c>
      <c r="BS555" t="s">
        <v>10592</v>
      </c>
      <c r="BT555" t="str">
        <f>HYPERLINK("https%3A%2F%2Fwww.webofscience.com%2Fwos%2Fwoscc%2Ffull-record%2FWOS:000297202900008","View Full Record in Web of Science")</f>
        <v>View Full Record in Web of Science</v>
      </c>
    </row>
    <row r="556" spans="1:72" x14ac:dyDescent="0.15">
      <c r="A556" t="s">
        <v>72</v>
      </c>
      <c r="B556" t="s">
        <v>10593</v>
      </c>
      <c r="C556" t="s">
        <v>74</v>
      </c>
      <c r="D556" t="s">
        <v>74</v>
      </c>
      <c r="E556" t="s">
        <v>74</v>
      </c>
      <c r="F556" t="s">
        <v>10594</v>
      </c>
      <c r="G556" t="s">
        <v>74</v>
      </c>
      <c r="H556" t="s">
        <v>74</v>
      </c>
      <c r="I556" t="s">
        <v>10595</v>
      </c>
      <c r="J556" t="s">
        <v>5283</v>
      </c>
      <c r="K556" t="s">
        <v>74</v>
      </c>
      <c r="L556" t="s">
        <v>74</v>
      </c>
      <c r="M556" t="s">
        <v>78</v>
      </c>
      <c r="N556" t="s">
        <v>79</v>
      </c>
      <c r="O556" t="s">
        <v>74</v>
      </c>
      <c r="P556" t="s">
        <v>74</v>
      </c>
      <c r="Q556" t="s">
        <v>74</v>
      </c>
      <c r="R556" t="s">
        <v>74</v>
      </c>
      <c r="S556" t="s">
        <v>74</v>
      </c>
      <c r="T556" t="s">
        <v>10596</v>
      </c>
      <c r="U556" t="s">
        <v>10597</v>
      </c>
      <c r="V556" t="s">
        <v>10598</v>
      </c>
      <c r="W556" t="s">
        <v>10599</v>
      </c>
      <c r="X556" t="s">
        <v>10600</v>
      </c>
      <c r="Y556" t="s">
        <v>10601</v>
      </c>
      <c r="Z556" t="s">
        <v>10602</v>
      </c>
      <c r="AA556" t="s">
        <v>10603</v>
      </c>
      <c r="AB556" t="s">
        <v>10604</v>
      </c>
      <c r="AC556" t="s">
        <v>10605</v>
      </c>
      <c r="AD556" t="s">
        <v>10606</v>
      </c>
      <c r="AE556" t="s">
        <v>10607</v>
      </c>
      <c r="AF556" t="s">
        <v>74</v>
      </c>
      <c r="AG556">
        <v>41</v>
      </c>
      <c r="AH556">
        <v>25</v>
      </c>
      <c r="AI556">
        <v>26</v>
      </c>
      <c r="AJ556">
        <v>0</v>
      </c>
      <c r="AK556">
        <v>28</v>
      </c>
      <c r="AL556" t="s">
        <v>250</v>
      </c>
      <c r="AM556" t="s">
        <v>413</v>
      </c>
      <c r="AN556" t="s">
        <v>490</v>
      </c>
      <c r="AO556" t="s">
        <v>5295</v>
      </c>
      <c r="AP556" t="s">
        <v>5296</v>
      </c>
      <c r="AQ556" t="s">
        <v>74</v>
      </c>
      <c r="AR556" t="s">
        <v>5297</v>
      </c>
      <c r="AS556" t="s">
        <v>5298</v>
      </c>
      <c r="AT556" t="s">
        <v>9913</v>
      </c>
      <c r="AU556">
        <v>2011</v>
      </c>
      <c r="AV556">
        <v>34</v>
      </c>
      <c r="AW556">
        <v>11</v>
      </c>
      <c r="AX556" t="s">
        <v>74</v>
      </c>
      <c r="AY556" t="s">
        <v>74</v>
      </c>
      <c r="AZ556" t="s">
        <v>74</v>
      </c>
      <c r="BA556" t="s">
        <v>74</v>
      </c>
      <c r="BB556">
        <v>1739</v>
      </c>
      <c r="BC556">
        <v>1750</v>
      </c>
      <c r="BD556" t="s">
        <v>74</v>
      </c>
      <c r="BE556" t="s">
        <v>10608</v>
      </c>
      <c r="BF556" t="str">
        <f>HYPERLINK("http://dx.doi.org/10.1007/s00300-011-1024-z","http://dx.doi.org/10.1007/s00300-011-1024-z")</f>
        <v>http://dx.doi.org/10.1007/s00300-011-1024-z</v>
      </c>
      <c r="BG556" t="s">
        <v>74</v>
      </c>
      <c r="BH556" t="s">
        <v>74</v>
      </c>
      <c r="BI556">
        <v>12</v>
      </c>
      <c r="BJ556" t="s">
        <v>5300</v>
      </c>
      <c r="BK556" t="s">
        <v>100</v>
      </c>
      <c r="BL556" t="s">
        <v>3505</v>
      </c>
      <c r="BM556" t="s">
        <v>10574</v>
      </c>
      <c r="BN556" t="s">
        <v>74</v>
      </c>
      <c r="BO556" t="s">
        <v>74</v>
      </c>
      <c r="BP556" t="s">
        <v>74</v>
      </c>
      <c r="BQ556" t="s">
        <v>74</v>
      </c>
      <c r="BR556" t="s">
        <v>102</v>
      </c>
      <c r="BS556" t="s">
        <v>10609</v>
      </c>
      <c r="BT556" t="str">
        <f>HYPERLINK("https%3A%2F%2Fwww.webofscience.com%2Fwos%2Fwoscc%2Ffull-record%2FWOS:000297202900011","View Full Record in Web of Science")</f>
        <v>View Full Record in Web of Science</v>
      </c>
    </row>
    <row r="557" spans="1:72" x14ac:dyDescent="0.15">
      <c r="A557" t="s">
        <v>72</v>
      </c>
      <c r="B557" t="s">
        <v>10610</v>
      </c>
      <c r="C557" t="s">
        <v>74</v>
      </c>
      <c r="D557" t="s">
        <v>74</v>
      </c>
      <c r="E557" t="s">
        <v>74</v>
      </c>
      <c r="F557" t="s">
        <v>10611</v>
      </c>
      <c r="G557" t="s">
        <v>74</v>
      </c>
      <c r="H557" t="s">
        <v>74</v>
      </c>
      <c r="I557" t="s">
        <v>10612</v>
      </c>
      <c r="J557" t="s">
        <v>8925</v>
      </c>
      <c r="K557" t="s">
        <v>74</v>
      </c>
      <c r="L557" t="s">
        <v>74</v>
      </c>
      <c r="M557" t="s">
        <v>78</v>
      </c>
      <c r="N557" t="s">
        <v>79</v>
      </c>
      <c r="O557" t="s">
        <v>74</v>
      </c>
      <c r="P557" t="s">
        <v>74</v>
      </c>
      <c r="Q557" t="s">
        <v>74</v>
      </c>
      <c r="R557" t="s">
        <v>74</v>
      </c>
      <c r="S557" t="s">
        <v>74</v>
      </c>
      <c r="T557" t="s">
        <v>10613</v>
      </c>
      <c r="U557" t="s">
        <v>10614</v>
      </c>
      <c r="V557" t="s">
        <v>10615</v>
      </c>
      <c r="W557" t="s">
        <v>10616</v>
      </c>
      <c r="X557" t="s">
        <v>10617</v>
      </c>
      <c r="Y557" t="s">
        <v>10618</v>
      </c>
      <c r="Z557" t="s">
        <v>10619</v>
      </c>
      <c r="AA557" t="s">
        <v>10620</v>
      </c>
      <c r="AB557" t="s">
        <v>10621</v>
      </c>
      <c r="AC557" t="s">
        <v>10622</v>
      </c>
      <c r="AD557" t="s">
        <v>10623</v>
      </c>
      <c r="AE557" t="s">
        <v>10624</v>
      </c>
      <c r="AF557" t="s">
        <v>74</v>
      </c>
      <c r="AG557">
        <v>44</v>
      </c>
      <c r="AH557">
        <v>21</v>
      </c>
      <c r="AI557">
        <v>25</v>
      </c>
      <c r="AJ557">
        <v>0</v>
      </c>
      <c r="AK557">
        <v>15</v>
      </c>
      <c r="AL557" t="s">
        <v>155</v>
      </c>
      <c r="AM557" t="s">
        <v>156</v>
      </c>
      <c r="AN557" t="s">
        <v>157</v>
      </c>
      <c r="AO557" t="s">
        <v>8938</v>
      </c>
      <c r="AP557" t="s">
        <v>74</v>
      </c>
      <c r="AQ557" t="s">
        <v>74</v>
      </c>
      <c r="AR557" t="s">
        <v>8939</v>
      </c>
      <c r="AS557" t="s">
        <v>8940</v>
      </c>
      <c r="AT557" t="s">
        <v>9913</v>
      </c>
      <c r="AU557">
        <v>2011</v>
      </c>
      <c r="AV557">
        <v>30</v>
      </c>
      <c r="AW557" t="s">
        <v>9128</v>
      </c>
      <c r="AX557" t="s">
        <v>74</v>
      </c>
      <c r="AY557" t="s">
        <v>74</v>
      </c>
      <c r="AZ557" t="s">
        <v>74</v>
      </c>
      <c r="BA557" t="s">
        <v>74</v>
      </c>
      <c r="BB557">
        <v>3280</v>
      </c>
      <c r="BC557">
        <v>3289</v>
      </c>
      <c r="BD557" t="s">
        <v>74</v>
      </c>
      <c r="BE557" t="s">
        <v>10625</v>
      </c>
      <c r="BF557" t="str">
        <f>HYPERLINK("http://dx.doi.org/10.1016/j.quascirev.2011.07.013","http://dx.doi.org/10.1016/j.quascirev.2011.07.013")</f>
        <v>http://dx.doi.org/10.1016/j.quascirev.2011.07.013</v>
      </c>
      <c r="BG557" t="s">
        <v>74</v>
      </c>
      <c r="BH557" t="s">
        <v>74</v>
      </c>
      <c r="BI557">
        <v>10</v>
      </c>
      <c r="BJ557" t="s">
        <v>226</v>
      </c>
      <c r="BK557" t="s">
        <v>100</v>
      </c>
      <c r="BL557" t="s">
        <v>227</v>
      </c>
      <c r="BM557" t="s">
        <v>10626</v>
      </c>
      <c r="BN557" t="s">
        <v>74</v>
      </c>
      <c r="BO557" t="s">
        <v>74</v>
      </c>
      <c r="BP557" t="s">
        <v>74</v>
      </c>
      <c r="BQ557" t="s">
        <v>74</v>
      </c>
      <c r="BR557" t="s">
        <v>102</v>
      </c>
      <c r="BS557" t="s">
        <v>10627</v>
      </c>
      <c r="BT557" t="str">
        <f>HYPERLINK("https%3A%2F%2Fwww.webofscience.com%2Fwos%2Fwoscc%2Ffull-record%2FWOS:000297187900006","View Full Record in Web of Science")</f>
        <v>View Full Record in Web of Science</v>
      </c>
    </row>
    <row r="558" spans="1:72" x14ac:dyDescent="0.15">
      <c r="A558" t="s">
        <v>72</v>
      </c>
      <c r="B558" t="s">
        <v>10628</v>
      </c>
      <c r="C558" t="s">
        <v>74</v>
      </c>
      <c r="D558" t="s">
        <v>74</v>
      </c>
      <c r="E558" t="s">
        <v>74</v>
      </c>
      <c r="F558" t="s">
        <v>10628</v>
      </c>
      <c r="G558" t="s">
        <v>74</v>
      </c>
      <c r="H558" t="s">
        <v>74</v>
      </c>
      <c r="I558" t="s">
        <v>10629</v>
      </c>
      <c r="J558" t="s">
        <v>10630</v>
      </c>
      <c r="K558" t="s">
        <v>74</v>
      </c>
      <c r="L558" t="s">
        <v>74</v>
      </c>
      <c r="M558" t="s">
        <v>78</v>
      </c>
      <c r="N558" t="s">
        <v>10118</v>
      </c>
      <c r="O558" t="s">
        <v>74</v>
      </c>
      <c r="P558" t="s">
        <v>74</v>
      </c>
      <c r="Q558" t="s">
        <v>74</v>
      </c>
      <c r="R558" t="s">
        <v>74</v>
      </c>
      <c r="S558" t="s">
        <v>74</v>
      </c>
      <c r="T558" t="s">
        <v>74</v>
      </c>
      <c r="U558" t="s">
        <v>74</v>
      </c>
      <c r="V558" t="s">
        <v>74</v>
      </c>
      <c r="W558" t="s">
        <v>74</v>
      </c>
      <c r="X558" t="s">
        <v>74</v>
      </c>
      <c r="Y558" t="s">
        <v>74</v>
      </c>
      <c r="Z558" t="s">
        <v>74</v>
      </c>
      <c r="AA558" t="s">
        <v>74</v>
      </c>
      <c r="AB558" t="s">
        <v>74</v>
      </c>
      <c r="AC558" t="s">
        <v>74</v>
      </c>
      <c r="AD558" t="s">
        <v>74</v>
      </c>
      <c r="AE558" t="s">
        <v>74</v>
      </c>
      <c r="AF558" t="s">
        <v>74</v>
      </c>
      <c r="AG558">
        <v>0</v>
      </c>
      <c r="AH558">
        <v>0</v>
      </c>
      <c r="AI558">
        <v>0</v>
      </c>
      <c r="AJ558">
        <v>0</v>
      </c>
      <c r="AK558">
        <v>0</v>
      </c>
      <c r="AL558" t="s">
        <v>795</v>
      </c>
      <c r="AM558" t="s">
        <v>1468</v>
      </c>
      <c r="AN558" t="s">
        <v>1469</v>
      </c>
      <c r="AO558" t="s">
        <v>10631</v>
      </c>
      <c r="AP558" t="s">
        <v>74</v>
      </c>
      <c r="AQ558" t="s">
        <v>74</v>
      </c>
      <c r="AR558" t="s">
        <v>10630</v>
      </c>
      <c r="AS558" t="s">
        <v>10632</v>
      </c>
      <c r="AT558" t="s">
        <v>9913</v>
      </c>
      <c r="AU558">
        <v>2011</v>
      </c>
      <c r="AV558">
        <v>66</v>
      </c>
      <c r="AW558">
        <v>11</v>
      </c>
      <c r="AX558" t="s">
        <v>74</v>
      </c>
      <c r="AY558" t="s">
        <v>74</v>
      </c>
      <c r="AZ558" t="s">
        <v>74</v>
      </c>
      <c r="BA558" t="s">
        <v>74</v>
      </c>
      <c r="BB558">
        <v>286</v>
      </c>
      <c r="BC558">
        <v>286</v>
      </c>
      <c r="BD558" t="s">
        <v>74</v>
      </c>
      <c r="BE558" t="s">
        <v>74</v>
      </c>
      <c r="BF558" t="s">
        <v>74</v>
      </c>
      <c r="BG558" t="s">
        <v>74</v>
      </c>
      <c r="BH558" t="s">
        <v>74</v>
      </c>
      <c r="BI558">
        <v>1</v>
      </c>
      <c r="BJ558" t="s">
        <v>463</v>
      </c>
      <c r="BK558" t="s">
        <v>100</v>
      </c>
      <c r="BL558" t="s">
        <v>463</v>
      </c>
      <c r="BM558" t="s">
        <v>10633</v>
      </c>
      <c r="BN558" t="s">
        <v>74</v>
      </c>
      <c r="BO558" t="s">
        <v>74</v>
      </c>
      <c r="BP558" t="s">
        <v>74</v>
      </c>
      <c r="BQ558" t="s">
        <v>74</v>
      </c>
      <c r="BR558" t="s">
        <v>102</v>
      </c>
      <c r="BS558" t="s">
        <v>10634</v>
      </c>
      <c r="BT558" t="str">
        <f>HYPERLINK("https%3A%2F%2Fwww.webofscience.com%2Fwos%2Fwoscc%2Ffull-record%2FWOS:000297018000002","View Full Record in Web of Science")</f>
        <v>View Full Record in Web of Science</v>
      </c>
    </row>
    <row r="559" spans="1:72" x14ac:dyDescent="0.15">
      <c r="A559" t="s">
        <v>72</v>
      </c>
      <c r="B559" t="s">
        <v>10635</v>
      </c>
      <c r="C559" t="s">
        <v>74</v>
      </c>
      <c r="D559" t="s">
        <v>74</v>
      </c>
      <c r="E559" t="s">
        <v>74</v>
      </c>
      <c r="F559" t="s">
        <v>10636</v>
      </c>
      <c r="G559" t="s">
        <v>74</v>
      </c>
      <c r="H559" t="s">
        <v>74</v>
      </c>
      <c r="I559" t="s">
        <v>10637</v>
      </c>
      <c r="J559" t="s">
        <v>972</v>
      </c>
      <c r="K559" t="s">
        <v>74</v>
      </c>
      <c r="L559" t="s">
        <v>74</v>
      </c>
      <c r="M559" t="s">
        <v>78</v>
      </c>
      <c r="N559" t="s">
        <v>79</v>
      </c>
      <c r="O559" t="s">
        <v>74</v>
      </c>
      <c r="P559" t="s">
        <v>74</v>
      </c>
      <c r="Q559" t="s">
        <v>74</v>
      </c>
      <c r="R559" t="s">
        <v>74</v>
      </c>
      <c r="S559" t="s">
        <v>74</v>
      </c>
      <c r="T559" t="s">
        <v>74</v>
      </c>
      <c r="U559" t="s">
        <v>10638</v>
      </c>
      <c r="V559" t="s">
        <v>10639</v>
      </c>
      <c r="W559" t="s">
        <v>10640</v>
      </c>
      <c r="X559" t="s">
        <v>10641</v>
      </c>
      <c r="Y559" t="s">
        <v>10642</v>
      </c>
      <c r="Z559" t="s">
        <v>10643</v>
      </c>
      <c r="AA559" t="s">
        <v>74</v>
      </c>
      <c r="AB559" t="s">
        <v>10644</v>
      </c>
      <c r="AC559" t="s">
        <v>10645</v>
      </c>
      <c r="AD559" t="s">
        <v>10646</v>
      </c>
      <c r="AE559" t="s">
        <v>10647</v>
      </c>
      <c r="AF559" t="s">
        <v>74</v>
      </c>
      <c r="AG559">
        <v>35</v>
      </c>
      <c r="AH559">
        <v>8</v>
      </c>
      <c r="AI559">
        <v>8</v>
      </c>
      <c r="AJ559">
        <v>0</v>
      </c>
      <c r="AK559">
        <v>14</v>
      </c>
      <c r="AL559" t="s">
        <v>984</v>
      </c>
      <c r="AM559" t="s">
        <v>985</v>
      </c>
      <c r="AN559" t="s">
        <v>986</v>
      </c>
      <c r="AO559" t="s">
        <v>987</v>
      </c>
      <c r="AP559" t="s">
        <v>74</v>
      </c>
      <c r="AQ559" t="s">
        <v>74</v>
      </c>
      <c r="AR559" t="s">
        <v>989</v>
      </c>
      <c r="AS559" t="s">
        <v>990</v>
      </c>
      <c r="AT559" t="s">
        <v>9913</v>
      </c>
      <c r="AU559">
        <v>2011</v>
      </c>
      <c r="AV559">
        <v>77</v>
      </c>
      <c r="AW559">
        <v>22</v>
      </c>
      <c r="AX559" t="s">
        <v>74</v>
      </c>
      <c r="AY559" t="s">
        <v>74</v>
      </c>
      <c r="AZ559" t="s">
        <v>74</v>
      </c>
      <c r="BA559" t="s">
        <v>74</v>
      </c>
      <c r="BB559">
        <v>7896</v>
      </c>
      <c r="BC559">
        <v>7904</v>
      </c>
      <c r="BD559" t="s">
        <v>74</v>
      </c>
      <c r="BE559" t="s">
        <v>10648</v>
      </c>
      <c r="BF559" t="str">
        <f>HYPERLINK("http://dx.doi.org/10.1128/AEM.05683-11","http://dx.doi.org/10.1128/AEM.05683-11")</f>
        <v>http://dx.doi.org/10.1128/AEM.05683-11</v>
      </c>
      <c r="BG559" t="s">
        <v>74</v>
      </c>
      <c r="BH559" t="s">
        <v>74</v>
      </c>
      <c r="BI559">
        <v>9</v>
      </c>
      <c r="BJ559" t="s">
        <v>595</v>
      </c>
      <c r="BK559" t="s">
        <v>100</v>
      </c>
      <c r="BL559" t="s">
        <v>595</v>
      </c>
      <c r="BM559" t="s">
        <v>10649</v>
      </c>
      <c r="BN559">
        <v>21926201</v>
      </c>
      <c r="BO559" t="s">
        <v>6160</v>
      </c>
      <c r="BP559" t="s">
        <v>74</v>
      </c>
      <c r="BQ559" t="s">
        <v>74</v>
      </c>
      <c r="BR559" t="s">
        <v>102</v>
      </c>
      <c r="BS559" t="s">
        <v>10650</v>
      </c>
      <c r="BT559" t="str">
        <f>HYPERLINK("https%3A%2F%2Fwww.webofscience.com%2Fwos%2Fwoscc%2Ffull-record%2FWOS:000296760200003","View Full Record in Web of Science")</f>
        <v>View Full Record in Web of Science</v>
      </c>
    </row>
    <row r="560" spans="1:72" x14ac:dyDescent="0.15">
      <c r="A560" t="s">
        <v>72</v>
      </c>
      <c r="B560" t="s">
        <v>10651</v>
      </c>
      <c r="C560" t="s">
        <v>74</v>
      </c>
      <c r="D560" t="s">
        <v>74</v>
      </c>
      <c r="E560" t="s">
        <v>74</v>
      </c>
      <c r="F560" t="s">
        <v>10652</v>
      </c>
      <c r="G560" t="s">
        <v>74</v>
      </c>
      <c r="H560" t="s">
        <v>74</v>
      </c>
      <c r="I560" t="s">
        <v>10653</v>
      </c>
      <c r="J560" t="s">
        <v>10654</v>
      </c>
      <c r="K560" t="s">
        <v>74</v>
      </c>
      <c r="L560" t="s">
        <v>74</v>
      </c>
      <c r="M560" t="s">
        <v>78</v>
      </c>
      <c r="N560" t="s">
        <v>79</v>
      </c>
      <c r="O560" t="s">
        <v>74</v>
      </c>
      <c r="P560" t="s">
        <v>74</v>
      </c>
      <c r="Q560" t="s">
        <v>74</v>
      </c>
      <c r="R560" t="s">
        <v>74</v>
      </c>
      <c r="S560" t="s">
        <v>74</v>
      </c>
      <c r="T560" t="s">
        <v>10655</v>
      </c>
      <c r="U560" t="s">
        <v>10656</v>
      </c>
      <c r="V560" t="s">
        <v>10657</v>
      </c>
      <c r="W560" t="s">
        <v>10658</v>
      </c>
      <c r="X560" t="s">
        <v>10659</v>
      </c>
      <c r="Y560" t="s">
        <v>10660</v>
      </c>
      <c r="Z560" t="s">
        <v>10661</v>
      </c>
      <c r="AA560" t="s">
        <v>10662</v>
      </c>
      <c r="AB560" t="s">
        <v>10663</v>
      </c>
      <c r="AC560" t="s">
        <v>10664</v>
      </c>
      <c r="AD560" t="s">
        <v>10665</v>
      </c>
      <c r="AE560" t="s">
        <v>10666</v>
      </c>
      <c r="AF560" t="s">
        <v>74</v>
      </c>
      <c r="AG560">
        <v>41</v>
      </c>
      <c r="AH560">
        <v>15</v>
      </c>
      <c r="AI560">
        <v>15</v>
      </c>
      <c r="AJ560">
        <v>0</v>
      </c>
      <c r="AK560">
        <v>10</v>
      </c>
      <c r="AL560" t="s">
        <v>279</v>
      </c>
      <c r="AM560" t="s">
        <v>280</v>
      </c>
      <c r="AN560" t="s">
        <v>281</v>
      </c>
      <c r="AO560" t="s">
        <v>10667</v>
      </c>
      <c r="AP560" t="s">
        <v>10668</v>
      </c>
      <c r="AQ560" t="s">
        <v>74</v>
      </c>
      <c r="AR560" t="s">
        <v>10669</v>
      </c>
      <c r="AS560" t="s">
        <v>10670</v>
      </c>
      <c r="AT560" t="s">
        <v>9913</v>
      </c>
      <c r="AU560">
        <v>2011</v>
      </c>
      <c r="AV560">
        <v>56</v>
      </c>
      <c r="AW560">
        <v>32</v>
      </c>
      <c r="AX560" t="s">
        <v>74</v>
      </c>
      <c r="AY560" t="s">
        <v>74</v>
      </c>
      <c r="AZ560" t="s">
        <v>74</v>
      </c>
      <c r="BA560" t="s">
        <v>74</v>
      </c>
      <c r="BB560">
        <v>3474</v>
      </c>
      <c r="BC560">
        <v>3479</v>
      </c>
      <c r="BD560" t="s">
        <v>74</v>
      </c>
      <c r="BE560" t="s">
        <v>10671</v>
      </c>
      <c r="BF560" t="str">
        <f>HYPERLINK("http://dx.doi.org/10.1007/s11434-011-4640-7","http://dx.doi.org/10.1007/s11434-011-4640-7")</f>
        <v>http://dx.doi.org/10.1007/s11434-011-4640-7</v>
      </c>
      <c r="BG560" t="s">
        <v>74</v>
      </c>
      <c r="BH560" t="s">
        <v>74</v>
      </c>
      <c r="BI560">
        <v>6</v>
      </c>
      <c r="BJ560" t="s">
        <v>6182</v>
      </c>
      <c r="BK560" t="s">
        <v>100</v>
      </c>
      <c r="BL560" t="s">
        <v>6183</v>
      </c>
      <c r="BM560" t="s">
        <v>10672</v>
      </c>
      <c r="BN560" t="s">
        <v>74</v>
      </c>
      <c r="BO560" t="s">
        <v>365</v>
      </c>
      <c r="BP560" t="s">
        <v>74</v>
      </c>
      <c r="BQ560" t="s">
        <v>74</v>
      </c>
      <c r="BR560" t="s">
        <v>102</v>
      </c>
      <c r="BS560" t="s">
        <v>10673</v>
      </c>
      <c r="BT560" t="str">
        <f>HYPERLINK("https%3A%2F%2Fwww.webofscience.com%2Fwos%2Fwoscc%2Ffull-record%2FWOS:000296641800020","View Full Record in Web of Science")</f>
        <v>View Full Record in Web of Science</v>
      </c>
    </row>
    <row r="561" spans="1:72" x14ac:dyDescent="0.15">
      <c r="A561" t="s">
        <v>72</v>
      </c>
      <c r="B561" t="s">
        <v>10674</v>
      </c>
      <c r="C561" t="s">
        <v>74</v>
      </c>
      <c r="D561" t="s">
        <v>74</v>
      </c>
      <c r="E561" t="s">
        <v>74</v>
      </c>
      <c r="F561" t="s">
        <v>10675</v>
      </c>
      <c r="G561" t="s">
        <v>74</v>
      </c>
      <c r="H561" t="s">
        <v>74</v>
      </c>
      <c r="I561" t="s">
        <v>10676</v>
      </c>
      <c r="J561" t="s">
        <v>10677</v>
      </c>
      <c r="K561" t="s">
        <v>74</v>
      </c>
      <c r="L561" t="s">
        <v>74</v>
      </c>
      <c r="M561" t="s">
        <v>78</v>
      </c>
      <c r="N561" t="s">
        <v>79</v>
      </c>
      <c r="O561" t="s">
        <v>74</v>
      </c>
      <c r="P561" t="s">
        <v>74</v>
      </c>
      <c r="Q561" t="s">
        <v>74</v>
      </c>
      <c r="R561" t="s">
        <v>74</v>
      </c>
      <c r="S561" t="s">
        <v>74</v>
      </c>
      <c r="T561" t="s">
        <v>10678</v>
      </c>
      <c r="U561" t="s">
        <v>10679</v>
      </c>
      <c r="V561" t="s">
        <v>10680</v>
      </c>
      <c r="W561" t="s">
        <v>10681</v>
      </c>
      <c r="X561" t="s">
        <v>10682</v>
      </c>
      <c r="Y561" t="s">
        <v>10683</v>
      </c>
      <c r="Z561" t="s">
        <v>10684</v>
      </c>
      <c r="AA561" t="s">
        <v>10685</v>
      </c>
      <c r="AB561" t="s">
        <v>10686</v>
      </c>
      <c r="AC561" t="s">
        <v>10687</v>
      </c>
      <c r="AD561" t="s">
        <v>10688</v>
      </c>
      <c r="AE561" t="s">
        <v>10689</v>
      </c>
      <c r="AF561" t="s">
        <v>74</v>
      </c>
      <c r="AG561">
        <v>39</v>
      </c>
      <c r="AH561">
        <v>16</v>
      </c>
      <c r="AI561">
        <v>18</v>
      </c>
      <c r="AJ561">
        <v>1</v>
      </c>
      <c r="AK561">
        <v>39</v>
      </c>
      <c r="AL561" t="s">
        <v>795</v>
      </c>
      <c r="AM561" t="s">
        <v>1468</v>
      </c>
      <c r="AN561" t="s">
        <v>1469</v>
      </c>
      <c r="AO561" t="s">
        <v>10690</v>
      </c>
      <c r="AP561" t="s">
        <v>74</v>
      </c>
      <c r="AQ561" t="s">
        <v>74</v>
      </c>
      <c r="AR561" t="s">
        <v>10691</v>
      </c>
      <c r="AS561" t="s">
        <v>10692</v>
      </c>
      <c r="AT561" t="s">
        <v>9913</v>
      </c>
      <c r="AU561">
        <v>2011</v>
      </c>
      <c r="AV561">
        <v>78</v>
      </c>
      <c r="AW561">
        <v>2</v>
      </c>
      <c r="AX561" t="s">
        <v>74</v>
      </c>
      <c r="AY561" t="s">
        <v>74</v>
      </c>
      <c r="AZ561" t="s">
        <v>74</v>
      </c>
      <c r="BA561" t="s">
        <v>74</v>
      </c>
      <c r="BB561">
        <v>376</v>
      </c>
      <c r="BC561">
        <v>385</v>
      </c>
      <c r="BD561" t="s">
        <v>74</v>
      </c>
      <c r="BE561" t="s">
        <v>10693</v>
      </c>
      <c r="BF561" t="str">
        <f>HYPERLINK("http://dx.doi.org/10.1111/j.1574-6941.2011.01171.x","http://dx.doi.org/10.1111/j.1574-6941.2011.01171.x")</f>
        <v>http://dx.doi.org/10.1111/j.1574-6941.2011.01171.x</v>
      </c>
      <c r="BG561" t="s">
        <v>74</v>
      </c>
      <c r="BH561" t="s">
        <v>74</v>
      </c>
      <c r="BI561">
        <v>10</v>
      </c>
      <c r="BJ561" t="s">
        <v>3089</v>
      </c>
      <c r="BK561" t="s">
        <v>100</v>
      </c>
      <c r="BL561" t="s">
        <v>3089</v>
      </c>
      <c r="BM561" t="s">
        <v>10694</v>
      </c>
      <c r="BN561">
        <v>22092175</v>
      </c>
      <c r="BO561" t="s">
        <v>74</v>
      </c>
      <c r="BP561" t="s">
        <v>74</v>
      </c>
      <c r="BQ561" t="s">
        <v>74</v>
      </c>
      <c r="BR561" t="s">
        <v>102</v>
      </c>
      <c r="BS561" t="s">
        <v>10695</v>
      </c>
      <c r="BT561" t="str">
        <f>HYPERLINK("https%3A%2F%2Fwww.webofscience.com%2Fwos%2Fwoscc%2Ffull-record%2FWOS:000296849000019","View Full Record in Web of Science")</f>
        <v>View Full Record in Web of Science</v>
      </c>
    </row>
    <row r="562" spans="1:72" x14ac:dyDescent="0.15">
      <c r="A562" t="s">
        <v>72</v>
      </c>
      <c r="B562" t="s">
        <v>10696</v>
      </c>
      <c r="C562" t="s">
        <v>74</v>
      </c>
      <c r="D562" t="s">
        <v>74</v>
      </c>
      <c r="E562" t="s">
        <v>74</v>
      </c>
      <c r="F562" t="s">
        <v>10697</v>
      </c>
      <c r="G562" t="s">
        <v>74</v>
      </c>
      <c r="H562" t="s">
        <v>74</v>
      </c>
      <c r="I562" t="s">
        <v>10698</v>
      </c>
      <c r="J562" t="s">
        <v>10699</v>
      </c>
      <c r="K562" t="s">
        <v>74</v>
      </c>
      <c r="L562" t="s">
        <v>74</v>
      </c>
      <c r="M562" t="s">
        <v>78</v>
      </c>
      <c r="N562" t="s">
        <v>79</v>
      </c>
      <c r="O562" t="s">
        <v>74</v>
      </c>
      <c r="P562" t="s">
        <v>74</v>
      </c>
      <c r="Q562" t="s">
        <v>74</v>
      </c>
      <c r="R562" t="s">
        <v>74</v>
      </c>
      <c r="S562" t="s">
        <v>74</v>
      </c>
      <c r="T562" t="s">
        <v>10700</v>
      </c>
      <c r="U562" t="s">
        <v>10701</v>
      </c>
      <c r="V562" t="s">
        <v>10702</v>
      </c>
      <c r="W562" t="s">
        <v>10703</v>
      </c>
      <c r="X562" t="s">
        <v>10704</v>
      </c>
      <c r="Y562" t="s">
        <v>10705</v>
      </c>
      <c r="Z562" t="s">
        <v>10706</v>
      </c>
      <c r="AA562" t="s">
        <v>10707</v>
      </c>
      <c r="AB562" t="s">
        <v>10708</v>
      </c>
      <c r="AC562" t="s">
        <v>10709</v>
      </c>
      <c r="AD562" t="s">
        <v>10710</v>
      </c>
      <c r="AE562" t="s">
        <v>10711</v>
      </c>
      <c r="AF562" t="s">
        <v>74</v>
      </c>
      <c r="AG562">
        <v>60</v>
      </c>
      <c r="AH562">
        <v>23</v>
      </c>
      <c r="AI562">
        <v>23</v>
      </c>
      <c r="AJ562">
        <v>1</v>
      </c>
      <c r="AK562">
        <v>23</v>
      </c>
      <c r="AL562" t="s">
        <v>813</v>
      </c>
      <c r="AM562" t="s">
        <v>413</v>
      </c>
      <c r="AN562" t="s">
        <v>7426</v>
      </c>
      <c r="AO562" t="s">
        <v>10712</v>
      </c>
      <c r="AP562" t="s">
        <v>10713</v>
      </c>
      <c r="AQ562" t="s">
        <v>74</v>
      </c>
      <c r="AR562" t="s">
        <v>10714</v>
      </c>
      <c r="AS562" t="s">
        <v>10715</v>
      </c>
      <c r="AT562" t="s">
        <v>9913</v>
      </c>
      <c r="AU562">
        <v>2011</v>
      </c>
      <c r="AV562">
        <v>76</v>
      </c>
      <c r="AW562">
        <v>3</v>
      </c>
      <c r="AX562" t="s">
        <v>74</v>
      </c>
      <c r="AY562" t="s">
        <v>74</v>
      </c>
      <c r="AZ562" t="s">
        <v>74</v>
      </c>
      <c r="BA562" t="s">
        <v>74</v>
      </c>
      <c r="BB562">
        <v>441</v>
      </c>
      <c r="BC562">
        <v>451</v>
      </c>
      <c r="BD562" t="s">
        <v>74</v>
      </c>
      <c r="BE562" t="s">
        <v>10716</v>
      </c>
      <c r="BF562" t="str">
        <f>HYPERLINK("http://dx.doi.org/10.1016/j.yqres.2011.06.010","http://dx.doi.org/10.1016/j.yqres.2011.06.010")</f>
        <v>http://dx.doi.org/10.1016/j.yqres.2011.06.010</v>
      </c>
      <c r="BG562" t="s">
        <v>74</v>
      </c>
      <c r="BH562" t="s">
        <v>74</v>
      </c>
      <c r="BI562">
        <v>11</v>
      </c>
      <c r="BJ562" t="s">
        <v>226</v>
      </c>
      <c r="BK562" t="s">
        <v>100</v>
      </c>
      <c r="BL562" t="s">
        <v>227</v>
      </c>
      <c r="BM562" t="s">
        <v>10717</v>
      </c>
      <c r="BN562" t="s">
        <v>74</v>
      </c>
      <c r="BO562" t="s">
        <v>342</v>
      </c>
      <c r="BP562" t="s">
        <v>74</v>
      </c>
      <c r="BQ562" t="s">
        <v>74</v>
      </c>
      <c r="BR562" t="s">
        <v>102</v>
      </c>
      <c r="BS562" t="s">
        <v>10718</v>
      </c>
      <c r="BT562" t="str">
        <f>HYPERLINK("https%3A%2F%2Fwww.webofscience.com%2Fwos%2Fwoscc%2Ffull-record%2FWOS:000296672100017","View Full Record in Web of Science")</f>
        <v>View Full Record in Web of Science</v>
      </c>
    </row>
    <row r="563" spans="1:72" x14ac:dyDescent="0.15">
      <c r="A563" t="s">
        <v>72</v>
      </c>
      <c r="B563" t="s">
        <v>10719</v>
      </c>
      <c r="C563" t="s">
        <v>74</v>
      </c>
      <c r="D563" t="s">
        <v>74</v>
      </c>
      <c r="E563" t="s">
        <v>74</v>
      </c>
      <c r="F563" t="s">
        <v>10720</v>
      </c>
      <c r="G563" t="s">
        <v>74</v>
      </c>
      <c r="H563" t="s">
        <v>74</v>
      </c>
      <c r="I563" t="s">
        <v>10721</v>
      </c>
      <c r="J563" t="s">
        <v>10722</v>
      </c>
      <c r="K563" t="s">
        <v>74</v>
      </c>
      <c r="L563" t="s">
        <v>74</v>
      </c>
      <c r="M563" t="s">
        <v>78</v>
      </c>
      <c r="N563" t="s">
        <v>79</v>
      </c>
      <c r="O563" t="s">
        <v>74</v>
      </c>
      <c r="P563" t="s">
        <v>74</v>
      </c>
      <c r="Q563" t="s">
        <v>74</v>
      </c>
      <c r="R563" t="s">
        <v>74</v>
      </c>
      <c r="S563" t="s">
        <v>74</v>
      </c>
      <c r="T563" t="s">
        <v>74</v>
      </c>
      <c r="U563" t="s">
        <v>10723</v>
      </c>
      <c r="V563" t="s">
        <v>10724</v>
      </c>
      <c r="W563" t="s">
        <v>10725</v>
      </c>
      <c r="X563" t="s">
        <v>10726</v>
      </c>
      <c r="Y563" t="s">
        <v>10727</v>
      </c>
      <c r="Z563" t="s">
        <v>10728</v>
      </c>
      <c r="AA563" t="s">
        <v>10729</v>
      </c>
      <c r="AB563" t="s">
        <v>10730</v>
      </c>
      <c r="AC563" t="s">
        <v>10731</v>
      </c>
      <c r="AD563" t="s">
        <v>10732</v>
      </c>
      <c r="AE563" t="s">
        <v>10733</v>
      </c>
      <c r="AF563" t="s">
        <v>74</v>
      </c>
      <c r="AG563">
        <v>37</v>
      </c>
      <c r="AH563">
        <v>2</v>
      </c>
      <c r="AI563">
        <v>5</v>
      </c>
      <c r="AJ563">
        <v>1</v>
      </c>
      <c r="AK563">
        <v>17</v>
      </c>
      <c r="AL563" t="s">
        <v>1728</v>
      </c>
      <c r="AM563" t="s">
        <v>814</v>
      </c>
      <c r="AN563" t="s">
        <v>1729</v>
      </c>
      <c r="AO563" t="s">
        <v>10734</v>
      </c>
      <c r="AP563" t="s">
        <v>10735</v>
      </c>
      <c r="AQ563" t="s">
        <v>74</v>
      </c>
      <c r="AR563" t="s">
        <v>10736</v>
      </c>
      <c r="AS563" t="s">
        <v>10737</v>
      </c>
      <c r="AT563" t="s">
        <v>9913</v>
      </c>
      <c r="AU563">
        <v>2011</v>
      </c>
      <c r="AV563">
        <v>3</v>
      </c>
      <c r="AW563">
        <v>11</v>
      </c>
      <c r="AX563" t="s">
        <v>74</v>
      </c>
      <c r="AY563" t="s">
        <v>74</v>
      </c>
      <c r="AZ563" t="s">
        <v>74</v>
      </c>
      <c r="BA563" t="s">
        <v>74</v>
      </c>
      <c r="BB563">
        <v>2488</v>
      </c>
      <c r="BC563">
        <v>2494</v>
      </c>
      <c r="BD563" t="s">
        <v>74</v>
      </c>
      <c r="BE563" t="s">
        <v>10738</v>
      </c>
      <c r="BF563" t="str">
        <f>HYPERLINK("http://dx.doi.org/10.1039/c1ay05192j","http://dx.doi.org/10.1039/c1ay05192j")</f>
        <v>http://dx.doi.org/10.1039/c1ay05192j</v>
      </c>
      <c r="BG563" t="s">
        <v>74</v>
      </c>
      <c r="BH563" t="s">
        <v>74</v>
      </c>
      <c r="BI563">
        <v>7</v>
      </c>
      <c r="BJ563" t="s">
        <v>10739</v>
      </c>
      <c r="BK563" t="s">
        <v>100</v>
      </c>
      <c r="BL563" t="s">
        <v>10740</v>
      </c>
      <c r="BM563" t="s">
        <v>10741</v>
      </c>
      <c r="BN563" t="s">
        <v>74</v>
      </c>
      <c r="BO563" t="s">
        <v>74</v>
      </c>
      <c r="BP563" t="s">
        <v>74</v>
      </c>
      <c r="BQ563" t="s">
        <v>74</v>
      </c>
      <c r="BR563" t="s">
        <v>102</v>
      </c>
      <c r="BS563" t="s">
        <v>10742</v>
      </c>
      <c r="BT563" t="str">
        <f>HYPERLINK("https%3A%2F%2Fwww.webofscience.com%2Fwos%2Fwoscc%2Ffull-record%2FWOS:000296614600008","View Full Record in Web of Science")</f>
        <v>View Full Record in Web of Science</v>
      </c>
    </row>
    <row r="564" spans="1:72" x14ac:dyDescent="0.15">
      <c r="A564" t="s">
        <v>72</v>
      </c>
      <c r="B564" t="s">
        <v>10743</v>
      </c>
      <c r="C564" t="s">
        <v>74</v>
      </c>
      <c r="D564" t="s">
        <v>74</v>
      </c>
      <c r="E564" t="s">
        <v>74</v>
      </c>
      <c r="F564" t="s">
        <v>10744</v>
      </c>
      <c r="G564" t="s">
        <v>74</v>
      </c>
      <c r="H564" t="s">
        <v>74</v>
      </c>
      <c r="I564" t="s">
        <v>10745</v>
      </c>
      <c r="J564" t="s">
        <v>10746</v>
      </c>
      <c r="K564" t="s">
        <v>74</v>
      </c>
      <c r="L564" t="s">
        <v>74</v>
      </c>
      <c r="M564" t="s">
        <v>78</v>
      </c>
      <c r="N564" t="s">
        <v>79</v>
      </c>
      <c r="O564" t="s">
        <v>74</v>
      </c>
      <c r="P564" t="s">
        <v>74</v>
      </c>
      <c r="Q564" t="s">
        <v>74</v>
      </c>
      <c r="R564" t="s">
        <v>74</v>
      </c>
      <c r="S564" t="s">
        <v>74</v>
      </c>
      <c r="T564" t="s">
        <v>10747</v>
      </c>
      <c r="U564" t="s">
        <v>10748</v>
      </c>
      <c r="V564" t="s">
        <v>10749</v>
      </c>
      <c r="W564" t="s">
        <v>10750</v>
      </c>
      <c r="X564" t="s">
        <v>10751</v>
      </c>
      <c r="Y564" t="s">
        <v>10752</v>
      </c>
      <c r="Z564" t="s">
        <v>10753</v>
      </c>
      <c r="AA564" t="s">
        <v>10754</v>
      </c>
      <c r="AB564" t="s">
        <v>10755</v>
      </c>
      <c r="AC564" t="s">
        <v>10756</v>
      </c>
      <c r="AD564" t="s">
        <v>10757</v>
      </c>
      <c r="AE564" t="s">
        <v>10758</v>
      </c>
      <c r="AF564" t="s">
        <v>74</v>
      </c>
      <c r="AG564">
        <v>65</v>
      </c>
      <c r="AH564">
        <v>16</v>
      </c>
      <c r="AI564">
        <v>18</v>
      </c>
      <c r="AJ564">
        <v>0</v>
      </c>
      <c r="AK564">
        <v>12</v>
      </c>
      <c r="AL564" t="s">
        <v>1498</v>
      </c>
      <c r="AM564" t="s">
        <v>985</v>
      </c>
      <c r="AN564" t="s">
        <v>1499</v>
      </c>
      <c r="AO564" t="s">
        <v>74</v>
      </c>
      <c r="AP564" t="s">
        <v>10759</v>
      </c>
      <c r="AQ564" t="s">
        <v>74</v>
      </c>
      <c r="AR564" t="s">
        <v>10760</v>
      </c>
      <c r="AS564" t="s">
        <v>10761</v>
      </c>
      <c r="AT564" t="s">
        <v>10343</v>
      </c>
      <c r="AU564">
        <v>2011</v>
      </c>
      <c r="AV564">
        <v>12</v>
      </c>
      <c r="AW564" t="s">
        <v>74</v>
      </c>
      <c r="AX564" t="s">
        <v>74</v>
      </c>
      <c r="AY564" t="s">
        <v>74</v>
      </c>
      <c r="AZ564" t="s">
        <v>74</v>
      </c>
      <c r="BA564" t="s">
        <v>74</v>
      </c>
      <c r="BB564" t="s">
        <v>74</v>
      </c>
      <c r="BC564" t="s">
        <v>74</v>
      </c>
      <c r="BD564" t="s">
        <v>10762</v>
      </c>
      <c r="BE564" t="s">
        <v>10763</v>
      </c>
      <c r="BF564" t="str">
        <f>HYPERLINK("http://dx.doi.org/10.1029/2011GC003810","http://dx.doi.org/10.1029/2011GC003810")</f>
        <v>http://dx.doi.org/10.1029/2011GC003810</v>
      </c>
      <c r="BG564" t="s">
        <v>74</v>
      </c>
      <c r="BH564" t="s">
        <v>74</v>
      </c>
      <c r="BI564">
        <v>24</v>
      </c>
      <c r="BJ564" t="s">
        <v>164</v>
      </c>
      <c r="BK564" t="s">
        <v>100</v>
      </c>
      <c r="BL564" t="s">
        <v>164</v>
      </c>
      <c r="BM564" t="s">
        <v>10764</v>
      </c>
      <c r="BN564" t="s">
        <v>74</v>
      </c>
      <c r="BO564" t="s">
        <v>74</v>
      </c>
      <c r="BP564" t="s">
        <v>74</v>
      </c>
      <c r="BQ564" t="s">
        <v>74</v>
      </c>
      <c r="BR564" t="s">
        <v>102</v>
      </c>
      <c r="BS564" t="s">
        <v>10765</v>
      </c>
      <c r="BT564" t="str">
        <f>HYPERLINK("https%3A%2F%2Fwww.webofscience.com%2Fwos%2Fwoscc%2Ffull-record%2FWOS:000296634100001","View Full Record in Web of Science")</f>
        <v>View Full Record in Web of Science</v>
      </c>
    </row>
    <row r="565" spans="1:72" x14ac:dyDescent="0.15">
      <c r="A565" t="s">
        <v>72</v>
      </c>
      <c r="B565" t="s">
        <v>10766</v>
      </c>
      <c r="C565" t="s">
        <v>74</v>
      </c>
      <c r="D565" t="s">
        <v>74</v>
      </c>
      <c r="E565" t="s">
        <v>74</v>
      </c>
      <c r="F565" t="s">
        <v>10767</v>
      </c>
      <c r="G565" t="s">
        <v>74</v>
      </c>
      <c r="H565" t="s">
        <v>74</v>
      </c>
      <c r="I565" t="s">
        <v>10768</v>
      </c>
      <c r="J565" t="s">
        <v>10769</v>
      </c>
      <c r="K565" t="s">
        <v>74</v>
      </c>
      <c r="L565" t="s">
        <v>74</v>
      </c>
      <c r="M565" t="s">
        <v>78</v>
      </c>
      <c r="N565" t="s">
        <v>79</v>
      </c>
      <c r="O565" t="s">
        <v>74</v>
      </c>
      <c r="P565" t="s">
        <v>74</v>
      </c>
      <c r="Q565" t="s">
        <v>74</v>
      </c>
      <c r="R565" t="s">
        <v>74</v>
      </c>
      <c r="S565" t="s">
        <v>74</v>
      </c>
      <c r="T565" t="s">
        <v>74</v>
      </c>
      <c r="U565" t="s">
        <v>10770</v>
      </c>
      <c r="V565" t="s">
        <v>10771</v>
      </c>
      <c r="W565" t="s">
        <v>10772</v>
      </c>
      <c r="X565" t="s">
        <v>10773</v>
      </c>
      <c r="Y565" t="s">
        <v>10774</v>
      </c>
      <c r="Z565" t="s">
        <v>74</v>
      </c>
      <c r="AA565" t="s">
        <v>74</v>
      </c>
      <c r="AB565" t="s">
        <v>74</v>
      </c>
      <c r="AC565" t="s">
        <v>10775</v>
      </c>
      <c r="AD565" t="s">
        <v>6746</v>
      </c>
      <c r="AE565" t="s">
        <v>10776</v>
      </c>
      <c r="AF565" t="s">
        <v>74</v>
      </c>
      <c r="AG565">
        <v>29</v>
      </c>
      <c r="AH565">
        <v>10</v>
      </c>
      <c r="AI565">
        <v>12</v>
      </c>
      <c r="AJ565">
        <v>0</v>
      </c>
      <c r="AK565">
        <v>6</v>
      </c>
      <c r="AL565" t="s">
        <v>7665</v>
      </c>
      <c r="AM565" t="s">
        <v>7666</v>
      </c>
      <c r="AN565" t="s">
        <v>7667</v>
      </c>
      <c r="AO565" t="s">
        <v>10777</v>
      </c>
      <c r="AP565" t="s">
        <v>74</v>
      </c>
      <c r="AQ565" t="s">
        <v>74</v>
      </c>
      <c r="AR565" t="s">
        <v>10769</v>
      </c>
      <c r="AS565" t="s">
        <v>288</v>
      </c>
      <c r="AT565" t="s">
        <v>9913</v>
      </c>
      <c r="AU565">
        <v>2011</v>
      </c>
      <c r="AV565">
        <v>39</v>
      </c>
      <c r="AW565">
        <v>11</v>
      </c>
      <c r="AX565" t="s">
        <v>74</v>
      </c>
      <c r="AY565" t="s">
        <v>74</v>
      </c>
      <c r="AZ565" t="s">
        <v>74</v>
      </c>
      <c r="BA565" t="s">
        <v>74</v>
      </c>
      <c r="BB565">
        <v>1027</v>
      </c>
      <c r="BC565">
        <v>1030</v>
      </c>
      <c r="BD565" t="s">
        <v>74</v>
      </c>
      <c r="BE565" t="s">
        <v>10778</v>
      </c>
      <c r="BF565" t="str">
        <f>HYPERLINK("http://dx.doi.org/10.1130/G32259.1","http://dx.doi.org/10.1130/G32259.1")</f>
        <v>http://dx.doi.org/10.1130/G32259.1</v>
      </c>
      <c r="BG565" t="s">
        <v>74</v>
      </c>
      <c r="BH565" t="s">
        <v>74</v>
      </c>
      <c r="BI565">
        <v>4</v>
      </c>
      <c r="BJ565" t="s">
        <v>288</v>
      </c>
      <c r="BK565" t="s">
        <v>100</v>
      </c>
      <c r="BL565" t="s">
        <v>288</v>
      </c>
      <c r="BM565" t="s">
        <v>10779</v>
      </c>
      <c r="BN565" t="s">
        <v>74</v>
      </c>
      <c r="BO565" t="s">
        <v>74</v>
      </c>
      <c r="BP565" t="s">
        <v>74</v>
      </c>
      <c r="BQ565" t="s">
        <v>74</v>
      </c>
      <c r="BR565" t="s">
        <v>102</v>
      </c>
      <c r="BS565" t="s">
        <v>10780</v>
      </c>
      <c r="BT565" t="str">
        <f>HYPERLINK("https%3A%2F%2Fwww.webofscience.com%2Fwos%2Fwoscc%2Ffull-record%2FWOS:000296607600011","View Full Record in Web of Science")</f>
        <v>View Full Record in Web of Science</v>
      </c>
    </row>
    <row r="566" spans="1:72" x14ac:dyDescent="0.15">
      <c r="A566" t="s">
        <v>72</v>
      </c>
      <c r="B566" t="s">
        <v>10781</v>
      </c>
      <c r="C566" t="s">
        <v>74</v>
      </c>
      <c r="D566" t="s">
        <v>74</v>
      </c>
      <c r="E566" t="s">
        <v>74</v>
      </c>
      <c r="F566" t="s">
        <v>10782</v>
      </c>
      <c r="G566" t="s">
        <v>74</v>
      </c>
      <c r="H566" t="s">
        <v>74</v>
      </c>
      <c r="I566" t="s">
        <v>10783</v>
      </c>
      <c r="J566" t="s">
        <v>8657</v>
      </c>
      <c r="K566" t="s">
        <v>74</v>
      </c>
      <c r="L566" t="s">
        <v>74</v>
      </c>
      <c r="M566" t="s">
        <v>78</v>
      </c>
      <c r="N566" t="s">
        <v>79</v>
      </c>
      <c r="O566" t="s">
        <v>74</v>
      </c>
      <c r="P566" t="s">
        <v>74</v>
      </c>
      <c r="Q566" t="s">
        <v>74</v>
      </c>
      <c r="R566" t="s">
        <v>74</v>
      </c>
      <c r="S566" t="s">
        <v>74</v>
      </c>
      <c r="T566" t="s">
        <v>10784</v>
      </c>
      <c r="U566" t="s">
        <v>10785</v>
      </c>
      <c r="V566" t="s">
        <v>10786</v>
      </c>
      <c r="W566" t="s">
        <v>10787</v>
      </c>
      <c r="X566" t="s">
        <v>10788</v>
      </c>
      <c r="Y566" t="s">
        <v>10789</v>
      </c>
      <c r="Z566" t="s">
        <v>10790</v>
      </c>
      <c r="AA566" t="s">
        <v>74</v>
      </c>
      <c r="AB566" t="s">
        <v>74</v>
      </c>
      <c r="AC566" t="s">
        <v>10791</v>
      </c>
      <c r="AD566" t="s">
        <v>10792</v>
      </c>
      <c r="AE566" t="s">
        <v>10793</v>
      </c>
      <c r="AF566" t="s">
        <v>74</v>
      </c>
      <c r="AG566">
        <v>79</v>
      </c>
      <c r="AH566">
        <v>40</v>
      </c>
      <c r="AI566">
        <v>46</v>
      </c>
      <c r="AJ566">
        <v>0</v>
      </c>
      <c r="AK566">
        <v>34</v>
      </c>
      <c r="AL566" t="s">
        <v>10794</v>
      </c>
      <c r="AM566" t="s">
        <v>814</v>
      </c>
      <c r="AN566" t="s">
        <v>10795</v>
      </c>
      <c r="AO566" t="s">
        <v>8672</v>
      </c>
      <c r="AP566" t="s">
        <v>74</v>
      </c>
      <c r="AQ566" t="s">
        <v>74</v>
      </c>
      <c r="AR566" t="s">
        <v>8674</v>
      </c>
      <c r="AS566" t="s">
        <v>8675</v>
      </c>
      <c r="AT566" t="s">
        <v>9913</v>
      </c>
      <c r="AU566">
        <v>2011</v>
      </c>
      <c r="AV566">
        <v>214</v>
      </c>
      <c r="AW566">
        <v>22</v>
      </c>
      <c r="AX566" t="s">
        <v>74</v>
      </c>
      <c r="AY566" t="s">
        <v>74</v>
      </c>
      <c r="AZ566" t="s">
        <v>74</v>
      </c>
      <c r="BA566" t="s">
        <v>74</v>
      </c>
      <c r="BB566">
        <v>3732</v>
      </c>
      <c r="BC566">
        <v>3741</v>
      </c>
      <c r="BD566" t="s">
        <v>74</v>
      </c>
      <c r="BE566" t="s">
        <v>10796</v>
      </c>
      <c r="BF566" t="str">
        <f>HYPERLINK("http://dx.doi.org/10.1242/jeb.062042","http://dx.doi.org/10.1242/jeb.062042")</f>
        <v>http://dx.doi.org/10.1242/jeb.062042</v>
      </c>
      <c r="BG566" t="s">
        <v>74</v>
      </c>
      <c r="BH566" t="s">
        <v>74</v>
      </c>
      <c r="BI566">
        <v>10</v>
      </c>
      <c r="BJ566" t="s">
        <v>8677</v>
      </c>
      <c r="BK566" t="s">
        <v>100</v>
      </c>
      <c r="BL566" t="s">
        <v>8678</v>
      </c>
      <c r="BM566" t="s">
        <v>10797</v>
      </c>
      <c r="BN566">
        <v>22031737</v>
      </c>
      <c r="BO566" t="s">
        <v>365</v>
      </c>
      <c r="BP566" t="s">
        <v>74</v>
      </c>
      <c r="BQ566" t="s">
        <v>74</v>
      </c>
      <c r="BR566" t="s">
        <v>102</v>
      </c>
      <c r="BS566" t="s">
        <v>10798</v>
      </c>
      <c r="BT566" t="str">
        <f>HYPERLINK("https%3A%2F%2Fwww.webofscience.com%2Fwos%2Fwoscc%2Ffull-record%2FWOS:000296581500008","View Full Record in Web of Science")</f>
        <v>View Full Record in Web of Science</v>
      </c>
    </row>
    <row r="567" spans="1:72" x14ac:dyDescent="0.15">
      <c r="A567" t="s">
        <v>72</v>
      </c>
      <c r="B567" t="s">
        <v>10799</v>
      </c>
      <c r="C567" t="s">
        <v>74</v>
      </c>
      <c r="D567" t="s">
        <v>74</v>
      </c>
      <c r="E567" t="s">
        <v>74</v>
      </c>
      <c r="F567" t="s">
        <v>10800</v>
      </c>
      <c r="G567" t="s">
        <v>74</v>
      </c>
      <c r="H567" t="s">
        <v>74</v>
      </c>
      <c r="I567" t="s">
        <v>10801</v>
      </c>
      <c r="J567" t="s">
        <v>10802</v>
      </c>
      <c r="K567" t="s">
        <v>74</v>
      </c>
      <c r="L567" t="s">
        <v>74</v>
      </c>
      <c r="M567" t="s">
        <v>78</v>
      </c>
      <c r="N567" t="s">
        <v>79</v>
      </c>
      <c r="O567" t="s">
        <v>74</v>
      </c>
      <c r="P567" t="s">
        <v>74</v>
      </c>
      <c r="Q567" t="s">
        <v>74</v>
      </c>
      <c r="R567" t="s">
        <v>74</v>
      </c>
      <c r="S567" t="s">
        <v>74</v>
      </c>
      <c r="T567" t="s">
        <v>10803</v>
      </c>
      <c r="U567" t="s">
        <v>10804</v>
      </c>
      <c r="V567" t="s">
        <v>10805</v>
      </c>
      <c r="W567" t="s">
        <v>10806</v>
      </c>
      <c r="X567" t="s">
        <v>10807</v>
      </c>
      <c r="Y567" t="s">
        <v>10808</v>
      </c>
      <c r="Z567" t="s">
        <v>10809</v>
      </c>
      <c r="AA567" t="s">
        <v>10810</v>
      </c>
      <c r="AB567" t="s">
        <v>10811</v>
      </c>
      <c r="AC567" t="s">
        <v>74</v>
      </c>
      <c r="AD567" t="s">
        <v>74</v>
      </c>
      <c r="AE567" t="s">
        <v>74</v>
      </c>
      <c r="AF567" t="s">
        <v>74</v>
      </c>
      <c r="AG567">
        <v>20</v>
      </c>
      <c r="AH567">
        <v>16</v>
      </c>
      <c r="AI567">
        <v>16</v>
      </c>
      <c r="AJ567">
        <v>0</v>
      </c>
      <c r="AK567">
        <v>22</v>
      </c>
      <c r="AL567" t="s">
        <v>3479</v>
      </c>
      <c r="AM567" t="s">
        <v>334</v>
      </c>
      <c r="AN567" t="s">
        <v>3480</v>
      </c>
      <c r="AO567" t="s">
        <v>10812</v>
      </c>
      <c r="AP567" t="s">
        <v>74</v>
      </c>
      <c r="AQ567" t="s">
        <v>74</v>
      </c>
      <c r="AR567" t="s">
        <v>10813</v>
      </c>
      <c r="AS567" t="s">
        <v>10814</v>
      </c>
      <c r="AT567" t="s">
        <v>9913</v>
      </c>
      <c r="AU567">
        <v>2011</v>
      </c>
      <c r="AV567">
        <v>99</v>
      </c>
      <c r="AW567">
        <v>2</v>
      </c>
      <c r="AX567" t="s">
        <v>74</v>
      </c>
      <c r="AY567" t="s">
        <v>74</v>
      </c>
      <c r="AZ567" t="s">
        <v>74</v>
      </c>
      <c r="BA567" t="s">
        <v>74</v>
      </c>
      <c r="BB567">
        <v>339</v>
      </c>
      <c r="BC567">
        <v>343</v>
      </c>
      <c r="BD567" t="s">
        <v>74</v>
      </c>
      <c r="BE567" t="s">
        <v>10815</v>
      </c>
      <c r="BF567" t="str">
        <f>HYPERLINK("http://dx.doi.org/10.1016/j.microc.2011.06.002","http://dx.doi.org/10.1016/j.microc.2011.06.002")</f>
        <v>http://dx.doi.org/10.1016/j.microc.2011.06.002</v>
      </c>
      <c r="BG567" t="s">
        <v>74</v>
      </c>
      <c r="BH567" t="s">
        <v>74</v>
      </c>
      <c r="BI567">
        <v>5</v>
      </c>
      <c r="BJ567" t="s">
        <v>721</v>
      </c>
      <c r="BK567" t="s">
        <v>100</v>
      </c>
      <c r="BL567" t="s">
        <v>722</v>
      </c>
      <c r="BM567" t="s">
        <v>10816</v>
      </c>
      <c r="BN567" t="s">
        <v>74</v>
      </c>
      <c r="BO567" t="s">
        <v>74</v>
      </c>
      <c r="BP567" t="s">
        <v>74</v>
      </c>
      <c r="BQ567" t="s">
        <v>74</v>
      </c>
      <c r="BR567" t="s">
        <v>102</v>
      </c>
      <c r="BS567" t="s">
        <v>10817</v>
      </c>
      <c r="BT567" t="str">
        <f>HYPERLINK("https%3A%2F%2Fwww.webofscience.com%2Fwos%2Fwoscc%2Ffull-record%2FWOS:000295770700027","View Full Record in Web of Science")</f>
        <v>View Full Record in Web of Science</v>
      </c>
    </row>
    <row r="568" spans="1:72" x14ac:dyDescent="0.15">
      <c r="A568" t="s">
        <v>72</v>
      </c>
      <c r="B568" t="s">
        <v>10818</v>
      </c>
      <c r="C568" t="s">
        <v>74</v>
      </c>
      <c r="D568" t="s">
        <v>74</v>
      </c>
      <c r="E568" t="s">
        <v>74</v>
      </c>
      <c r="F568" t="s">
        <v>10819</v>
      </c>
      <c r="G568" t="s">
        <v>74</v>
      </c>
      <c r="H568" t="s">
        <v>10820</v>
      </c>
      <c r="I568" t="s">
        <v>10821</v>
      </c>
      <c r="J568" t="s">
        <v>10822</v>
      </c>
      <c r="K568" t="s">
        <v>74</v>
      </c>
      <c r="L568" t="s">
        <v>74</v>
      </c>
      <c r="M568" t="s">
        <v>78</v>
      </c>
      <c r="N568" t="s">
        <v>79</v>
      </c>
      <c r="O568" t="s">
        <v>74</v>
      </c>
      <c r="P568" t="s">
        <v>74</v>
      </c>
      <c r="Q568" t="s">
        <v>74</v>
      </c>
      <c r="R568" t="s">
        <v>74</v>
      </c>
      <c r="S568" t="s">
        <v>74</v>
      </c>
      <c r="T568" t="s">
        <v>10823</v>
      </c>
      <c r="U568" t="s">
        <v>10824</v>
      </c>
      <c r="V568" t="s">
        <v>10825</v>
      </c>
      <c r="W568" t="s">
        <v>10826</v>
      </c>
      <c r="X568" t="s">
        <v>10827</v>
      </c>
      <c r="Y568" t="s">
        <v>10828</v>
      </c>
      <c r="Z568" t="s">
        <v>10829</v>
      </c>
      <c r="AA568" t="s">
        <v>10830</v>
      </c>
      <c r="AB568" t="s">
        <v>10831</v>
      </c>
      <c r="AC568" t="s">
        <v>10832</v>
      </c>
      <c r="AD568" t="s">
        <v>10833</v>
      </c>
      <c r="AE568" t="s">
        <v>10834</v>
      </c>
      <c r="AF568" t="s">
        <v>74</v>
      </c>
      <c r="AG568">
        <v>26</v>
      </c>
      <c r="AH568">
        <v>11</v>
      </c>
      <c r="AI568">
        <v>14</v>
      </c>
      <c r="AJ568">
        <v>0</v>
      </c>
      <c r="AK568">
        <v>26</v>
      </c>
      <c r="AL568" t="s">
        <v>7404</v>
      </c>
      <c r="AM568" t="s">
        <v>7405</v>
      </c>
      <c r="AN568" t="s">
        <v>7406</v>
      </c>
      <c r="AO568" t="s">
        <v>10835</v>
      </c>
      <c r="AP568" t="s">
        <v>10836</v>
      </c>
      <c r="AQ568" t="s">
        <v>74</v>
      </c>
      <c r="AR568" t="s">
        <v>10837</v>
      </c>
      <c r="AS568" t="s">
        <v>10838</v>
      </c>
      <c r="AT568" t="s">
        <v>9913</v>
      </c>
      <c r="AU568">
        <v>2011</v>
      </c>
      <c r="AV568">
        <v>401</v>
      </c>
      <c r="AW568">
        <v>9</v>
      </c>
      <c r="AX568" t="s">
        <v>74</v>
      </c>
      <c r="AY568" t="s">
        <v>74</v>
      </c>
      <c r="AZ568" t="s">
        <v>74</v>
      </c>
      <c r="BA568" t="s">
        <v>74</v>
      </c>
      <c r="BB568">
        <v>2927</v>
      </c>
      <c r="BC568">
        <v>2933</v>
      </c>
      <c r="BD568" t="s">
        <v>74</v>
      </c>
      <c r="BE568" t="s">
        <v>10839</v>
      </c>
      <c r="BF568" t="str">
        <f>HYPERLINK("http://dx.doi.org/10.1007/s00216-011-5385-5","http://dx.doi.org/10.1007/s00216-011-5385-5")</f>
        <v>http://dx.doi.org/10.1007/s00216-011-5385-5</v>
      </c>
      <c r="BG568" t="s">
        <v>74</v>
      </c>
      <c r="BH568" t="s">
        <v>74</v>
      </c>
      <c r="BI568">
        <v>7</v>
      </c>
      <c r="BJ568" t="s">
        <v>7301</v>
      </c>
      <c r="BK568" t="s">
        <v>100</v>
      </c>
      <c r="BL568" t="s">
        <v>7302</v>
      </c>
      <c r="BM568" t="s">
        <v>10840</v>
      </c>
      <c r="BN568">
        <v>21938598</v>
      </c>
      <c r="BO568" t="s">
        <v>74</v>
      </c>
      <c r="BP568" t="s">
        <v>74</v>
      </c>
      <c r="BQ568" t="s">
        <v>74</v>
      </c>
      <c r="BR568" t="s">
        <v>102</v>
      </c>
      <c r="BS568" t="s">
        <v>10841</v>
      </c>
      <c r="BT568" t="str">
        <f>HYPERLINK("https%3A%2F%2Fwww.webofscience.com%2Fwos%2Fwoscc%2Ffull-record%2FWOS:000296357200027","View Full Record in Web of Science")</f>
        <v>View Full Record in Web of Science</v>
      </c>
    </row>
    <row r="569" spans="1:72" x14ac:dyDescent="0.15">
      <c r="A569" t="s">
        <v>72</v>
      </c>
      <c r="B569" t="s">
        <v>10842</v>
      </c>
      <c r="C569" t="s">
        <v>74</v>
      </c>
      <c r="D569" t="s">
        <v>74</v>
      </c>
      <c r="E569" t="s">
        <v>74</v>
      </c>
      <c r="F569" t="s">
        <v>10843</v>
      </c>
      <c r="G569" t="s">
        <v>74</v>
      </c>
      <c r="H569" t="s">
        <v>74</v>
      </c>
      <c r="I569" t="s">
        <v>10844</v>
      </c>
      <c r="J569" t="s">
        <v>10845</v>
      </c>
      <c r="K569" t="s">
        <v>74</v>
      </c>
      <c r="L569" t="s">
        <v>74</v>
      </c>
      <c r="M569" t="s">
        <v>78</v>
      </c>
      <c r="N569" t="s">
        <v>79</v>
      </c>
      <c r="O569" t="s">
        <v>74</v>
      </c>
      <c r="P569" t="s">
        <v>74</v>
      </c>
      <c r="Q569" t="s">
        <v>74</v>
      </c>
      <c r="R569" t="s">
        <v>74</v>
      </c>
      <c r="S569" t="s">
        <v>74</v>
      </c>
      <c r="T569" t="s">
        <v>10846</v>
      </c>
      <c r="U569" t="s">
        <v>10847</v>
      </c>
      <c r="V569" t="s">
        <v>10848</v>
      </c>
      <c r="W569" t="s">
        <v>10849</v>
      </c>
      <c r="X569" t="s">
        <v>10850</v>
      </c>
      <c r="Y569" t="s">
        <v>10851</v>
      </c>
      <c r="Z569" t="s">
        <v>10852</v>
      </c>
      <c r="AA569" t="s">
        <v>10853</v>
      </c>
      <c r="AB569" t="s">
        <v>10854</v>
      </c>
      <c r="AC569" t="s">
        <v>10855</v>
      </c>
      <c r="AD569" t="s">
        <v>10856</v>
      </c>
      <c r="AE569" t="s">
        <v>10857</v>
      </c>
      <c r="AF569" t="s">
        <v>74</v>
      </c>
      <c r="AG569">
        <v>23</v>
      </c>
      <c r="AH569">
        <v>12</v>
      </c>
      <c r="AI569">
        <v>12</v>
      </c>
      <c r="AJ569">
        <v>0</v>
      </c>
      <c r="AK569">
        <v>10</v>
      </c>
      <c r="AL569" t="s">
        <v>2832</v>
      </c>
      <c r="AM569" t="s">
        <v>796</v>
      </c>
      <c r="AN569" t="s">
        <v>797</v>
      </c>
      <c r="AO569" t="s">
        <v>10858</v>
      </c>
      <c r="AP569" t="s">
        <v>10859</v>
      </c>
      <c r="AQ569" t="s">
        <v>74</v>
      </c>
      <c r="AR569" t="s">
        <v>10845</v>
      </c>
      <c r="AS569" t="s">
        <v>10860</v>
      </c>
      <c r="AT569" t="s">
        <v>9913</v>
      </c>
      <c r="AU569">
        <v>2011</v>
      </c>
      <c r="AV569">
        <v>54</v>
      </c>
      <c r="AW569">
        <v>6</v>
      </c>
      <c r="AX569" t="s">
        <v>74</v>
      </c>
      <c r="AY569" t="s">
        <v>74</v>
      </c>
      <c r="AZ569" t="s">
        <v>74</v>
      </c>
      <c r="BA569" t="s">
        <v>74</v>
      </c>
      <c r="BB569" t="s">
        <v>10861</v>
      </c>
      <c r="BC569" t="s">
        <v>10862</v>
      </c>
      <c r="BD569" t="s">
        <v>74</v>
      </c>
      <c r="BE569" t="s">
        <v>10863</v>
      </c>
      <c r="BF569" t="str">
        <f>HYPERLINK("http://dx.doi.org/10.1111/j.1439-0507.2011.02031.x","http://dx.doi.org/10.1111/j.1439-0507.2011.02031.x")</f>
        <v>http://dx.doi.org/10.1111/j.1439-0507.2011.02031.x</v>
      </c>
      <c r="BG569" t="s">
        <v>74</v>
      </c>
      <c r="BH569" t="s">
        <v>74</v>
      </c>
      <c r="BI569">
        <v>5</v>
      </c>
      <c r="BJ569" t="s">
        <v>10864</v>
      </c>
      <c r="BK569" t="s">
        <v>100</v>
      </c>
      <c r="BL569" t="s">
        <v>10864</v>
      </c>
      <c r="BM569" t="s">
        <v>10865</v>
      </c>
      <c r="BN569">
        <v>21672044</v>
      </c>
      <c r="BO569" t="s">
        <v>74</v>
      </c>
      <c r="BP569" t="s">
        <v>74</v>
      </c>
      <c r="BQ569" t="s">
        <v>74</v>
      </c>
      <c r="BR569" t="s">
        <v>102</v>
      </c>
      <c r="BS569" t="s">
        <v>10866</v>
      </c>
      <c r="BT569" t="str">
        <f>HYPERLINK("https%3A%2F%2Fwww.webofscience.com%2Fwos%2Fwoscc%2Ffull-record%2FWOS:000296243700021","View Full Record in Web of Science")</f>
        <v>View Full Record in Web of Science</v>
      </c>
    </row>
    <row r="570" spans="1:72" x14ac:dyDescent="0.15">
      <c r="A570" t="s">
        <v>72</v>
      </c>
      <c r="B570" t="s">
        <v>10867</v>
      </c>
      <c r="C570" t="s">
        <v>74</v>
      </c>
      <c r="D570" t="s">
        <v>74</v>
      </c>
      <c r="E570" t="s">
        <v>74</v>
      </c>
      <c r="F570" t="s">
        <v>10868</v>
      </c>
      <c r="G570" t="s">
        <v>74</v>
      </c>
      <c r="H570" t="s">
        <v>74</v>
      </c>
      <c r="I570" t="s">
        <v>10869</v>
      </c>
      <c r="J570" t="s">
        <v>7633</v>
      </c>
      <c r="K570" t="s">
        <v>74</v>
      </c>
      <c r="L570" t="s">
        <v>74</v>
      </c>
      <c r="M570" t="s">
        <v>78</v>
      </c>
      <c r="N570" t="s">
        <v>79</v>
      </c>
      <c r="O570" t="s">
        <v>74</v>
      </c>
      <c r="P570" t="s">
        <v>74</v>
      </c>
      <c r="Q570" t="s">
        <v>74</v>
      </c>
      <c r="R570" t="s">
        <v>74</v>
      </c>
      <c r="S570" t="s">
        <v>74</v>
      </c>
      <c r="T570" t="s">
        <v>10870</v>
      </c>
      <c r="U570" t="s">
        <v>10871</v>
      </c>
      <c r="V570" t="s">
        <v>10872</v>
      </c>
      <c r="W570" t="s">
        <v>10873</v>
      </c>
      <c r="X570" t="s">
        <v>10874</v>
      </c>
      <c r="Y570" t="s">
        <v>10875</v>
      </c>
      <c r="Z570" t="s">
        <v>10876</v>
      </c>
      <c r="AA570" t="s">
        <v>10877</v>
      </c>
      <c r="AB570" t="s">
        <v>74</v>
      </c>
      <c r="AC570" t="s">
        <v>74</v>
      </c>
      <c r="AD570" t="s">
        <v>74</v>
      </c>
      <c r="AE570" t="s">
        <v>74</v>
      </c>
      <c r="AF570" t="s">
        <v>74</v>
      </c>
      <c r="AG570">
        <v>48</v>
      </c>
      <c r="AH570">
        <v>16</v>
      </c>
      <c r="AI570">
        <v>16</v>
      </c>
      <c r="AJ570">
        <v>0</v>
      </c>
      <c r="AK570">
        <v>19</v>
      </c>
      <c r="AL570" t="s">
        <v>3864</v>
      </c>
      <c r="AM570" t="s">
        <v>221</v>
      </c>
      <c r="AN570" t="s">
        <v>3865</v>
      </c>
      <c r="AO570" t="s">
        <v>7645</v>
      </c>
      <c r="AP570" t="s">
        <v>74</v>
      </c>
      <c r="AQ570" t="s">
        <v>74</v>
      </c>
      <c r="AR570" t="s">
        <v>7646</v>
      </c>
      <c r="AS570" t="s">
        <v>7647</v>
      </c>
      <c r="AT570" t="s">
        <v>9913</v>
      </c>
      <c r="AU570">
        <v>2011</v>
      </c>
      <c r="AV570">
        <v>31</v>
      </c>
      <c r="AW570">
        <v>5</v>
      </c>
      <c r="AX570" t="s">
        <v>74</v>
      </c>
      <c r="AY570" t="s">
        <v>74</v>
      </c>
      <c r="AZ570" t="s">
        <v>339</v>
      </c>
      <c r="BA570" t="s">
        <v>74</v>
      </c>
      <c r="BB570">
        <v>688</v>
      </c>
      <c r="BC570">
        <v>696</v>
      </c>
      <c r="BD570" t="s">
        <v>74</v>
      </c>
      <c r="BE570" t="s">
        <v>10878</v>
      </c>
      <c r="BF570" t="str">
        <f>HYPERLINK("http://dx.doi.org/10.1016/j.fsi.2010.10.018","http://dx.doi.org/10.1016/j.fsi.2010.10.018")</f>
        <v>http://dx.doi.org/10.1016/j.fsi.2010.10.018</v>
      </c>
      <c r="BG570" t="s">
        <v>74</v>
      </c>
      <c r="BH570" t="s">
        <v>74</v>
      </c>
      <c r="BI570">
        <v>9</v>
      </c>
      <c r="BJ570" t="s">
        <v>7649</v>
      </c>
      <c r="BK570" t="s">
        <v>100</v>
      </c>
      <c r="BL570" t="s">
        <v>7649</v>
      </c>
      <c r="BM570" t="s">
        <v>10879</v>
      </c>
      <c r="BN570">
        <v>21044686</v>
      </c>
      <c r="BO570" t="s">
        <v>74</v>
      </c>
      <c r="BP570" t="s">
        <v>74</v>
      </c>
      <c r="BQ570" t="s">
        <v>74</v>
      </c>
      <c r="BR570" t="s">
        <v>102</v>
      </c>
      <c r="BS570" t="s">
        <v>10880</v>
      </c>
      <c r="BT570" t="str">
        <f>HYPERLINK("https%3A%2F%2Fwww.webofscience.com%2Fwos%2Fwoscc%2Ffull-record%2FWOS:000296126100009","View Full Record in Web of Science")</f>
        <v>View Full Record in Web of Science</v>
      </c>
    </row>
    <row r="571" spans="1:72" x14ac:dyDescent="0.15">
      <c r="A571" t="s">
        <v>72</v>
      </c>
      <c r="B571" t="s">
        <v>10881</v>
      </c>
      <c r="C571" t="s">
        <v>74</v>
      </c>
      <c r="D571" t="s">
        <v>74</v>
      </c>
      <c r="E571" t="s">
        <v>74</v>
      </c>
      <c r="F571" t="s">
        <v>10882</v>
      </c>
      <c r="G571" t="s">
        <v>74</v>
      </c>
      <c r="H571" t="s">
        <v>74</v>
      </c>
      <c r="I571" t="s">
        <v>10883</v>
      </c>
      <c r="J571" t="s">
        <v>347</v>
      </c>
      <c r="K571" t="s">
        <v>74</v>
      </c>
      <c r="L571" t="s">
        <v>74</v>
      </c>
      <c r="M571" t="s">
        <v>78</v>
      </c>
      <c r="N571" t="s">
        <v>79</v>
      </c>
      <c r="O571" t="s">
        <v>74</v>
      </c>
      <c r="P571" t="s">
        <v>74</v>
      </c>
      <c r="Q571" t="s">
        <v>74</v>
      </c>
      <c r="R571" t="s">
        <v>74</v>
      </c>
      <c r="S571" t="s">
        <v>74</v>
      </c>
      <c r="T571" t="s">
        <v>10884</v>
      </c>
      <c r="U571" t="s">
        <v>10885</v>
      </c>
      <c r="V571" t="s">
        <v>10886</v>
      </c>
      <c r="W571" t="s">
        <v>10887</v>
      </c>
      <c r="X571" t="s">
        <v>4323</v>
      </c>
      <c r="Y571" t="s">
        <v>10888</v>
      </c>
      <c r="Z571" t="s">
        <v>10889</v>
      </c>
      <c r="AA571" t="s">
        <v>10890</v>
      </c>
      <c r="AB571" t="s">
        <v>10891</v>
      </c>
      <c r="AC571" t="s">
        <v>10892</v>
      </c>
      <c r="AD571" t="s">
        <v>5996</v>
      </c>
      <c r="AE571" t="s">
        <v>10893</v>
      </c>
      <c r="AF571" t="s">
        <v>74</v>
      </c>
      <c r="AG571">
        <v>27</v>
      </c>
      <c r="AH571">
        <v>19</v>
      </c>
      <c r="AI571">
        <v>26</v>
      </c>
      <c r="AJ571">
        <v>0</v>
      </c>
      <c r="AK571">
        <v>11</v>
      </c>
      <c r="AL571" t="s">
        <v>307</v>
      </c>
      <c r="AM571" t="s">
        <v>156</v>
      </c>
      <c r="AN571" t="s">
        <v>308</v>
      </c>
      <c r="AO571" t="s">
        <v>359</v>
      </c>
      <c r="AP571" t="s">
        <v>74</v>
      </c>
      <c r="AQ571" t="s">
        <v>74</v>
      </c>
      <c r="AR571" t="s">
        <v>360</v>
      </c>
      <c r="AS571" t="s">
        <v>361</v>
      </c>
      <c r="AT571" t="s">
        <v>9913</v>
      </c>
      <c r="AU571">
        <v>2011</v>
      </c>
      <c r="AV571">
        <v>68</v>
      </c>
      <c r="AW571">
        <v>10</v>
      </c>
      <c r="AX571" t="s">
        <v>74</v>
      </c>
      <c r="AY571" t="s">
        <v>74</v>
      </c>
      <c r="AZ571" t="s">
        <v>74</v>
      </c>
      <c r="BA571" t="s">
        <v>74</v>
      </c>
      <c r="BB571">
        <v>2059</v>
      </c>
      <c r="BC571">
        <v>2063</v>
      </c>
      <c r="BD571" t="s">
        <v>74</v>
      </c>
      <c r="BE571" t="s">
        <v>10894</v>
      </c>
      <c r="BF571" t="str">
        <f>HYPERLINK("http://dx.doi.org/10.1093/icesjms/fsr135","http://dx.doi.org/10.1093/icesjms/fsr135")</f>
        <v>http://dx.doi.org/10.1093/icesjms/fsr135</v>
      </c>
      <c r="BG571" t="s">
        <v>74</v>
      </c>
      <c r="BH571" t="s">
        <v>74</v>
      </c>
      <c r="BI571">
        <v>5</v>
      </c>
      <c r="BJ571" t="s">
        <v>363</v>
      </c>
      <c r="BK571" t="s">
        <v>100</v>
      </c>
      <c r="BL571" t="s">
        <v>363</v>
      </c>
      <c r="BM571" t="s">
        <v>10895</v>
      </c>
      <c r="BN571" t="s">
        <v>74</v>
      </c>
      <c r="BO571" t="s">
        <v>365</v>
      </c>
      <c r="BP571" t="s">
        <v>74</v>
      </c>
      <c r="BQ571" t="s">
        <v>74</v>
      </c>
      <c r="BR571" t="s">
        <v>102</v>
      </c>
      <c r="BS571" t="s">
        <v>10896</v>
      </c>
      <c r="BT571" t="str">
        <f>HYPERLINK("https%3A%2F%2Fwww.webofscience.com%2Fwos%2Fwoscc%2Ffull-record%2FWOS:000295985500009","View Full Record in Web of Science")</f>
        <v>View Full Record in Web of Science</v>
      </c>
    </row>
    <row r="572" spans="1:72" x14ac:dyDescent="0.15">
      <c r="A572" t="s">
        <v>72</v>
      </c>
      <c r="B572" t="s">
        <v>10897</v>
      </c>
      <c r="C572" t="s">
        <v>74</v>
      </c>
      <c r="D572" t="s">
        <v>74</v>
      </c>
      <c r="E572" t="s">
        <v>74</v>
      </c>
      <c r="F572" t="s">
        <v>10898</v>
      </c>
      <c r="G572" t="s">
        <v>74</v>
      </c>
      <c r="H572" t="s">
        <v>74</v>
      </c>
      <c r="I572" t="s">
        <v>10899</v>
      </c>
      <c r="J572" t="s">
        <v>10900</v>
      </c>
      <c r="K572" t="s">
        <v>74</v>
      </c>
      <c r="L572" t="s">
        <v>74</v>
      </c>
      <c r="M572" t="s">
        <v>78</v>
      </c>
      <c r="N572" t="s">
        <v>7692</v>
      </c>
      <c r="O572" t="s">
        <v>74</v>
      </c>
      <c r="P572" t="s">
        <v>74</v>
      </c>
      <c r="Q572" t="s">
        <v>74</v>
      </c>
      <c r="R572" t="s">
        <v>74</v>
      </c>
      <c r="S572" t="s">
        <v>74</v>
      </c>
      <c r="T572" t="s">
        <v>74</v>
      </c>
      <c r="U572" t="s">
        <v>74</v>
      </c>
      <c r="V572" t="s">
        <v>74</v>
      </c>
      <c r="W572" t="s">
        <v>74</v>
      </c>
      <c r="X572" t="s">
        <v>74</v>
      </c>
      <c r="Y572" t="s">
        <v>74</v>
      </c>
      <c r="Z572" t="s">
        <v>74</v>
      </c>
      <c r="AA572" t="s">
        <v>10901</v>
      </c>
      <c r="AB572" t="s">
        <v>10902</v>
      </c>
      <c r="AC572" t="s">
        <v>74</v>
      </c>
      <c r="AD572" t="s">
        <v>74</v>
      </c>
      <c r="AE572" t="s">
        <v>74</v>
      </c>
      <c r="AF572" t="s">
        <v>74</v>
      </c>
      <c r="AG572">
        <v>1</v>
      </c>
      <c r="AH572">
        <v>0</v>
      </c>
      <c r="AI572">
        <v>0</v>
      </c>
      <c r="AJ572">
        <v>1</v>
      </c>
      <c r="AK572">
        <v>5</v>
      </c>
      <c r="AL572" t="s">
        <v>382</v>
      </c>
      <c r="AM572" t="s">
        <v>383</v>
      </c>
      <c r="AN572" t="s">
        <v>384</v>
      </c>
      <c r="AO572" t="s">
        <v>10903</v>
      </c>
      <c r="AP572" t="s">
        <v>74</v>
      </c>
      <c r="AQ572" t="s">
        <v>74</v>
      </c>
      <c r="AR572" t="s">
        <v>10904</v>
      </c>
      <c r="AS572" t="s">
        <v>10905</v>
      </c>
      <c r="AT572" t="s">
        <v>9913</v>
      </c>
      <c r="AU572">
        <v>2011</v>
      </c>
      <c r="AV572">
        <v>51</v>
      </c>
      <c r="AW572">
        <v>5</v>
      </c>
      <c r="AX572" t="s">
        <v>74</v>
      </c>
      <c r="AY572" t="s">
        <v>74</v>
      </c>
      <c r="AZ572" t="s">
        <v>74</v>
      </c>
      <c r="BA572" t="s">
        <v>74</v>
      </c>
      <c r="BB572">
        <v>844</v>
      </c>
      <c r="BC572">
        <v>844</v>
      </c>
      <c r="BD572" t="s">
        <v>74</v>
      </c>
      <c r="BE572" t="s">
        <v>10906</v>
      </c>
      <c r="BF572" t="str">
        <f>HYPERLINK("http://dx.doi.org/10.1093/icb/icr117","http://dx.doi.org/10.1093/icb/icr117")</f>
        <v>http://dx.doi.org/10.1093/icb/icr117</v>
      </c>
      <c r="BG572" t="s">
        <v>74</v>
      </c>
      <c r="BH572" t="s">
        <v>74</v>
      </c>
      <c r="BI572">
        <v>1</v>
      </c>
      <c r="BJ572" t="s">
        <v>2881</v>
      </c>
      <c r="BK572" t="s">
        <v>100</v>
      </c>
      <c r="BL572" t="s">
        <v>2881</v>
      </c>
      <c r="BM572" t="s">
        <v>10907</v>
      </c>
      <c r="BN572" t="s">
        <v>74</v>
      </c>
      <c r="BO572" t="s">
        <v>365</v>
      </c>
      <c r="BP572" t="s">
        <v>74</v>
      </c>
      <c r="BQ572" t="s">
        <v>74</v>
      </c>
      <c r="BR572" t="s">
        <v>102</v>
      </c>
      <c r="BS572" t="s">
        <v>10908</v>
      </c>
      <c r="BT572" t="str">
        <f>HYPERLINK("https%3A%2F%2Fwww.webofscience.com%2Fwos%2Fwoscc%2Ffull-record%2FWOS:000296101600017","View Full Record in Web of Science")</f>
        <v>View Full Record in Web of Science</v>
      </c>
    </row>
    <row r="573" spans="1:72" x14ac:dyDescent="0.15">
      <c r="A573" t="s">
        <v>72</v>
      </c>
      <c r="B573" t="s">
        <v>10909</v>
      </c>
      <c r="C573" t="s">
        <v>74</v>
      </c>
      <c r="D573" t="s">
        <v>74</v>
      </c>
      <c r="E573" t="s">
        <v>74</v>
      </c>
      <c r="F573" t="s">
        <v>10910</v>
      </c>
      <c r="G573" t="s">
        <v>74</v>
      </c>
      <c r="H573" t="s">
        <v>74</v>
      </c>
      <c r="I573" t="s">
        <v>10911</v>
      </c>
      <c r="J573" t="s">
        <v>9152</v>
      </c>
      <c r="K573" t="s">
        <v>74</v>
      </c>
      <c r="L573" t="s">
        <v>74</v>
      </c>
      <c r="M573" t="s">
        <v>78</v>
      </c>
      <c r="N573" t="s">
        <v>79</v>
      </c>
      <c r="O573" t="s">
        <v>74</v>
      </c>
      <c r="P573" t="s">
        <v>74</v>
      </c>
      <c r="Q573" t="s">
        <v>74</v>
      </c>
      <c r="R573" t="s">
        <v>74</v>
      </c>
      <c r="S573" t="s">
        <v>74</v>
      </c>
      <c r="T573" t="s">
        <v>74</v>
      </c>
      <c r="U573" t="s">
        <v>10912</v>
      </c>
      <c r="V573" t="s">
        <v>10913</v>
      </c>
      <c r="W573" t="s">
        <v>10914</v>
      </c>
      <c r="X573" t="s">
        <v>10915</v>
      </c>
      <c r="Y573" t="s">
        <v>10916</v>
      </c>
      <c r="Z573" t="s">
        <v>10917</v>
      </c>
      <c r="AA573" t="s">
        <v>74</v>
      </c>
      <c r="AB573" t="s">
        <v>74</v>
      </c>
      <c r="AC573" t="s">
        <v>10918</v>
      </c>
      <c r="AD573" t="s">
        <v>10919</v>
      </c>
      <c r="AE573" t="s">
        <v>10920</v>
      </c>
      <c r="AF573" t="s">
        <v>74</v>
      </c>
      <c r="AG573">
        <v>5</v>
      </c>
      <c r="AH573">
        <v>8</v>
      </c>
      <c r="AI573">
        <v>9</v>
      </c>
      <c r="AJ573">
        <v>1</v>
      </c>
      <c r="AK573">
        <v>3</v>
      </c>
      <c r="AL573" t="s">
        <v>984</v>
      </c>
      <c r="AM573" t="s">
        <v>985</v>
      </c>
      <c r="AN573" t="s">
        <v>986</v>
      </c>
      <c r="AO573" t="s">
        <v>9164</v>
      </c>
      <c r="AP573" t="s">
        <v>74</v>
      </c>
      <c r="AQ573" t="s">
        <v>74</v>
      </c>
      <c r="AR573" t="s">
        <v>9166</v>
      </c>
      <c r="AS573" t="s">
        <v>9167</v>
      </c>
      <c r="AT573" t="s">
        <v>9913</v>
      </c>
      <c r="AU573">
        <v>2011</v>
      </c>
      <c r="AV573">
        <v>193</v>
      </c>
      <c r="AW573">
        <v>21</v>
      </c>
      <c r="AX573" t="s">
        <v>74</v>
      </c>
      <c r="AY573" t="s">
        <v>74</v>
      </c>
      <c r="AZ573" t="s">
        <v>74</v>
      </c>
      <c r="BA573" t="s">
        <v>74</v>
      </c>
      <c r="BB573">
        <v>6106</v>
      </c>
      <c r="BC573">
        <v>6106</v>
      </c>
      <c r="BD573" t="s">
        <v>74</v>
      </c>
      <c r="BE573" t="s">
        <v>10921</v>
      </c>
      <c r="BF573" t="str">
        <f>HYPERLINK("http://dx.doi.org/10.1128/JB.05983-11","http://dx.doi.org/10.1128/JB.05983-11")</f>
        <v>http://dx.doi.org/10.1128/JB.05983-11</v>
      </c>
      <c r="BG573" t="s">
        <v>74</v>
      </c>
      <c r="BH573" t="s">
        <v>74</v>
      </c>
      <c r="BI573">
        <v>1</v>
      </c>
      <c r="BJ573" t="s">
        <v>3089</v>
      </c>
      <c r="BK573" t="s">
        <v>100</v>
      </c>
      <c r="BL573" t="s">
        <v>3089</v>
      </c>
      <c r="BM573" t="s">
        <v>10922</v>
      </c>
      <c r="BN573">
        <v>21994932</v>
      </c>
      <c r="BO573" t="s">
        <v>6160</v>
      </c>
      <c r="BP573" t="s">
        <v>74</v>
      </c>
      <c r="BQ573" t="s">
        <v>74</v>
      </c>
      <c r="BR573" t="s">
        <v>102</v>
      </c>
      <c r="BS573" t="s">
        <v>10923</v>
      </c>
      <c r="BT573" t="str">
        <f>HYPERLINK("https%3A%2F%2Fwww.webofscience.com%2Fwos%2Fwoscc%2Ffull-record%2FWOS:000296153400032","View Full Record in Web of Science")</f>
        <v>View Full Record in Web of Science</v>
      </c>
    </row>
    <row r="574" spans="1:72" x14ac:dyDescent="0.15">
      <c r="A574" t="s">
        <v>72</v>
      </c>
      <c r="B574" t="s">
        <v>10924</v>
      </c>
      <c r="C574" t="s">
        <v>74</v>
      </c>
      <c r="D574" t="s">
        <v>74</v>
      </c>
      <c r="E574" t="s">
        <v>74</v>
      </c>
      <c r="F574" t="s">
        <v>10925</v>
      </c>
      <c r="G574" t="s">
        <v>74</v>
      </c>
      <c r="H574" t="s">
        <v>74</v>
      </c>
      <c r="I574" t="s">
        <v>10926</v>
      </c>
      <c r="J574" t="s">
        <v>7392</v>
      </c>
      <c r="K574" t="s">
        <v>74</v>
      </c>
      <c r="L574" t="s">
        <v>74</v>
      </c>
      <c r="M574" t="s">
        <v>78</v>
      </c>
      <c r="N574" t="s">
        <v>79</v>
      </c>
      <c r="O574" t="s">
        <v>74</v>
      </c>
      <c r="P574" t="s">
        <v>74</v>
      </c>
      <c r="Q574" t="s">
        <v>74</v>
      </c>
      <c r="R574" t="s">
        <v>74</v>
      </c>
      <c r="S574" t="s">
        <v>74</v>
      </c>
      <c r="T574" t="s">
        <v>74</v>
      </c>
      <c r="U574" t="s">
        <v>10927</v>
      </c>
      <c r="V574" t="s">
        <v>10928</v>
      </c>
      <c r="W574" t="s">
        <v>10929</v>
      </c>
      <c r="X574" t="s">
        <v>7867</v>
      </c>
      <c r="Y574" t="s">
        <v>10930</v>
      </c>
      <c r="Z574" t="s">
        <v>7869</v>
      </c>
      <c r="AA574" t="s">
        <v>74</v>
      </c>
      <c r="AB574" t="s">
        <v>74</v>
      </c>
      <c r="AC574" t="s">
        <v>10931</v>
      </c>
      <c r="AD574" t="s">
        <v>10932</v>
      </c>
      <c r="AE574" t="s">
        <v>10933</v>
      </c>
      <c r="AF574" t="s">
        <v>74</v>
      </c>
      <c r="AG574">
        <v>60</v>
      </c>
      <c r="AH574">
        <v>34</v>
      </c>
      <c r="AI574">
        <v>39</v>
      </c>
      <c r="AJ574">
        <v>0</v>
      </c>
      <c r="AK574">
        <v>33</v>
      </c>
      <c r="AL574" t="s">
        <v>7404</v>
      </c>
      <c r="AM574" t="s">
        <v>7405</v>
      </c>
      <c r="AN574" t="s">
        <v>7406</v>
      </c>
      <c r="AO574" t="s">
        <v>7407</v>
      </c>
      <c r="AP574" t="s">
        <v>7408</v>
      </c>
      <c r="AQ574" t="s">
        <v>74</v>
      </c>
      <c r="AR574" t="s">
        <v>7409</v>
      </c>
      <c r="AS574" t="s">
        <v>7410</v>
      </c>
      <c r="AT574" t="s">
        <v>9913</v>
      </c>
      <c r="AU574">
        <v>2011</v>
      </c>
      <c r="AV574">
        <v>158</v>
      </c>
      <c r="AW574">
        <v>11</v>
      </c>
      <c r="AX574" t="s">
        <v>74</v>
      </c>
      <c r="AY574" t="s">
        <v>74</v>
      </c>
      <c r="AZ574" t="s">
        <v>74</v>
      </c>
      <c r="BA574" t="s">
        <v>74</v>
      </c>
      <c r="BB574">
        <v>2527</v>
      </c>
      <c r="BC574">
        <v>2540</v>
      </c>
      <c r="BD574" t="s">
        <v>74</v>
      </c>
      <c r="BE574" t="s">
        <v>10934</v>
      </c>
      <c r="BF574" t="str">
        <f>HYPERLINK("http://dx.doi.org/10.1007/s00227-011-1753-0","http://dx.doi.org/10.1007/s00227-011-1753-0")</f>
        <v>http://dx.doi.org/10.1007/s00227-011-1753-0</v>
      </c>
      <c r="BG574" t="s">
        <v>74</v>
      </c>
      <c r="BH574" t="s">
        <v>74</v>
      </c>
      <c r="BI574">
        <v>14</v>
      </c>
      <c r="BJ574" t="s">
        <v>1015</v>
      </c>
      <c r="BK574" t="s">
        <v>100</v>
      </c>
      <c r="BL574" t="s">
        <v>1015</v>
      </c>
      <c r="BM574" t="s">
        <v>10935</v>
      </c>
      <c r="BN574" t="s">
        <v>74</v>
      </c>
      <c r="BO574" t="s">
        <v>74</v>
      </c>
      <c r="BP574" t="s">
        <v>74</v>
      </c>
      <c r="BQ574" t="s">
        <v>74</v>
      </c>
      <c r="BR574" t="s">
        <v>102</v>
      </c>
      <c r="BS574" t="s">
        <v>10936</v>
      </c>
      <c r="BT574" t="str">
        <f>HYPERLINK("https%3A%2F%2Fwww.webofscience.com%2Fwos%2Fwoscc%2Ffull-record%2FWOS:000296088600013","View Full Record in Web of Science")</f>
        <v>View Full Record in Web of Science</v>
      </c>
    </row>
    <row r="575" spans="1:72" x14ac:dyDescent="0.15">
      <c r="A575" t="s">
        <v>72</v>
      </c>
      <c r="B575" t="s">
        <v>10937</v>
      </c>
      <c r="C575" t="s">
        <v>74</v>
      </c>
      <c r="D575" t="s">
        <v>74</v>
      </c>
      <c r="E575" t="s">
        <v>74</v>
      </c>
      <c r="F575" t="s">
        <v>10938</v>
      </c>
      <c r="G575" t="s">
        <v>74</v>
      </c>
      <c r="H575" t="s">
        <v>74</v>
      </c>
      <c r="I575" t="s">
        <v>10939</v>
      </c>
      <c r="J575" t="s">
        <v>7392</v>
      </c>
      <c r="K575" t="s">
        <v>74</v>
      </c>
      <c r="L575" t="s">
        <v>74</v>
      </c>
      <c r="M575" t="s">
        <v>78</v>
      </c>
      <c r="N575" t="s">
        <v>79</v>
      </c>
      <c r="O575" t="s">
        <v>74</v>
      </c>
      <c r="P575" t="s">
        <v>74</v>
      </c>
      <c r="Q575" t="s">
        <v>74</v>
      </c>
      <c r="R575" t="s">
        <v>74</v>
      </c>
      <c r="S575" t="s">
        <v>74</v>
      </c>
      <c r="T575" t="s">
        <v>74</v>
      </c>
      <c r="U575" t="s">
        <v>10940</v>
      </c>
      <c r="V575" t="s">
        <v>10941</v>
      </c>
      <c r="W575" t="s">
        <v>10942</v>
      </c>
      <c r="X575" t="s">
        <v>10943</v>
      </c>
      <c r="Y575" t="s">
        <v>10944</v>
      </c>
      <c r="Z575" t="s">
        <v>10945</v>
      </c>
      <c r="AA575" t="s">
        <v>10946</v>
      </c>
      <c r="AB575" t="s">
        <v>10947</v>
      </c>
      <c r="AC575" t="s">
        <v>10948</v>
      </c>
      <c r="AD575" t="s">
        <v>10949</v>
      </c>
      <c r="AE575" t="s">
        <v>10950</v>
      </c>
      <c r="AF575" t="s">
        <v>74</v>
      </c>
      <c r="AG575">
        <v>81</v>
      </c>
      <c r="AH575">
        <v>37</v>
      </c>
      <c r="AI575">
        <v>39</v>
      </c>
      <c r="AJ575">
        <v>0</v>
      </c>
      <c r="AK575">
        <v>41</v>
      </c>
      <c r="AL575" t="s">
        <v>7404</v>
      </c>
      <c r="AM575" t="s">
        <v>7405</v>
      </c>
      <c r="AN575" t="s">
        <v>7406</v>
      </c>
      <c r="AO575" t="s">
        <v>7407</v>
      </c>
      <c r="AP575" t="s">
        <v>7408</v>
      </c>
      <c r="AQ575" t="s">
        <v>74</v>
      </c>
      <c r="AR575" t="s">
        <v>7409</v>
      </c>
      <c r="AS575" t="s">
        <v>7410</v>
      </c>
      <c r="AT575" t="s">
        <v>9913</v>
      </c>
      <c r="AU575">
        <v>2011</v>
      </c>
      <c r="AV575">
        <v>158</v>
      </c>
      <c r="AW575">
        <v>11</v>
      </c>
      <c r="AX575" t="s">
        <v>74</v>
      </c>
      <c r="AY575" t="s">
        <v>74</v>
      </c>
      <c r="AZ575" t="s">
        <v>74</v>
      </c>
      <c r="BA575" t="s">
        <v>74</v>
      </c>
      <c r="BB575">
        <v>2565</v>
      </c>
      <c r="BC575">
        <v>2575</v>
      </c>
      <c r="BD575" t="s">
        <v>74</v>
      </c>
      <c r="BE575" t="s">
        <v>10951</v>
      </c>
      <c r="BF575" t="str">
        <f>HYPERLINK("http://dx.doi.org/10.1007/s00227-011-1757-9","http://dx.doi.org/10.1007/s00227-011-1757-9")</f>
        <v>http://dx.doi.org/10.1007/s00227-011-1757-9</v>
      </c>
      <c r="BG575" t="s">
        <v>74</v>
      </c>
      <c r="BH575" t="s">
        <v>74</v>
      </c>
      <c r="BI575">
        <v>11</v>
      </c>
      <c r="BJ575" t="s">
        <v>1015</v>
      </c>
      <c r="BK575" t="s">
        <v>100</v>
      </c>
      <c r="BL575" t="s">
        <v>1015</v>
      </c>
      <c r="BM575" t="s">
        <v>10935</v>
      </c>
      <c r="BN575" t="s">
        <v>74</v>
      </c>
      <c r="BO575" t="s">
        <v>74</v>
      </c>
      <c r="BP575" t="s">
        <v>74</v>
      </c>
      <c r="BQ575" t="s">
        <v>74</v>
      </c>
      <c r="BR575" t="s">
        <v>102</v>
      </c>
      <c r="BS575" t="s">
        <v>10952</v>
      </c>
      <c r="BT575" t="str">
        <f>HYPERLINK("https%3A%2F%2Fwww.webofscience.com%2Fwos%2Fwoscc%2Ffull-record%2FWOS:000296088600016","View Full Record in Web of Science")</f>
        <v>View Full Record in Web of Science</v>
      </c>
    </row>
    <row r="576" spans="1:72" x14ac:dyDescent="0.15">
      <c r="A576" t="s">
        <v>72</v>
      </c>
      <c r="B576" t="s">
        <v>10953</v>
      </c>
      <c r="C576" t="s">
        <v>74</v>
      </c>
      <c r="D576" t="s">
        <v>74</v>
      </c>
      <c r="E576" t="s">
        <v>74</v>
      </c>
      <c r="F576" t="s">
        <v>10954</v>
      </c>
      <c r="G576" t="s">
        <v>74</v>
      </c>
      <c r="H576" t="s">
        <v>74</v>
      </c>
      <c r="I576" t="s">
        <v>10955</v>
      </c>
      <c r="J576" t="s">
        <v>7392</v>
      </c>
      <c r="K576" t="s">
        <v>74</v>
      </c>
      <c r="L576" t="s">
        <v>74</v>
      </c>
      <c r="M576" t="s">
        <v>78</v>
      </c>
      <c r="N576" t="s">
        <v>79</v>
      </c>
      <c r="O576" t="s">
        <v>74</v>
      </c>
      <c r="P576" t="s">
        <v>74</v>
      </c>
      <c r="Q576" t="s">
        <v>74</v>
      </c>
      <c r="R576" t="s">
        <v>74</v>
      </c>
      <c r="S576" t="s">
        <v>74</v>
      </c>
      <c r="T576" t="s">
        <v>74</v>
      </c>
      <c r="U576" t="s">
        <v>10956</v>
      </c>
      <c r="V576" t="s">
        <v>10957</v>
      </c>
      <c r="W576" t="s">
        <v>10958</v>
      </c>
      <c r="X576" t="s">
        <v>10959</v>
      </c>
      <c r="Y576" t="s">
        <v>10960</v>
      </c>
      <c r="Z576" t="s">
        <v>10961</v>
      </c>
      <c r="AA576" t="s">
        <v>10962</v>
      </c>
      <c r="AB576" t="s">
        <v>10963</v>
      </c>
      <c r="AC576" t="s">
        <v>74</v>
      </c>
      <c r="AD576" t="s">
        <v>74</v>
      </c>
      <c r="AE576" t="s">
        <v>74</v>
      </c>
      <c r="AF576" t="s">
        <v>74</v>
      </c>
      <c r="AG576">
        <v>100</v>
      </c>
      <c r="AH576">
        <v>22</v>
      </c>
      <c r="AI576">
        <v>23</v>
      </c>
      <c r="AJ576">
        <v>0</v>
      </c>
      <c r="AK576">
        <v>14</v>
      </c>
      <c r="AL576" t="s">
        <v>7404</v>
      </c>
      <c r="AM576" t="s">
        <v>7405</v>
      </c>
      <c r="AN576" t="s">
        <v>7406</v>
      </c>
      <c r="AO576" t="s">
        <v>7407</v>
      </c>
      <c r="AP576" t="s">
        <v>7408</v>
      </c>
      <c r="AQ576" t="s">
        <v>74</v>
      </c>
      <c r="AR576" t="s">
        <v>7409</v>
      </c>
      <c r="AS576" t="s">
        <v>7410</v>
      </c>
      <c r="AT576" t="s">
        <v>9913</v>
      </c>
      <c r="AU576">
        <v>2011</v>
      </c>
      <c r="AV576">
        <v>158</v>
      </c>
      <c r="AW576">
        <v>11</v>
      </c>
      <c r="AX576" t="s">
        <v>74</v>
      </c>
      <c r="AY576" t="s">
        <v>74</v>
      </c>
      <c r="AZ576" t="s">
        <v>74</v>
      </c>
      <c r="BA576" t="s">
        <v>74</v>
      </c>
      <c r="BB576">
        <v>2589</v>
      </c>
      <c r="BC576">
        <v>2602</v>
      </c>
      <c r="BD576" t="s">
        <v>74</v>
      </c>
      <c r="BE576" t="s">
        <v>10964</v>
      </c>
      <c r="BF576" t="str">
        <f>HYPERLINK("http://dx.doi.org/10.1007/s00227-011-1760-1","http://dx.doi.org/10.1007/s00227-011-1760-1")</f>
        <v>http://dx.doi.org/10.1007/s00227-011-1760-1</v>
      </c>
      <c r="BG576" t="s">
        <v>74</v>
      </c>
      <c r="BH576" t="s">
        <v>74</v>
      </c>
      <c r="BI576">
        <v>14</v>
      </c>
      <c r="BJ576" t="s">
        <v>1015</v>
      </c>
      <c r="BK576" t="s">
        <v>100</v>
      </c>
      <c r="BL576" t="s">
        <v>1015</v>
      </c>
      <c r="BM576" t="s">
        <v>10935</v>
      </c>
      <c r="BN576" t="s">
        <v>74</v>
      </c>
      <c r="BO576" t="s">
        <v>74</v>
      </c>
      <c r="BP576" t="s">
        <v>74</v>
      </c>
      <c r="BQ576" t="s">
        <v>74</v>
      </c>
      <c r="BR576" t="s">
        <v>102</v>
      </c>
      <c r="BS576" t="s">
        <v>10965</v>
      </c>
      <c r="BT576" t="str">
        <f>HYPERLINK("https%3A%2F%2Fwww.webofscience.com%2Fwos%2Fwoscc%2Ffull-record%2FWOS:000296088600018","View Full Record in Web of Science")</f>
        <v>View Full Record in Web of Science</v>
      </c>
    </row>
    <row r="577" spans="1:72" x14ac:dyDescent="0.15">
      <c r="A577" t="s">
        <v>72</v>
      </c>
      <c r="B577" t="s">
        <v>10966</v>
      </c>
      <c r="C577" t="s">
        <v>74</v>
      </c>
      <c r="D577" t="s">
        <v>74</v>
      </c>
      <c r="E577" t="s">
        <v>74</v>
      </c>
      <c r="F577" t="s">
        <v>10967</v>
      </c>
      <c r="G577" t="s">
        <v>74</v>
      </c>
      <c r="H577" t="s">
        <v>74</v>
      </c>
      <c r="I577" t="s">
        <v>10968</v>
      </c>
      <c r="J577" t="s">
        <v>2376</v>
      </c>
      <c r="K577" t="s">
        <v>74</v>
      </c>
      <c r="L577" t="s">
        <v>74</v>
      </c>
      <c r="M577" t="s">
        <v>78</v>
      </c>
      <c r="N577" t="s">
        <v>79</v>
      </c>
      <c r="O577" t="s">
        <v>74</v>
      </c>
      <c r="P577" t="s">
        <v>74</v>
      </c>
      <c r="Q577" t="s">
        <v>74</v>
      </c>
      <c r="R577" t="s">
        <v>74</v>
      </c>
      <c r="S577" t="s">
        <v>74</v>
      </c>
      <c r="T577" t="s">
        <v>10969</v>
      </c>
      <c r="U577" t="s">
        <v>10970</v>
      </c>
      <c r="V577" t="s">
        <v>10971</v>
      </c>
      <c r="W577" t="s">
        <v>10972</v>
      </c>
      <c r="X577" t="s">
        <v>10973</v>
      </c>
      <c r="Y577" t="s">
        <v>10974</v>
      </c>
      <c r="Z577" t="s">
        <v>10975</v>
      </c>
      <c r="AA577" t="s">
        <v>10976</v>
      </c>
      <c r="AB577" t="s">
        <v>10977</v>
      </c>
      <c r="AC577" t="s">
        <v>10978</v>
      </c>
      <c r="AD577" t="s">
        <v>10979</v>
      </c>
      <c r="AE577" t="s">
        <v>10980</v>
      </c>
      <c r="AF577" t="s">
        <v>74</v>
      </c>
      <c r="AG577">
        <v>49</v>
      </c>
      <c r="AH577">
        <v>61</v>
      </c>
      <c r="AI577">
        <v>61</v>
      </c>
      <c r="AJ577">
        <v>0</v>
      </c>
      <c r="AK577">
        <v>18</v>
      </c>
      <c r="AL577" t="s">
        <v>155</v>
      </c>
      <c r="AM577" t="s">
        <v>156</v>
      </c>
      <c r="AN577" t="s">
        <v>157</v>
      </c>
      <c r="AO577" t="s">
        <v>2387</v>
      </c>
      <c r="AP577" t="s">
        <v>2388</v>
      </c>
      <c r="AQ577" t="s">
        <v>74</v>
      </c>
      <c r="AR577" t="s">
        <v>2389</v>
      </c>
      <c r="AS577" t="s">
        <v>2390</v>
      </c>
      <c r="AT577" t="s">
        <v>9913</v>
      </c>
      <c r="AU577">
        <v>2011</v>
      </c>
      <c r="AV577">
        <v>58</v>
      </c>
      <c r="AW577" t="s">
        <v>10981</v>
      </c>
      <c r="AX577" t="s">
        <v>74</v>
      </c>
      <c r="AY577" t="s">
        <v>74</v>
      </c>
      <c r="AZ577" t="s">
        <v>74</v>
      </c>
      <c r="BA577" t="s">
        <v>74</v>
      </c>
      <c r="BB577">
        <v>2059</v>
      </c>
      <c r="BC577">
        <v>2070</v>
      </c>
      <c r="BD577" t="s">
        <v>74</v>
      </c>
      <c r="BE577" t="s">
        <v>10982</v>
      </c>
      <c r="BF577" t="str">
        <f>HYPERLINK("http://dx.doi.org/10.1016/j.dsr2.2011.05.033","http://dx.doi.org/10.1016/j.dsr2.2011.05.033")</f>
        <v>http://dx.doi.org/10.1016/j.dsr2.2011.05.033</v>
      </c>
      <c r="BG577" t="s">
        <v>74</v>
      </c>
      <c r="BH577" t="s">
        <v>74</v>
      </c>
      <c r="BI577">
        <v>12</v>
      </c>
      <c r="BJ577" t="s">
        <v>496</v>
      </c>
      <c r="BK577" t="s">
        <v>100</v>
      </c>
      <c r="BL577" t="s">
        <v>496</v>
      </c>
      <c r="BM577" t="s">
        <v>10983</v>
      </c>
      <c r="BN577" t="s">
        <v>74</v>
      </c>
      <c r="BO577" t="s">
        <v>74</v>
      </c>
      <c r="BP577" t="s">
        <v>74</v>
      </c>
      <c r="BQ577" t="s">
        <v>74</v>
      </c>
      <c r="BR577" t="s">
        <v>102</v>
      </c>
      <c r="BS577" t="s">
        <v>10984</v>
      </c>
      <c r="BT577" t="str">
        <f>HYPERLINK("https%3A%2F%2Fwww.webofscience.com%2Fwos%2Fwoscc%2Ffull-record%2FWOS:000295762400002","View Full Record in Web of Science")</f>
        <v>View Full Record in Web of Science</v>
      </c>
    </row>
    <row r="578" spans="1:72" x14ac:dyDescent="0.15">
      <c r="A578" t="s">
        <v>72</v>
      </c>
      <c r="B578" t="s">
        <v>10985</v>
      </c>
      <c r="C578" t="s">
        <v>74</v>
      </c>
      <c r="D578" t="s">
        <v>74</v>
      </c>
      <c r="E578" t="s">
        <v>74</v>
      </c>
      <c r="F578" t="s">
        <v>10986</v>
      </c>
      <c r="G578" t="s">
        <v>74</v>
      </c>
      <c r="H578" t="s">
        <v>74</v>
      </c>
      <c r="I578" t="s">
        <v>10987</v>
      </c>
      <c r="J578" t="s">
        <v>2376</v>
      </c>
      <c r="K578" t="s">
        <v>74</v>
      </c>
      <c r="L578" t="s">
        <v>74</v>
      </c>
      <c r="M578" t="s">
        <v>78</v>
      </c>
      <c r="N578" t="s">
        <v>79</v>
      </c>
      <c r="O578" t="s">
        <v>74</v>
      </c>
      <c r="P578" t="s">
        <v>74</v>
      </c>
      <c r="Q578" t="s">
        <v>74</v>
      </c>
      <c r="R578" t="s">
        <v>74</v>
      </c>
      <c r="S578" t="s">
        <v>74</v>
      </c>
      <c r="T578" t="s">
        <v>10988</v>
      </c>
      <c r="U578" t="s">
        <v>10989</v>
      </c>
      <c r="V578" t="s">
        <v>10990</v>
      </c>
      <c r="W578" t="s">
        <v>10991</v>
      </c>
      <c r="X578" t="s">
        <v>10992</v>
      </c>
      <c r="Y578" t="s">
        <v>10993</v>
      </c>
      <c r="Z578" t="s">
        <v>10994</v>
      </c>
      <c r="AA578" t="s">
        <v>10995</v>
      </c>
      <c r="AB578" t="s">
        <v>10996</v>
      </c>
      <c r="AC578" t="s">
        <v>10997</v>
      </c>
      <c r="AD578" t="s">
        <v>10998</v>
      </c>
      <c r="AE578" t="s">
        <v>10999</v>
      </c>
      <c r="AF578" t="s">
        <v>74</v>
      </c>
      <c r="AG578">
        <v>36</v>
      </c>
      <c r="AH578">
        <v>33</v>
      </c>
      <c r="AI578">
        <v>33</v>
      </c>
      <c r="AJ578">
        <v>0</v>
      </c>
      <c r="AK578">
        <v>18</v>
      </c>
      <c r="AL578" t="s">
        <v>155</v>
      </c>
      <c r="AM578" t="s">
        <v>156</v>
      </c>
      <c r="AN578" t="s">
        <v>157</v>
      </c>
      <c r="AO578" t="s">
        <v>2387</v>
      </c>
      <c r="AP578" t="s">
        <v>2388</v>
      </c>
      <c r="AQ578" t="s">
        <v>74</v>
      </c>
      <c r="AR578" t="s">
        <v>2389</v>
      </c>
      <c r="AS578" t="s">
        <v>2390</v>
      </c>
      <c r="AT578" t="s">
        <v>9913</v>
      </c>
      <c r="AU578">
        <v>2011</v>
      </c>
      <c r="AV578">
        <v>58</v>
      </c>
      <c r="AW578" t="s">
        <v>10981</v>
      </c>
      <c r="AX578" t="s">
        <v>74</v>
      </c>
      <c r="AY578" t="s">
        <v>74</v>
      </c>
      <c r="AZ578" t="s">
        <v>74</v>
      </c>
      <c r="BA578" t="s">
        <v>74</v>
      </c>
      <c r="BB578">
        <v>2071</v>
      </c>
      <c r="BC578">
        <v>2081</v>
      </c>
      <c r="BD578" t="s">
        <v>74</v>
      </c>
      <c r="BE578" t="s">
        <v>11000</v>
      </c>
      <c r="BF578" t="str">
        <f>HYPERLINK("http://dx.doi.org/10.1016/j.dsr2.2011.05.022","http://dx.doi.org/10.1016/j.dsr2.2011.05.022")</f>
        <v>http://dx.doi.org/10.1016/j.dsr2.2011.05.022</v>
      </c>
      <c r="BG578" t="s">
        <v>74</v>
      </c>
      <c r="BH578" t="s">
        <v>74</v>
      </c>
      <c r="BI578">
        <v>11</v>
      </c>
      <c r="BJ578" t="s">
        <v>496</v>
      </c>
      <c r="BK578" t="s">
        <v>100</v>
      </c>
      <c r="BL578" t="s">
        <v>496</v>
      </c>
      <c r="BM578" t="s">
        <v>10983</v>
      </c>
      <c r="BN578" t="s">
        <v>74</v>
      </c>
      <c r="BO578" t="s">
        <v>74</v>
      </c>
      <c r="BP578" t="s">
        <v>74</v>
      </c>
      <c r="BQ578" t="s">
        <v>74</v>
      </c>
      <c r="BR578" t="s">
        <v>102</v>
      </c>
      <c r="BS578" t="s">
        <v>11001</v>
      </c>
      <c r="BT578" t="str">
        <f>HYPERLINK("https%3A%2F%2Fwww.webofscience.com%2Fwos%2Fwoscc%2Ffull-record%2FWOS:000295762400003","View Full Record in Web of Science")</f>
        <v>View Full Record in Web of Science</v>
      </c>
    </row>
    <row r="579" spans="1:72" x14ac:dyDescent="0.15">
      <c r="A579" t="s">
        <v>72</v>
      </c>
      <c r="B579" t="s">
        <v>11002</v>
      </c>
      <c r="C579" t="s">
        <v>74</v>
      </c>
      <c r="D579" t="s">
        <v>74</v>
      </c>
      <c r="E579" t="s">
        <v>74</v>
      </c>
      <c r="F579" t="s">
        <v>11003</v>
      </c>
      <c r="G579" t="s">
        <v>74</v>
      </c>
      <c r="H579" t="s">
        <v>74</v>
      </c>
      <c r="I579" t="s">
        <v>11004</v>
      </c>
      <c r="J579" t="s">
        <v>2376</v>
      </c>
      <c r="K579" t="s">
        <v>74</v>
      </c>
      <c r="L579" t="s">
        <v>74</v>
      </c>
      <c r="M579" t="s">
        <v>78</v>
      </c>
      <c r="N579" t="s">
        <v>79</v>
      </c>
      <c r="O579" t="s">
        <v>74</v>
      </c>
      <c r="P579" t="s">
        <v>74</v>
      </c>
      <c r="Q579" t="s">
        <v>74</v>
      </c>
      <c r="R579" t="s">
        <v>74</v>
      </c>
      <c r="S579" t="s">
        <v>74</v>
      </c>
      <c r="T579" t="s">
        <v>11005</v>
      </c>
      <c r="U579" t="s">
        <v>11006</v>
      </c>
      <c r="V579" t="s">
        <v>11007</v>
      </c>
      <c r="W579" t="s">
        <v>11008</v>
      </c>
      <c r="X579" t="s">
        <v>11009</v>
      </c>
      <c r="Y579" t="s">
        <v>11010</v>
      </c>
      <c r="Z579" t="s">
        <v>11011</v>
      </c>
      <c r="AA579" t="s">
        <v>11012</v>
      </c>
      <c r="AB579" t="s">
        <v>11013</v>
      </c>
      <c r="AC579" t="s">
        <v>11014</v>
      </c>
      <c r="AD579" t="s">
        <v>11015</v>
      </c>
      <c r="AE579" t="s">
        <v>11016</v>
      </c>
      <c r="AF579" t="s">
        <v>74</v>
      </c>
      <c r="AG579">
        <v>34</v>
      </c>
      <c r="AH579">
        <v>31</v>
      </c>
      <c r="AI579">
        <v>32</v>
      </c>
      <c r="AJ579">
        <v>0</v>
      </c>
      <c r="AK579">
        <v>13</v>
      </c>
      <c r="AL579" t="s">
        <v>155</v>
      </c>
      <c r="AM579" t="s">
        <v>156</v>
      </c>
      <c r="AN579" t="s">
        <v>157</v>
      </c>
      <c r="AO579" t="s">
        <v>2387</v>
      </c>
      <c r="AP579" t="s">
        <v>2388</v>
      </c>
      <c r="AQ579" t="s">
        <v>74</v>
      </c>
      <c r="AR579" t="s">
        <v>2389</v>
      </c>
      <c r="AS579" t="s">
        <v>2390</v>
      </c>
      <c r="AT579" t="s">
        <v>9913</v>
      </c>
      <c r="AU579">
        <v>2011</v>
      </c>
      <c r="AV579">
        <v>58</v>
      </c>
      <c r="AW579" t="s">
        <v>10981</v>
      </c>
      <c r="AX579" t="s">
        <v>74</v>
      </c>
      <c r="AY579" t="s">
        <v>74</v>
      </c>
      <c r="AZ579" t="s">
        <v>74</v>
      </c>
      <c r="BA579" t="s">
        <v>74</v>
      </c>
      <c r="BB579">
        <v>2082</v>
      </c>
      <c r="BC579">
        <v>2093</v>
      </c>
      <c r="BD579" t="s">
        <v>74</v>
      </c>
      <c r="BE579" t="s">
        <v>11017</v>
      </c>
      <c r="BF579" t="str">
        <f>HYPERLINK("http://dx.doi.org/10.1016/j.dsr2.2011.06.002","http://dx.doi.org/10.1016/j.dsr2.2011.06.002")</f>
        <v>http://dx.doi.org/10.1016/j.dsr2.2011.06.002</v>
      </c>
      <c r="BG579" t="s">
        <v>74</v>
      </c>
      <c r="BH579" t="s">
        <v>74</v>
      </c>
      <c r="BI579">
        <v>12</v>
      </c>
      <c r="BJ579" t="s">
        <v>496</v>
      </c>
      <c r="BK579" t="s">
        <v>100</v>
      </c>
      <c r="BL579" t="s">
        <v>496</v>
      </c>
      <c r="BM579" t="s">
        <v>10983</v>
      </c>
      <c r="BN579" t="s">
        <v>74</v>
      </c>
      <c r="BO579" t="s">
        <v>74</v>
      </c>
      <c r="BP579" t="s">
        <v>74</v>
      </c>
      <c r="BQ579" t="s">
        <v>74</v>
      </c>
      <c r="BR579" t="s">
        <v>102</v>
      </c>
      <c r="BS579" t="s">
        <v>11018</v>
      </c>
      <c r="BT579" t="str">
        <f>HYPERLINK("https%3A%2F%2Fwww.webofscience.com%2Fwos%2Fwoscc%2Ffull-record%2FWOS:000295762400004","View Full Record in Web of Science")</f>
        <v>View Full Record in Web of Science</v>
      </c>
    </row>
    <row r="580" spans="1:72" x14ac:dyDescent="0.15">
      <c r="A580" t="s">
        <v>72</v>
      </c>
      <c r="B580" t="s">
        <v>11019</v>
      </c>
      <c r="C580" t="s">
        <v>74</v>
      </c>
      <c r="D580" t="s">
        <v>74</v>
      </c>
      <c r="E580" t="s">
        <v>74</v>
      </c>
      <c r="F580" t="s">
        <v>11020</v>
      </c>
      <c r="G580" t="s">
        <v>74</v>
      </c>
      <c r="H580" t="s">
        <v>74</v>
      </c>
      <c r="I580" t="s">
        <v>11021</v>
      </c>
      <c r="J580" t="s">
        <v>2376</v>
      </c>
      <c r="K580" t="s">
        <v>74</v>
      </c>
      <c r="L580" t="s">
        <v>74</v>
      </c>
      <c r="M580" t="s">
        <v>78</v>
      </c>
      <c r="N580" t="s">
        <v>79</v>
      </c>
      <c r="O580" t="s">
        <v>74</v>
      </c>
      <c r="P580" t="s">
        <v>74</v>
      </c>
      <c r="Q580" t="s">
        <v>74</v>
      </c>
      <c r="R580" t="s">
        <v>74</v>
      </c>
      <c r="S580" t="s">
        <v>74</v>
      </c>
      <c r="T580" t="s">
        <v>11022</v>
      </c>
      <c r="U580" t="s">
        <v>11023</v>
      </c>
      <c r="V580" t="s">
        <v>11024</v>
      </c>
      <c r="W580" t="s">
        <v>11025</v>
      </c>
      <c r="X580" t="s">
        <v>11026</v>
      </c>
      <c r="Y580" t="s">
        <v>11027</v>
      </c>
      <c r="Z580" t="s">
        <v>11028</v>
      </c>
      <c r="AA580" t="s">
        <v>11029</v>
      </c>
      <c r="AB580" t="s">
        <v>11030</v>
      </c>
      <c r="AC580" t="s">
        <v>11031</v>
      </c>
      <c r="AD580" t="s">
        <v>11032</v>
      </c>
      <c r="AE580" t="s">
        <v>11033</v>
      </c>
      <c r="AF580" t="s">
        <v>74</v>
      </c>
      <c r="AG580">
        <v>73</v>
      </c>
      <c r="AH580">
        <v>61</v>
      </c>
      <c r="AI580">
        <v>62</v>
      </c>
      <c r="AJ580">
        <v>0</v>
      </c>
      <c r="AK580">
        <v>35</v>
      </c>
      <c r="AL580" t="s">
        <v>155</v>
      </c>
      <c r="AM580" t="s">
        <v>156</v>
      </c>
      <c r="AN580" t="s">
        <v>157</v>
      </c>
      <c r="AO580" t="s">
        <v>2387</v>
      </c>
      <c r="AP580" t="s">
        <v>74</v>
      </c>
      <c r="AQ580" t="s">
        <v>74</v>
      </c>
      <c r="AR580" t="s">
        <v>2389</v>
      </c>
      <c r="AS580" t="s">
        <v>2390</v>
      </c>
      <c r="AT580" t="s">
        <v>9913</v>
      </c>
      <c r="AU580">
        <v>2011</v>
      </c>
      <c r="AV580">
        <v>58</v>
      </c>
      <c r="AW580" t="s">
        <v>10981</v>
      </c>
      <c r="AX580" t="s">
        <v>74</v>
      </c>
      <c r="AY580" t="s">
        <v>74</v>
      </c>
      <c r="AZ580" t="s">
        <v>74</v>
      </c>
      <c r="BA580" t="s">
        <v>74</v>
      </c>
      <c r="BB580">
        <v>2094</v>
      </c>
      <c r="BC580">
        <v>2112</v>
      </c>
      <c r="BD580" t="s">
        <v>74</v>
      </c>
      <c r="BE580" t="s">
        <v>11034</v>
      </c>
      <c r="BF580" t="str">
        <f>HYPERLINK("http://dx.doi.org/10.1016/j.dsr2.2011.05.027","http://dx.doi.org/10.1016/j.dsr2.2011.05.027")</f>
        <v>http://dx.doi.org/10.1016/j.dsr2.2011.05.027</v>
      </c>
      <c r="BG580" t="s">
        <v>74</v>
      </c>
      <c r="BH580" t="s">
        <v>74</v>
      </c>
      <c r="BI580">
        <v>19</v>
      </c>
      <c r="BJ580" t="s">
        <v>496</v>
      </c>
      <c r="BK580" t="s">
        <v>100</v>
      </c>
      <c r="BL580" t="s">
        <v>496</v>
      </c>
      <c r="BM580" t="s">
        <v>10983</v>
      </c>
      <c r="BN580" t="s">
        <v>74</v>
      </c>
      <c r="BO580" t="s">
        <v>1796</v>
      </c>
      <c r="BP580" t="s">
        <v>74</v>
      </c>
      <c r="BQ580" t="s">
        <v>74</v>
      </c>
      <c r="BR580" t="s">
        <v>102</v>
      </c>
      <c r="BS580" t="s">
        <v>11035</v>
      </c>
      <c r="BT580" t="str">
        <f>HYPERLINK("https%3A%2F%2Fwww.webofscience.com%2Fwos%2Fwoscc%2Ffull-record%2FWOS:000295762400005","View Full Record in Web of Science")</f>
        <v>View Full Record in Web of Science</v>
      </c>
    </row>
    <row r="581" spans="1:72" x14ac:dyDescent="0.15">
      <c r="A581" t="s">
        <v>72</v>
      </c>
      <c r="B581" t="s">
        <v>11036</v>
      </c>
      <c r="C581" t="s">
        <v>74</v>
      </c>
      <c r="D581" t="s">
        <v>74</v>
      </c>
      <c r="E581" t="s">
        <v>74</v>
      </c>
      <c r="F581" t="s">
        <v>11037</v>
      </c>
      <c r="G581" t="s">
        <v>74</v>
      </c>
      <c r="H581" t="s">
        <v>74</v>
      </c>
      <c r="I581" t="s">
        <v>11038</v>
      </c>
      <c r="J581" t="s">
        <v>2376</v>
      </c>
      <c r="K581" t="s">
        <v>74</v>
      </c>
      <c r="L581" t="s">
        <v>74</v>
      </c>
      <c r="M581" t="s">
        <v>78</v>
      </c>
      <c r="N581" t="s">
        <v>79</v>
      </c>
      <c r="O581" t="s">
        <v>74</v>
      </c>
      <c r="P581" t="s">
        <v>74</v>
      </c>
      <c r="Q581" t="s">
        <v>74</v>
      </c>
      <c r="R581" t="s">
        <v>74</v>
      </c>
      <c r="S581" t="s">
        <v>74</v>
      </c>
      <c r="T581" t="s">
        <v>11039</v>
      </c>
      <c r="U581" t="s">
        <v>11040</v>
      </c>
      <c r="V581" t="s">
        <v>11041</v>
      </c>
      <c r="W581" t="s">
        <v>11042</v>
      </c>
      <c r="X581" t="s">
        <v>11043</v>
      </c>
      <c r="Y581" t="s">
        <v>11044</v>
      </c>
      <c r="Z581" t="s">
        <v>11045</v>
      </c>
      <c r="AA581" t="s">
        <v>11046</v>
      </c>
      <c r="AB581" t="s">
        <v>11047</v>
      </c>
      <c r="AC581" t="s">
        <v>11048</v>
      </c>
      <c r="AD581" t="s">
        <v>11049</v>
      </c>
      <c r="AE581" t="s">
        <v>11050</v>
      </c>
      <c r="AF581" t="s">
        <v>74</v>
      </c>
      <c r="AG581">
        <v>72</v>
      </c>
      <c r="AH581">
        <v>66</v>
      </c>
      <c r="AI581">
        <v>72</v>
      </c>
      <c r="AJ581">
        <v>1</v>
      </c>
      <c r="AK581">
        <v>34</v>
      </c>
      <c r="AL581" t="s">
        <v>155</v>
      </c>
      <c r="AM581" t="s">
        <v>156</v>
      </c>
      <c r="AN581" t="s">
        <v>157</v>
      </c>
      <c r="AO581" t="s">
        <v>2387</v>
      </c>
      <c r="AP581" t="s">
        <v>74</v>
      </c>
      <c r="AQ581" t="s">
        <v>74</v>
      </c>
      <c r="AR581" t="s">
        <v>2389</v>
      </c>
      <c r="AS581" t="s">
        <v>2390</v>
      </c>
      <c r="AT581" t="s">
        <v>9913</v>
      </c>
      <c r="AU581">
        <v>2011</v>
      </c>
      <c r="AV581">
        <v>58</v>
      </c>
      <c r="AW581" t="s">
        <v>10981</v>
      </c>
      <c r="AX581" t="s">
        <v>74</v>
      </c>
      <c r="AY581" t="s">
        <v>74</v>
      </c>
      <c r="AZ581" t="s">
        <v>74</v>
      </c>
      <c r="BA581" t="s">
        <v>74</v>
      </c>
      <c r="BB581">
        <v>2113</v>
      </c>
      <c r="BC581">
        <v>2125</v>
      </c>
      <c r="BD581" t="s">
        <v>74</v>
      </c>
      <c r="BE581" t="s">
        <v>11051</v>
      </c>
      <c r="BF581" t="str">
        <f>HYPERLINK("http://dx.doi.org/10.1016/j.dsr2.2011.05.028","http://dx.doi.org/10.1016/j.dsr2.2011.05.028")</f>
        <v>http://dx.doi.org/10.1016/j.dsr2.2011.05.028</v>
      </c>
      <c r="BG581" t="s">
        <v>74</v>
      </c>
      <c r="BH581" t="s">
        <v>74</v>
      </c>
      <c r="BI581">
        <v>13</v>
      </c>
      <c r="BJ581" t="s">
        <v>496</v>
      </c>
      <c r="BK581" t="s">
        <v>100</v>
      </c>
      <c r="BL581" t="s">
        <v>496</v>
      </c>
      <c r="BM581" t="s">
        <v>10983</v>
      </c>
      <c r="BN581" t="s">
        <v>74</v>
      </c>
      <c r="BO581" t="s">
        <v>74</v>
      </c>
      <c r="BP581" t="s">
        <v>74</v>
      </c>
      <c r="BQ581" t="s">
        <v>74</v>
      </c>
      <c r="BR581" t="s">
        <v>102</v>
      </c>
      <c r="BS581" t="s">
        <v>11052</v>
      </c>
      <c r="BT581" t="str">
        <f>HYPERLINK("https%3A%2F%2Fwww.webofscience.com%2Fwos%2Fwoscc%2Ffull-record%2FWOS:000295762400006","View Full Record in Web of Science")</f>
        <v>View Full Record in Web of Science</v>
      </c>
    </row>
    <row r="582" spans="1:72" x14ac:dyDescent="0.15">
      <c r="A582" t="s">
        <v>72</v>
      </c>
      <c r="B582" t="s">
        <v>11002</v>
      </c>
      <c r="C582" t="s">
        <v>74</v>
      </c>
      <c r="D582" t="s">
        <v>74</v>
      </c>
      <c r="E582" t="s">
        <v>74</v>
      </c>
      <c r="F582" t="s">
        <v>11003</v>
      </c>
      <c r="G582" t="s">
        <v>74</v>
      </c>
      <c r="H582" t="s">
        <v>74</v>
      </c>
      <c r="I582" t="s">
        <v>11053</v>
      </c>
      <c r="J582" t="s">
        <v>2376</v>
      </c>
      <c r="K582" t="s">
        <v>74</v>
      </c>
      <c r="L582" t="s">
        <v>74</v>
      </c>
      <c r="M582" t="s">
        <v>78</v>
      </c>
      <c r="N582" t="s">
        <v>79</v>
      </c>
      <c r="O582" t="s">
        <v>74</v>
      </c>
      <c r="P582" t="s">
        <v>74</v>
      </c>
      <c r="Q582" t="s">
        <v>74</v>
      </c>
      <c r="R582" t="s">
        <v>74</v>
      </c>
      <c r="S582" t="s">
        <v>74</v>
      </c>
      <c r="T582" t="s">
        <v>11054</v>
      </c>
      <c r="U582" t="s">
        <v>11055</v>
      </c>
      <c r="V582" t="s">
        <v>11056</v>
      </c>
      <c r="W582" t="s">
        <v>11057</v>
      </c>
      <c r="X582" t="s">
        <v>11009</v>
      </c>
      <c r="Y582" t="s">
        <v>11010</v>
      </c>
      <c r="Z582" t="s">
        <v>11011</v>
      </c>
      <c r="AA582" t="s">
        <v>11012</v>
      </c>
      <c r="AB582" t="s">
        <v>11058</v>
      </c>
      <c r="AC582" t="s">
        <v>11059</v>
      </c>
      <c r="AD582" t="s">
        <v>11060</v>
      </c>
      <c r="AE582" t="s">
        <v>11061</v>
      </c>
      <c r="AF582" t="s">
        <v>74</v>
      </c>
      <c r="AG582">
        <v>49</v>
      </c>
      <c r="AH582">
        <v>15</v>
      </c>
      <c r="AI582">
        <v>15</v>
      </c>
      <c r="AJ582">
        <v>0</v>
      </c>
      <c r="AK582">
        <v>17</v>
      </c>
      <c r="AL582" t="s">
        <v>155</v>
      </c>
      <c r="AM582" t="s">
        <v>156</v>
      </c>
      <c r="AN582" t="s">
        <v>157</v>
      </c>
      <c r="AO582" t="s">
        <v>2387</v>
      </c>
      <c r="AP582" t="s">
        <v>2388</v>
      </c>
      <c r="AQ582" t="s">
        <v>74</v>
      </c>
      <c r="AR582" t="s">
        <v>2389</v>
      </c>
      <c r="AS582" t="s">
        <v>2390</v>
      </c>
      <c r="AT582" t="s">
        <v>9913</v>
      </c>
      <c r="AU582">
        <v>2011</v>
      </c>
      <c r="AV582">
        <v>58</v>
      </c>
      <c r="AW582" t="s">
        <v>10981</v>
      </c>
      <c r="AX582" t="s">
        <v>74</v>
      </c>
      <c r="AY582" t="s">
        <v>74</v>
      </c>
      <c r="AZ582" t="s">
        <v>74</v>
      </c>
      <c r="BA582" t="s">
        <v>74</v>
      </c>
      <c r="BB582">
        <v>2126</v>
      </c>
      <c r="BC582">
        <v>2134</v>
      </c>
      <c r="BD582" t="s">
        <v>74</v>
      </c>
      <c r="BE582" t="s">
        <v>11062</v>
      </c>
      <c r="BF582" t="str">
        <f>HYPERLINK("http://dx.doi.org/10.1016/j.dsr2.2011.06.001","http://dx.doi.org/10.1016/j.dsr2.2011.06.001")</f>
        <v>http://dx.doi.org/10.1016/j.dsr2.2011.06.001</v>
      </c>
      <c r="BG582" t="s">
        <v>74</v>
      </c>
      <c r="BH582" t="s">
        <v>74</v>
      </c>
      <c r="BI582">
        <v>9</v>
      </c>
      <c r="BJ582" t="s">
        <v>496</v>
      </c>
      <c r="BK582" t="s">
        <v>100</v>
      </c>
      <c r="BL582" t="s">
        <v>496</v>
      </c>
      <c r="BM582" t="s">
        <v>10983</v>
      </c>
      <c r="BN582" t="s">
        <v>74</v>
      </c>
      <c r="BO582" t="s">
        <v>74</v>
      </c>
      <c r="BP582" t="s">
        <v>74</v>
      </c>
      <c r="BQ582" t="s">
        <v>74</v>
      </c>
      <c r="BR582" t="s">
        <v>102</v>
      </c>
      <c r="BS582" t="s">
        <v>11063</v>
      </c>
      <c r="BT582" t="str">
        <f>HYPERLINK("https%3A%2F%2Fwww.webofscience.com%2Fwos%2Fwoscc%2Ffull-record%2FWOS:000295762400007","View Full Record in Web of Science")</f>
        <v>View Full Record in Web of Science</v>
      </c>
    </row>
    <row r="583" spans="1:72" x14ac:dyDescent="0.15">
      <c r="A583" t="s">
        <v>72</v>
      </c>
      <c r="B583" t="s">
        <v>11064</v>
      </c>
      <c r="C583" t="s">
        <v>74</v>
      </c>
      <c r="D583" t="s">
        <v>74</v>
      </c>
      <c r="E583" t="s">
        <v>74</v>
      </c>
      <c r="F583" t="s">
        <v>11065</v>
      </c>
      <c r="G583" t="s">
        <v>74</v>
      </c>
      <c r="H583" t="s">
        <v>74</v>
      </c>
      <c r="I583" t="s">
        <v>11066</v>
      </c>
      <c r="J583" t="s">
        <v>2376</v>
      </c>
      <c r="K583" t="s">
        <v>74</v>
      </c>
      <c r="L583" t="s">
        <v>74</v>
      </c>
      <c r="M583" t="s">
        <v>78</v>
      </c>
      <c r="N583" t="s">
        <v>79</v>
      </c>
      <c r="O583" t="s">
        <v>74</v>
      </c>
      <c r="P583" t="s">
        <v>74</v>
      </c>
      <c r="Q583" t="s">
        <v>74</v>
      </c>
      <c r="R583" t="s">
        <v>74</v>
      </c>
      <c r="S583" t="s">
        <v>74</v>
      </c>
      <c r="T583" t="s">
        <v>11067</v>
      </c>
      <c r="U583" t="s">
        <v>11068</v>
      </c>
      <c r="V583" t="s">
        <v>11069</v>
      </c>
      <c r="W583" t="s">
        <v>11070</v>
      </c>
      <c r="X583" t="s">
        <v>375</v>
      </c>
      <c r="Y583" t="s">
        <v>11071</v>
      </c>
      <c r="Z583" t="s">
        <v>11072</v>
      </c>
      <c r="AA583" t="s">
        <v>11073</v>
      </c>
      <c r="AB583" t="s">
        <v>11074</v>
      </c>
      <c r="AC583" t="s">
        <v>74</v>
      </c>
      <c r="AD583" t="s">
        <v>74</v>
      </c>
      <c r="AE583" t="s">
        <v>74</v>
      </c>
      <c r="AF583" t="s">
        <v>74</v>
      </c>
      <c r="AG583">
        <v>78</v>
      </c>
      <c r="AH583">
        <v>45</v>
      </c>
      <c r="AI583">
        <v>45</v>
      </c>
      <c r="AJ583">
        <v>0</v>
      </c>
      <c r="AK583">
        <v>14</v>
      </c>
      <c r="AL583" t="s">
        <v>155</v>
      </c>
      <c r="AM583" t="s">
        <v>156</v>
      </c>
      <c r="AN583" t="s">
        <v>157</v>
      </c>
      <c r="AO583" t="s">
        <v>2387</v>
      </c>
      <c r="AP583" t="s">
        <v>2388</v>
      </c>
      <c r="AQ583" t="s">
        <v>74</v>
      </c>
      <c r="AR583" t="s">
        <v>2389</v>
      </c>
      <c r="AS583" t="s">
        <v>2390</v>
      </c>
      <c r="AT583" t="s">
        <v>9913</v>
      </c>
      <c r="AU583">
        <v>2011</v>
      </c>
      <c r="AV583">
        <v>58</v>
      </c>
      <c r="AW583" t="s">
        <v>10981</v>
      </c>
      <c r="AX583" t="s">
        <v>74</v>
      </c>
      <c r="AY583" t="s">
        <v>74</v>
      </c>
      <c r="AZ583" t="s">
        <v>74</v>
      </c>
      <c r="BA583" t="s">
        <v>74</v>
      </c>
      <c r="BB583">
        <v>2135</v>
      </c>
      <c r="BC583">
        <v>2149</v>
      </c>
      <c r="BD583" t="s">
        <v>74</v>
      </c>
      <c r="BE583" t="s">
        <v>11075</v>
      </c>
      <c r="BF583" t="str">
        <f>HYPERLINK("http://dx.doi.org/10.1016/j.dsr2.2011.05.032","http://dx.doi.org/10.1016/j.dsr2.2011.05.032")</f>
        <v>http://dx.doi.org/10.1016/j.dsr2.2011.05.032</v>
      </c>
      <c r="BG583" t="s">
        <v>74</v>
      </c>
      <c r="BH583" t="s">
        <v>74</v>
      </c>
      <c r="BI583">
        <v>15</v>
      </c>
      <c r="BJ583" t="s">
        <v>496</v>
      </c>
      <c r="BK583" t="s">
        <v>100</v>
      </c>
      <c r="BL583" t="s">
        <v>496</v>
      </c>
      <c r="BM583" t="s">
        <v>10983</v>
      </c>
      <c r="BN583" t="s">
        <v>74</v>
      </c>
      <c r="BO583" t="s">
        <v>74</v>
      </c>
      <c r="BP583" t="s">
        <v>74</v>
      </c>
      <c r="BQ583" t="s">
        <v>74</v>
      </c>
      <c r="BR583" t="s">
        <v>102</v>
      </c>
      <c r="BS583" t="s">
        <v>11076</v>
      </c>
      <c r="BT583" t="str">
        <f>HYPERLINK("https%3A%2F%2Fwww.webofscience.com%2Fwos%2Fwoscc%2Ffull-record%2FWOS:000295762400008","View Full Record in Web of Science")</f>
        <v>View Full Record in Web of Science</v>
      </c>
    </row>
    <row r="584" spans="1:72" x14ac:dyDescent="0.15">
      <c r="A584" t="s">
        <v>72</v>
      </c>
      <c r="B584" t="s">
        <v>11077</v>
      </c>
      <c r="C584" t="s">
        <v>74</v>
      </c>
      <c r="D584" t="s">
        <v>74</v>
      </c>
      <c r="E584" t="s">
        <v>74</v>
      </c>
      <c r="F584" t="s">
        <v>11078</v>
      </c>
      <c r="G584" t="s">
        <v>74</v>
      </c>
      <c r="H584" t="s">
        <v>74</v>
      </c>
      <c r="I584" t="s">
        <v>11079</v>
      </c>
      <c r="J584" t="s">
        <v>2376</v>
      </c>
      <c r="K584" t="s">
        <v>74</v>
      </c>
      <c r="L584" t="s">
        <v>74</v>
      </c>
      <c r="M584" t="s">
        <v>78</v>
      </c>
      <c r="N584" t="s">
        <v>79</v>
      </c>
      <c r="O584" t="s">
        <v>74</v>
      </c>
      <c r="P584" t="s">
        <v>74</v>
      </c>
      <c r="Q584" t="s">
        <v>74</v>
      </c>
      <c r="R584" t="s">
        <v>74</v>
      </c>
      <c r="S584" t="s">
        <v>74</v>
      </c>
      <c r="T584" t="s">
        <v>11080</v>
      </c>
      <c r="U584" t="s">
        <v>11081</v>
      </c>
      <c r="V584" t="s">
        <v>11082</v>
      </c>
      <c r="W584" t="s">
        <v>11083</v>
      </c>
      <c r="X584" t="s">
        <v>11084</v>
      </c>
      <c r="Y584" t="s">
        <v>11085</v>
      </c>
      <c r="Z584" t="s">
        <v>11086</v>
      </c>
      <c r="AA584" t="s">
        <v>11087</v>
      </c>
      <c r="AB584" t="s">
        <v>10977</v>
      </c>
      <c r="AC584" t="s">
        <v>74</v>
      </c>
      <c r="AD584" t="s">
        <v>74</v>
      </c>
      <c r="AE584" t="s">
        <v>74</v>
      </c>
      <c r="AF584" t="s">
        <v>74</v>
      </c>
      <c r="AG584">
        <v>79</v>
      </c>
      <c r="AH584">
        <v>27</v>
      </c>
      <c r="AI584">
        <v>29</v>
      </c>
      <c r="AJ584">
        <v>0</v>
      </c>
      <c r="AK584">
        <v>96</v>
      </c>
      <c r="AL584" t="s">
        <v>155</v>
      </c>
      <c r="AM584" t="s">
        <v>156</v>
      </c>
      <c r="AN584" t="s">
        <v>157</v>
      </c>
      <c r="AO584" t="s">
        <v>2387</v>
      </c>
      <c r="AP584" t="s">
        <v>2388</v>
      </c>
      <c r="AQ584" t="s">
        <v>74</v>
      </c>
      <c r="AR584" t="s">
        <v>2389</v>
      </c>
      <c r="AS584" t="s">
        <v>2390</v>
      </c>
      <c r="AT584" t="s">
        <v>9913</v>
      </c>
      <c r="AU584">
        <v>2011</v>
      </c>
      <c r="AV584">
        <v>58</v>
      </c>
      <c r="AW584" t="s">
        <v>10981</v>
      </c>
      <c r="AX584" t="s">
        <v>74</v>
      </c>
      <c r="AY584" t="s">
        <v>74</v>
      </c>
      <c r="AZ584" t="s">
        <v>74</v>
      </c>
      <c r="BA584" t="s">
        <v>74</v>
      </c>
      <c r="BB584">
        <v>2150</v>
      </c>
      <c r="BC584">
        <v>2161</v>
      </c>
      <c r="BD584" t="s">
        <v>74</v>
      </c>
      <c r="BE584" t="s">
        <v>11088</v>
      </c>
      <c r="BF584" t="str">
        <f>HYPERLINK("http://dx.doi.org/10.1016/j.dsr2.2011.05.019","http://dx.doi.org/10.1016/j.dsr2.2011.05.019")</f>
        <v>http://dx.doi.org/10.1016/j.dsr2.2011.05.019</v>
      </c>
      <c r="BG584" t="s">
        <v>74</v>
      </c>
      <c r="BH584" t="s">
        <v>74</v>
      </c>
      <c r="BI584">
        <v>12</v>
      </c>
      <c r="BJ584" t="s">
        <v>496</v>
      </c>
      <c r="BK584" t="s">
        <v>100</v>
      </c>
      <c r="BL584" t="s">
        <v>496</v>
      </c>
      <c r="BM584" t="s">
        <v>10983</v>
      </c>
      <c r="BN584" t="s">
        <v>74</v>
      </c>
      <c r="BO584" t="s">
        <v>74</v>
      </c>
      <c r="BP584" t="s">
        <v>74</v>
      </c>
      <c r="BQ584" t="s">
        <v>74</v>
      </c>
      <c r="BR584" t="s">
        <v>102</v>
      </c>
      <c r="BS584" t="s">
        <v>11089</v>
      </c>
      <c r="BT584" t="str">
        <f>HYPERLINK("https%3A%2F%2Fwww.webofscience.com%2Fwos%2Fwoscc%2Ffull-record%2FWOS:000295762400009","View Full Record in Web of Science")</f>
        <v>View Full Record in Web of Science</v>
      </c>
    </row>
    <row r="585" spans="1:72" x14ac:dyDescent="0.15">
      <c r="A585" t="s">
        <v>72</v>
      </c>
      <c r="B585" t="s">
        <v>11090</v>
      </c>
      <c r="C585" t="s">
        <v>74</v>
      </c>
      <c r="D585" t="s">
        <v>74</v>
      </c>
      <c r="E585" t="s">
        <v>74</v>
      </c>
      <c r="F585" t="s">
        <v>11091</v>
      </c>
      <c r="G585" t="s">
        <v>74</v>
      </c>
      <c r="H585" t="s">
        <v>74</v>
      </c>
      <c r="I585" t="s">
        <v>11092</v>
      </c>
      <c r="J585" t="s">
        <v>2376</v>
      </c>
      <c r="K585" t="s">
        <v>74</v>
      </c>
      <c r="L585" t="s">
        <v>74</v>
      </c>
      <c r="M585" t="s">
        <v>78</v>
      </c>
      <c r="N585" t="s">
        <v>79</v>
      </c>
      <c r="O585" t="s">
        <v>74</v>
      </c>
      <c r="P585" t="s">
        <v>74</v>
      </c>
      <c r="Q585" t="s">
        <v>74</v>
      </c>
      <c r="R585" t="s">
        <v>74</v>
      </c>
      <c r="S585" t="s">
        <v>74</v>
      </c>
      <c r="T585" t="s">
        <v>11093</v>
      </c>
      <c r="U585" t="s">
        <v>11094</v>
      </c>
      <c r="V585" t="s">
        <v>11095</v>
      </c>
      <c r="W585" t="s">
        <v>11096</v>
      </c>
      <c r="X585" t="s">
        <v>11097</v>
      </c>
      <c r="Y585" t="s">
        <v>11098</v>
      </c>
      <c r="Z585" t="s">
        <v>11099</v>
      </c>
      <c r="AA585" t="s">
        <v>74</v>
      </c>
      <c r="AB585" t="s">
        <v>11100</v>
      </c>
      <c r="AC585" t="s">
        <v>11101</v>
      </c>
      <c r="AD585" t="s">
        <v>11102</v>
      </c>
      <c r="AE585" t="s">
        <v>11103</v>
      </c>
      <c r="AF585" t="s">
        <v>74</v>
      </c>
      <c r="AG585">
        <v>79</v>
      </c>
      <c r="AH585">
        <v>46</v>
      </c>
      <c r="AI585">
        <v>46</v>
      </c>
      <c r="AJ585">
        <v>1</v>
      </c>
      <c r="AK585">
        <v>21</v>
      </c>
      <c r="AL585" t="s">
        <v>155</v>
      </c>
      <c r="AM585" t="s">
        <v>156</v>
      </c>
      <c r="AN585" t="s">
        <v>157</v>
      </c>
      <c r="AO585" t="s">
        <v>2387</v>
      </c>
      <c r="AP585" t="s">
        <v>2388</v>
      </c>
      <c r="AQ585" t="s">
        <v>74</v>
      </c>
      <c r="AR585" t="s">
        <v>2389</v>
      </c>
      <c r="AS585" t="s">
        <v>2390</v>
      </c>
      <c r="AT585" t="s">
        <v>9913</v>
      </c>
      <c r="AU585">
        <v>2011</v>
      </c>
      <c r="AV585">
        <v>58</v>
      </c>
      <c r="AW585" t="s">
        <v>10981</v>
      </c>
      <c r="AX585" t="s">
        <v>74</v>
      </c>
      <c r="AY585" t="s">
        <v>74</v>
      </c>
      <c r="AZ585" t="s">
        <v>74</v>
      </c>
      <c r="BA585" t="s">
        <v>74</v>
      </c>
      <c r="BB585">
        <v>2162</v>
      </c>
      <c r="BC585">
        <v>2178</v>
      </c>
      <c r="BD585" t="s">
        <v>74</v>
      </c>
      <c r="BE585" t="s">
        <v>11104</v>
      </c>
      <c r="BF585" t="str">
        <f>HYPERLINK("http://dx.doi.org/10.1016/j.dsr2.2011.05.017","http://dx.doi.org/10.1016/j.dsr2.2011.05.017")</f>
        <v>http://dx.doi.org/10.1016/j.dsr2.2011.05.017</v>
      </c>
      <c r="BG585" t="s">
        <v>74</v>
      </c>
      <c r="BH585" t="s">
        <v>74</v>
      </c>
      <c r="BI585">
        <v>17</v>
      </c>
      <c r="BJ585" t="s">
        <v>496</v>
      </c>
      <c r="BK585" t="s">
        <v>100</v>
      </c>
      <c r="BL585" t="s">
        <v>496</v>
      </c>
      <c r="BM585" t="s">
        <v>10983</v>
      </c>
      <c r="BN585" t="s">
        <v>74</v>
      </c>
      <c r="BO585" t="s">
        <v>74</v>
      </c>
      <c r="BP585" t="s">
        <v>74</v>
      </c>
      <c r="BQ585" t="s">
        <v>74</v>
      </c>
      <c r="BR585" t="s">
        <v>102</v>
      </c>
      <c r="BS585" t="s">
        <v>11105</v>
      </c>
      <c r="BT585" t="str">
        <f>HYPERLINK("https%3A%2F%2Fwww.webofscience.com%2Fwos%2Fwoscc%2Ffull-record%2FWOS:000295762400010","View Full Record in Web of Science")</f>
        <v>View Full Record in Web of Science</v>
      </c>
    </row>
    <row r="586" spans="1:72" x14ac:dyDescent="0.15">
      <c r="A586" t="s">
        <v>72</v>
      </c>
      <c r="B586" t="s">
        <v>11106</v>
      </c>
      <c r="C586" t="s">
        <v>74</v>
      </c>
      <c r="D586" t="s">
        <v>74</v>
      </c>
      <c r="E586" t="s">
        <v>74</v>
      </c>
      <c r="F586" t="s">
        <v>11107</v>
      </c>
      <c r="G586" t="s">
        <v>74</v>
      </c>
      <c r="H586" t="s">
        <v>74</v>
      </c>
      <c r="I586" t="s">
        <v>11108</v>
      </c>
      <c r="J586" t="s">
        <v>2376</v>
      </c>
      <c r="K586" t="s">
        <v>74</v>
      </c>
      <c r="L586" t="s">
        <v>74</v>
      </c>
      <c r="M586" t="s">
        <v>78</v>
      </c>
      <c r="N586" t="s">
        <v>79</v>
      </c>
      <c r="O586" t="s">
        <v>74</v>
      </c>
      <c r="P586" t="s">
        <v>74</v>
      </c>
      <c r="Q586" t="s">
        <v>74</v>
      </c>
      <c r="R586" t="s">
        <v>74</v>
      </c>
      <c r="S586" t="s">
        <v>74</v>
      </c>
      <c r="T586" t="s">
        <v>11109</v>
      </c>
      <c r="U586" t="s">
        <v>11110</v>
      </c>
      <c r="V586" t="s">
        <v>11111</v>
      </c>
      <c r="W586" t="s">
        <v>11112</v>
      </c>
      <c r="X586" t="s">
        <v>11113</v>
      </c>
      <c r="Y586" t="s">
        <v>11114</v>
      </c>
      <c r="Z586" t="s">
        <v>11115</v>
      </c>
      <c r="AA586" t="s">
        <v>11116</v>
      </c>
      <c r="AB586" t="s">
        <v>11117</v>
      </c>
      <c r="AC586" t="s">
        <v>11118</v>
      </c>
      <c r="AD586" t="s">
        <v>11119</v>
      </c>
      <c r="AE586" t="s">
        <v>11120</v>
      </c>
      <c r="AF586" t="s">
        <v>74</v>
      </c>
      <c r="AG586">
        <v>56</v>
      </c>
      <c r="AH586">
        <v>25</v>
      </c>
      <c r="AI586">
        <v>25</v>
      </c>
      <c r="AJ586">
        <v>2</v>
      </c>
      <c r="AK586">
        <v>43</v>
      </c>
      <c r="AL586" t="s">
        <v>155</v>
      </c>
      <c r="AM586" t="s">
        <v>156</v>
      </c>
      <c r="AN586" t="s">
        <v>157</v>
      </c>
      <c r="AO586" t="s">
        <v>2387</v>
      </c>
      <c r="AP586" t="s">
        <v>74</v>
      </c>
      <c r="AQ586" t="s">
        <v>74</v>
      </c>
      <c r="AR586" t="s">
        <v>2389</v>
      </c>
      <c r="AS586" t="s">
        <v>2390</v>
      </c>
      <c r="AT586" t="s">
        <v>9913</v>
      </c>
      <c r="AU586">
        <v>2011</v>
      </c>
      <c r="AV586">
        <v>58</v>
      </c>
      <c r="AW586" t="s">
        <v>10981</v>
      </c>
      <c r="AX586" t="s">
        <v>74</v>
      </c>
      <c r="AY586" t="s">
        <v>74</v>
      </c>
      <c r="AZ586" t="s">
        <v>74</v>
      </c>
      <c r="BA586" t="s">
        <v>74</v>
      </c>
      <c r="BB586">
        <v>2189</v>
      </c>
      <c r="BC586">
        <v>2199</v>
      </c>
      <c r="BD586" t="s">
        <v>74</v>
      </c>
      <c r="BE586" t="s">
        <v>11121</v>
      </c>
      <c r="BF586" t="str">
        <f>HYPERLINK("http://dx.doi.org/10.1016/j.dsr2.2011.05.021","http://dx.doi.org/10.1016/j.dsr2.2011.05.021")</f>
        <v>http://dx.doi.org/10.1016/j.dsr2.2011.05.021</v>
      </c>
      <c r="BG586" t="s">
        <v>74</v>
      </c>
      <c r="BH586" t="s">
        <v>74</v>
      </c>
      <c r="BI586">
        <v>11</v>
      </c>
      <c r="BJ586" t="s">
        <v>496</v>
      </c>
      <c r="BK586" t="s">
        <v>100</v>
      </c>
      <c r="BL586" t="s">
        <v>496</v>
      </c>
      <c r="BM586" t="s">
        <v>10983</v>
      </c>
      <c r="BN586" t="s">
        <v>74</v>
      </c>
      <c r="BO586" t="s">
        <v>74</v>
      </c>
      <c r="BP586" t="s">
        <v>74</v>
      </c>
      <c r="BQ586" t="s">
        <v>74</v>
      </c>
      <c r="BR586" t="s">
        <v>102</v>
      </c>
      <c r="BS586" t="s">
        <v>11122</v>
      </c>
      <c r="BT586" t="str">
        <f>HYPERLINK("https%3A%2F%2Fwww.webofscience.com%2Fwos%2Fwoscc%2Ffull-record%2FWOS:000295762400012","View Full Record in Web of Science")</f>
        <v>View Full Record in Web of Science</v>
      </c>
    </row>
    <row r="587" spans="1:72" x14ac:dyDescent="0.15">
      <c r="A587" t="s">
        <v>72</v>
      </c>
      <c r="B587" t="s">
        <v>11123</v>
      </c>
      <c r="C587" t="s">
        <v>74</v>
      </c>
      <c r="D587" t="s">
        <v>74</v>
      </c>
      <c r="E587" t="s">
        <v>74</v>
      </c>
      <c r="F587" t="s">
        <v>11124</v>
      </c>
      <c r="G587" t="s">
        <v>74</v>
      </c>
      <c r="H587" t="s">
        <v>74</v>
      </c>
      <c r="I587" t="s">
        <v>11125</v>
      </c>
      <c r="J587" t="s">
        <v>2376</v>
      </c>
      <c r="K587" t="s">
        <v>74</v>
      </c>
      <c r="L587" t="s">
        <v>74</v>
      </c>
      <c r="M587" t="s">
        <v>78</v>
      </c>
      <c r="N587" t="s">
        <v>79</v>
      </c>
      <c r="O587" t="s">
        <v>74</v>
      </c>
      <c r="P587" t="s">
        <v>74</v>
      </c>
      <c r="Q587" t="s">
        <v>74</v>
      </c>
      <c r="R587" t="s">
        <v>74</v>
      </c>
      <c r="S587" t="s">
        <v>74</v>
      </c>
      <c r="T587" t="s">
        <v>11126</v>
      </c>
      <c r="U587" t="s">
        <v>11127</v>
      </c>
      <c r="V587" t="s">
        <v>11128</v>
      </c>
      <c r="W587" t="s">
        <v>11129</v>
      </c>
      <c r="X587" t="s">
        <v>11130</v>
      </c>
      <c r="Y587" t="s">
        <v>11131</v>
      </c>
      <c r="Z587" t="s">
        <v>11132</v>
      </c>
      <c r="AA587" t="s">
        <v>11133</v>
      </c>
      <c r="AB587" t="s">
        <v>11134</v>
      </c>
      <c r="AC587" t="s">
        <v>11135</v>
      </c>
      <c r="AD587" t="s">
        <v>11136</v>
      </c>
      <c r="AE587" t="s">
        <v>11137</v>
      </c>
      <c r="AF587" t="s">
        <v>74</v>
      </c>
      <c r="AG587">
        <v>71</v>
      </c>
      <c r="AH587">
        <v>16</v>
      </c>
      <c r="AI587">
        <v>16</v>
      </c>
      <c r="AJ587">
        <v>0</v>
      </c>
      <c r="AK587">
        <v>19</v>
      </c>
      <c r="AL587" t="s">
        <v>155</v>
      </c>
      <c r="AM587" t="s">
        <v>156</v>
      </c>
      <c r="AN587" t="s">
        <v>157</v>
      </c>
      <c r="AO587" t="s">
        <v>2387</v>
      </c>
      <c r="AP587" t="s">
        <v>2388</v>
      </c>
      <c r="AQ587" t="s">
        <v>74</v>
      </c>
      <c r="AR587" t="s">
        <v>2389</v>
      </c>
      <c r="AS587" t="s">
        <v>2390</v>
      </c>
      <c r="AT587" t="s">
        <v>9913</v>
      </c>
      <c r="AU587">
        <v>2011</v>
      </c>
      <c r="AV587">
        <v>58</v>
      </c>
      <c r="AW587" t="s">
        <v>10981</v>
      </c>
      <c r="AX587" t="s">
        <v>74</v>
      </c>
      <c r="AY587" t="s">
        <v>74</v>
      </c>
      <c r="AZ587" t="s">
        <v>74</v>
      </c>
      <c r="BA587" t="s">
        <v>74</v>
      </c>
      <c r="BB587">
        <v>2235</v>
      </c>
      <c r="BC587">
        <v>2247</v>
      </c>
      <c r="BD587" t="s">
        <v>74</v>
      </c>
      <c r="BE587" t="s">
        <v>11138</v>
      </c>
      <c r="BF587" t="str">
        <f>HYPERLINK("http://dx.doi.org/10.1016/j.dsr2.2011.05.026","http://dx.doi.org/10.1016/j.dsr2.2011.05.026")</f>
        <v>http://dx.doi.org/10.1016/j.dsr2.2011.05.026</v>
      </c>
      <c r="BG587" t="s">
        <v>74</v>
      </c>
      <c r="BH587" t="s">
        <v>74</v>
      </c>
      <c r="BI587">
        <v>13</v>
      </c>
      <c r="BJ587" t="s">
        <v>496</v>
      </c>
      <c r="BK587" t="s">
        <v>100</v>
      </c>
      <c r="BL587" t="s">
        <v>496</v>
      </c>
      <c r="BM587" t="s">
        <v>10983</v>
      </c>
      <c r="BN587" t="s">
        <v>74</v>
      </c>
      <c r="BO587" t="s">
        <v>74</v>
      </c>
      <c r="BP587" t="s">
        <v>74</v>
      </c>
      <c r="BQ587" t="s">
        <v>74</v>
      </c>
      <c r="BR587" t="s">
        <v>102</v>
      </c>
      <c r="BS587" t="s">
        <v>11139</v>
      </c>
      <c r="BT587" t="str">
        <f>HYPERLINK("https%3A%2F%2Fwww.webofscience.com%2Fwos%2Fwoscc%2Ffull-record%2FWOS:000295762400016","View Full Record in Web of Science")</f>
        <v>View Full Record in Web of Science</v>
      </c>
    </row>
    <row r="588" spans="1:72" x14ac:dyDescent="0.15">
      <c r="A588" t="s">
        <v>72</v>
      </c>
      <c r="B588" t="s">
        <v>11140</v>
      </c>
      <c r="C588" t="s">
        <v>74</v>
      </c>
      <c r="D588" t="s">
        <v>74</v>
      </c>
      <c r="E588" t="s">
        <v>74</v>
      </c>
      <c r="F588" t="s">
        <v>11141</v>
      </c>
      <c r="G588" t="s">
        <v>74</v>
      </c>
      <c r="H588" t="s">
        <v>74</v>
      </c>
      <c r="I588" t="s">
        <v>11142</v>
      </c>
      <c r="J588" t="s">
        <v>2376</v>
      </c>
      <c r="K588" t="s">
        <v>74</v>
      </c>
      <c r="L588" t="s">
        <v>74</v>
      </c>
      <c r="M588" t="s">
        <v>78</v>
      </c>
      <c r="N588" t="s">
        <v>79</v>
      </c>
      <c r="O588" t="s">
        <v>74</v>
      </c>
      <c r="P588" t="s">
        <v>74</v>
      </c>
      <c r="Q588" t="s">
        <v>74</v>
      </c>
      <c r="R588" t="s">
        <v>74</v>
      </c>
      <c r="S588" t="s">
        <v>74</v>
      </c>
      <c r="T588" t="s">
        <v>11143</v>
      </c>
      <c r="U588" t="s">
        <v>11144</v>
      </c>
      <c r="V588" t="s">
        <v>11145</v>
      </c>
      <c r="W588" t="s">
        <v>11146</v>
      </c>
      <c r="X588" t="s">
        <v>11147</v>
      </c>
      <c r="Y588" t="s">
        <v>11148</v>
      </c>
      <c r="Z588" t="s">
        <v>11149</v>
      </c>
      <c r="AA588" t="s">
        <v>11150</v>
      </c>
      <c r="AB588" t="s">
        <v>11151</v>
      </c>
      <c r="AC588" t="s">
        <v>11152</v>
      </c>
      <c r="AD588" t="s">
        <v>11153</v>
      </c>
      <c r="AE588" t="s">
        <v>11154</v>
      </c>
      <c r="AF588" t="s">
        <v>74</v>
      </c>
      <c r="AG588">
        <v>88</v>
      </c>
      <c r="AH588">
        <v>62</v>
      </c>
      <c r="AI588">
        <v>65</v>
      </c>
      <c r="AJ588">
        <v>0</v>
      </c>
      <c r="AK588">
        <v>34</v>
      </c>
      <c r="AL588" t="s">
        <v>155</v>
      </c>
      <c r="AM588" t="s">
        <v>156</v>
      </c>
      <c r="AN588" t="s">
        <v>157</v>
      </c>
      <c r="AO588" t="s">
        <v>2387</v>
      </c>
      <c r="AP588" t="s">
        <v>2388</v>
      </c>
      <c r="AQ588" t="s">
        <v>74</v>
      </c>
      <c r="AR588" t="s">
        <v>2389</v>
      </c>
      <c r="AS588" t="s">
        <v>2390</v>
      </c>
      <c r="AT588" t="s">
        <v>9913</v>
      </c>
      <c r="AU588">
        <v>2011</v>
      </c>
      <c r="AV588">
        <v>58</v>
      </c>
      <c r="AW588" t="s">
        <v>10981</v>
      </c>
      <c r="AX588" t="s">
        <v>74</v>
      </c>
      <c r="AY588" t="s">
        <v>74</v>
      </c>
      <c r="AZ588" t="s">
        <v>74</v>
      </c>
      <c r="BA588" t="s">
        <v>74</v>
      </c>
      <c r="BB588">
        <v>2260</v>
      </c>
      <c r="BC588">
        <v>2276</v>
      </c>
      <c r="BD588" t="s">
        <v>74</v>
      </c>
      <c r="BE588" t="s">
        <v>11155</v>
      </c>
      <c r="BF588" t="str">
        <f>HYPERLINK("http://dx.doi.org/10.1016/j.dsr2.2011.05.025","http://dx.doi.org/10.1016/j.dsr2.2011.05.025")</f>
        <v>http://dx.doi.org/10.1016/j.dsr2.2011.05.025</v>
      </c>
      <c r="BG588" t="s">
        <v>74</v>
      </c>
      <c r="BH588" t="s">
        <v>74</v>
      </c>
      <c r="BI588">
        <v>17</v>
      </c>
      <c r="BJ588" t="s">
        <v>496</v>
      </c>
      <c r="BK588" t="s">
        <v>100</v>
      </c>
      <c r="BL588" t="s">
        <v>496</v>
      </c>
      <c r="BM588" t="s">
        <v>10983</v>
      </c>
      <c r="BN588" t="s">
        <v>74</v>
      </c>
      <c r="BO588" t="s">
        <v>342</v>
      </c>
      <c r="BP588" t="s">
        <v>74</v>
      </c>
      <c r="BQ588" t="s">
        <v>74</v>
      </c>
      <c r="BR588" t="s">
        <v>102</v>
      </c>
      <c r="BS588" t="s">
        <v>11156</v>
      </c>
      <c r="BT588" t="str">
        <f>HYPERLINK("https%3A%2F%2Fwww.webofscience.com%2Fwos%2Fwoscc%2Ffull-record%2FWOS:000295762400018","View Full Record in Web of Science")</f>
        <v>View Full Record in Web of Science</v>
      </c>
    </row>
    <row r="589" spans="1:72" x14ac:dyDescent="0.15">
      <c r="A589" t="s">
        <v>72</v>
      </c>
      <c r="B589" t="s">
        <v>11157</v>
      </c>
      <c r="C589" t="s">
        <v>74</v>
      </c>
      <c r="D589" t="s">
        <v>74</v>
      </c>
      <c r="E589" t="s">
        <v>74</v>
      </c>
      <c r="F589" t="s">
        <v>11158</v>
      </c>
      <c r="G589" t="s">
        <v>74</v>
      </c>
      <c r="H589" t="s">
        <v>74</v>
      </c>
      <c r="I589" t="s">
        <v>11159</v>
      </c>
      <c r="J589" t="s">
        <v>2376</v>
      </c>
      <c r="K589" t="s">
        <v>74</v>
      </c>
      <c r="L589" t="s">
        <v>74</v>
      </c>
      <c r="M589" t="s">
        <v>78</v>
      </c>
      <c r="N589" t="s">
        <v>79</v>
      </c>
      <c r="O589" t="s">
        <v>74</v>
      </c>
      <c r="P589" t="s">
        <v>74</v>
      </c>
      <c r="Q589" t="s">
        <v>74</v>
      </c>
      <c r="R589" t="s">
        <v>74</v>
      </c>
      <c r="S589" t="s">
        <v>74</v>
      </c>
      <c r="T589" t="s">
        <v>11160</v>
      </c>
      <c r="U589" t="s">
        <v>11161</v>
      </c>
      <c r="V589" t="s">
        <v>11162</v>
      </c>
      <c r="W589" t="s">
        <v>11163</v>
      </c>
      <c r="X589" t="s">
        <v>11164</v>
      </c>
      <c r="Y589" t="s">
        <v>11165</v>
      </c>
      <c r="Z589" t="s">
        <v>11166</v>
      </c>
      <c r="AA589" t="s">
        <v>11167</v>
      </c>
      <c r="AB589" t="s">
        <v>11168</v>
      </c>
      <c r="AC589" t="s">
        <v>11169</v>
      </c>
      <c r="AD589" t="s">
        <v>11170</v>
      </c>
      <c r="AE589" t="s">
        <v>11171</v>
      </c>
      <c r="AF589" t="s">
        <v>74</v>
      </c>
      <c r="AG589">
        <v>51</v>
      </c>
      <c r="AH589">
        <v>39</v>
      </c>
      <c r="AI589">
        <v>40</v>
      </c>
      <c r="AJ589">
        <v>1</v>
      </c>
      <c r="AK589">
        <v>22</v>
      </c>
      <c r="AL589" t="s">
        <v>155</v>
      </c>
      <c r="AM589" t="s">
        <v>156</v>
      </c>
      <c r="AN589" t="s">
        <v>157</v>
      </c>
      <c r="AO589" t="s">
        <v>2387</v>
      </c>
      <c r="AP589" t="s">
        <v>2388</v>
      </c>
      <c r="AQ589" t="s">
        <v>74</v>
      </c>
      <c r="AR589" t="s">
        <v>2389</v>
      </c>
      <c r="AS589" t="s">
        <v>2390</v>
      </c>
      <c r="AT589" t="s">
        <v>9913</v>
      </c>
      <c r="AU589">
        <v>2011</v>
      </c>
      <c r="AV589">
        <v>58</v>
      </c>
      <c r="AW589" t="s">
        <v>10981</v>
      </c>
      <c r="AX589" t="s">
        <v>74</v>
      </c>
      <c r="AY589" t="s">
        <v>74</v>
      </c>
      <c r="AZ589" t="s">
        <v>74</v>
      </c>
      <c r="BA589" t="s">
        <v>74</v>
      </c>
      <c r="BB589">
        <v>2277</v>
      </c>
      <c r="BC589">
        <v>2292</v>
      </c>
      <c r="BD589" t="s">
        <v>74</v>
      </c>
      <c r="BE589" t="s">
        <v>11172</v>
      </c>
      <c r="BF589" t="str">
        <f>HYPERLINK("http://dx.doi.org/10.1016/j.dsr2.2011.05.035","http://dx.doi.org/10.1016/j.dsr2.2011.05.035")</f>
        <v>http://dx.doi.org/10.1016/j.dsr2.2011.05.035</v>
      </c>
      <c r="BG589" t="s">
        <v>74</v>
      </c>
      <c r="BH589" t="s">
        <v>74</v>
      </c>
      <c r="BI589">
        <v>16</v>
      </c>
      <c r="BJ589" t="s">
        <v>496</v>
      </c>
      <c r="BK589" t="s">
        <v>100</v>
      </c>
      <c r="BL589" t="s">
        <v>496</v>
      </c>
      <c r="BM589" t="s">
        <v>10983</v>
      </c>
      <c r="BN589" t="s">
        <v>74</v>
      </c>
      <c r="BO589" t="s">
        <v>74</v>
      </c>
      <c r="BP589" t="s">
        <v>74</v>
      </c>
      <c r="BQ589" t="s">
        <v>74</v>
      </c>
      <c r="BR589" t="s">
        <v>102</v>
      </c>
      <c r="BS589" t="s">
        <v>11173</v>
      </c>
      <c r="BT589" t="str">
        <f>HYPERLINK("https%3A%2F%2Fwww.webofscience.com%2Fwos%2Fwoscc%2Ffull-record%2FWOS:000295762400019","View Full Record in Web of Science")</f>
        <v>View Full Record in Web of Science</v>
      </c>
    </row>
    <row r="590" spans="1:72" x14ac:dyDescent="0.15">
      <c r="A590" t="s">
        <v>72</v>
      </c>
      <c r="B590" t="s">
        <v>11174</v>
      </c>
      <c r="C590" t="s">
        <v>74</v>
      </c>
      <c r="D590" t="s">
        <v>74</v>
      </c>
      <c r="E590" t="s">
        <v>74</v>
      </c>
      <c r="F590" t="s">
        <v>11175</v>
      </c>
      <c r="G590" t="s">
        <v>74</v>
      </c>
      <c r="H590" t="s">
        <v>74</v>
      </c>
      <c r="I590" t="s">
        <v>11176</v>
      </c>
      <c r="J590" t="s">
        <v>2376</v>
      </c>
      <c r="K590" t="s">
        <v>74</v>
      </c>
      <c r="L590" t="s">
        <v>74</v>
      </c>
      <c r="M590" t="s">
        <v>78</v>
      </c>
      <c r="N590" t="s">
        <v>79</v>
      </c>
      <c r="O590" t="s">
        <v>74</v>
      </c>
      <c r="P590" t="s">
        <v>74</v>
      </c>
      <c r="Q590" t="s">
        <v>74</v>
      </c>
      <c r="R590" t="s">
        <v>74</v>
      </c>
      <c r="S590" t="s">
        <v>74</v>
      </c>
      <c r="T590" t="s">
        <v>11177</v>
      </c>
      <c r="U590" t="s">
        <v>11178</v>
      </c>
      <c r="V590" t="s">
        <v>11179</v>
      </c>
      <c r="W590" t="s">
        <v>11180</v>
      </c>
      <c r="X590" t="s">
        <v>11181</v>
      </c>
      <c r="Y590" t="s">
        <v>11182</v>
      </c>
      <c r="Z590" t="s">
        <v>11183</v>
      </c>
      <c r="AA590" t="s">
        <v>11184</v>
      </c>
      <c r="AB590" t="s">
        <v>11185</v>
      </c>
      <c r="AC590" t="s">
        <v>11186</v>
      </c>
      <c r="AD590" t="s">
        <v>11187</v>
      </c>
      <c r="AE590" t="s">
        <v>11188</v>
      </c>
      <c r="AF590" t="s">
        <v>74</v>
      </c>
      <c r="AG590">
        <v>46</v>
      </c>
      <c r="AH590">
        <v>33</v>
      </c>
      <c r="AI590">
        <v>37</v>
      </c>
      <c r="AJ590">
        <v>0</v>
      </c>
      <c r="AK590">
        <v>15</v>
      </c>
      <c r="AL590" t="s">
        <v>155</v>
      </c>
      <c r="AM590" t="s">
        <v>156</v>
      </c>
      <c r="AN590" t="s">
        <v>157</v>
      </c>
      <c r="AO590" t="s">
        <v>2387</v>
      </c>
      <c r="AP590" t="s">
        <v>2388</v>
      </c>
      <c r="AQ590" t="s">
        <v>74</v>
      </c>
      <c r="AR590" t="s">
        <v>2389</v>
      </c>
      <c r="AS590" t="s">
        <v>2390</v>
      </c>
      <c r="AT590" t="s">
        <v>9913</v>
      </c>
      <c r="AU590">
        <v>2011</v>
      </c>
      <c r="AV590">
        <v>58</v>
      </c>
      <c r="AW590" t="s">
        <v>10981</v>
      </c>
      <c r="AX590" t="s">
        <v>74</v>
      </c>
      <c r="AY590" t="s">
        <v>74</v>
      </c>
      <c r="AZ590" t="s">
        <v>74</v>
      </c>
      <c r="BA590" t="s">
        <v>74</v>
      </c>
      <c r="BB590">
        <v>2301</v>
      </c>
      <c r="BC590">
        <v>2315</v>
      </c>
      <c r="BD590" t="s">
        <v>74</v>
      </c>
      <c r="BE590" t="s">
        <v>11189</v>
      </c>
      <c r="BF590" t="str">
        <f>HYPERLINK("http://dx.doi.org/10.1016/j.dsr2.2011.05.018","http://dx.doi.org/10.1016/j.dsr2.2011.05.018")</f>
        <v>http://dx.doi.org/10.1016/j.dsr2.2011.05.018</v>
      </c>
      <c r="BG590" t="s">
        <v>74</v>
      </c>
      <c r="BH590" t="s">
        <v>74</v>
      </c>
      <c r="BI590">
        <v>15</v>
      </c>
      <c r="BJ590" t="s">
        <v>496</v>
      </c>
      <c r="BK590" t="s">
        <v>100</v>
      </c>
      <c r="BL590" t="s">
        <v>496</v>
      </c>
      <c r="BM590" t="s">
        <v>10983</v>
      </c>
      <c r="BN590" t="s">
        <v>74</v>
      </c>
      <c r="BO590" t="s">
        <v>74</v>
      </c>
      <c r="BP590" t="s">
        <v>74</v>
      </c>
      <c r="BQ590" t="s">
        <v>74</v>
      </c>
      <c r="BR590" t="s">
        <v>102</v>
      </c>
      <c r="BS590" t="s">
        <v>11190</v>
      </c>
      <c r="BT590" t="str">
        <f>HYPERLINK("https%3A%2F%2Fwww.webofscience.com%2Fwos%2Fwoscc%2Ffull-record%2FWOS:000295762400021","View Full Record in Web of Science")</f>
        <v>View Full Record in Web of Science</v>
      </c>
    </row>
    <row r="591" spans="1:72" x14ac:dyDescent="0.15">
      <c r="A591" t="s">
        <v>72</v>
      </c>
      <c r="B591" t="s">
        <v>11191</v>
      </c>
      <c r="C591" t="s">
        <v>74</v>
      </c>
      <c r="D591" t="s">
        <v>74</v>
      </c>
      <c r="E591" t="s">
        <v>74</v>
      </c>
      <c r="F591" t="s">
        <v>11192</v>
      </c>
      <c r="G591" t="s">
        <v>74</v>
      </c>
      <c r="H591" t="s">
        <v>74</v>
      </c>
      <c r="I591" t="s">
        <v>11193</v>
      </c>
      <c r="J591" t="s">
        <v>11194</v>
      </c>
      <c r="K591" t="s">
        <v>74</v>
      </c>
      <c r="L591" t="s">
        <v>74</v>
      </c>
      <c r="M591" t="s">
        <v>78</v>
      </c>
      <c r="N591" t="s">
        <v>79</v>
      </c>
      <c r="O591" t="s">
        <v>74</v>
      </c>
      <c r="P591" t="s">
        <v>74</v>
      </c>
      <c r="Q591" t="s">
        <v>74</v>
      </c>
      <c r="R591" t="s">
        <v>74</v>
      </c>
      <c r="S591" t="s">
        <v>74</v>
      </c>
      <c r="T591" t="s">
        <v>11195</v>
      </c>
      <c r="U591" t="s">
        <v>11196</v>
      </c>
      <c r="V591" t="s">
        <v>11197</v>
      </c>
      <c r="W591" t="s">
        <v>11198</v>
      </c>
      <c r="X591" t="s">
        <v>3984</v>
      </c>
      <c r="Y591" t="s">
        <v>11199</v>
      </c>
      <c r="Z591" t="s">
        <v>11200</v>
      </c>
      <c r="AA591" t="s">
        <v>11201</v>
      </c>
      <c r="AB591" t="s">
        <v>11202</v>
      </c>
      <c r="AC591" t="s">
        <v>11203</v>
      </c>
      <c r="AD591" t="s">
        <v>11204</v>
      </c>
      <c r="AE591" t="s">
        <v>11205</v>
      </c>
      <c r="AF591" t="s">
        <v>74</v>
      </c>
      <c r="AG591">
        <v>70</v>
      </c>
      <c r="AH591">
        <v>80</v>
      </c>
      <c r="AI591">
        <v>92</v>
      </c>
      <c r="AJ591">
        <v>5</v>
      </c>
      <c r="AK591">
        <v>62</v>
      </c>
      <c r="AL591" t="s">
        <v>11206</v>
      </c>
      <c r="AM591" t="s">
        <v>9809</v>
      </c>
      <c r="AN591" t="s">
        <v>11207</v>
      </c>
      <c r="AO591" t="s">
        <v>11208</v>
      </c>
      <c r="AP591" t="s">
        <v>11209</v>
      </c>
      <c r="AQ591" t="s">
        <v>74</v>
      </c>
      <c r="AR591" t="s">
        <v>11210</v>
      </c>
      <c r="AS591" t="s">
        <v>11211</v>
      </c>
      <c r="AT591" t="s">
        <v>9913</v>
      </c>
      <c r="AU591">
        <v>2011</v>
      </c>
      <c r="AV591">
        <v>301</v>
      </c>
      <c r="AW591">
        <v>5</v>
      </c>
      <c r="AX591" t="s">
        <v>74</v>
      </c>
      <c r="AY591" t="s">
        <v>74</v>
      </c>
      <c r="AZ591" t="s">
        <v>74</v>
      </c>
      <c r="BA591" t="s">
        <v>74</v>
      </c>
      <c r="BB591" t="s">
        <v>11212</v>
      </c>
      <c r="BC591" t="s">
        <v>11213</v>
      </c>
      <c r="BD591" t="s">
        <v>74</v>
      </c>
      <c r="BE591" t="s">
        <v>11214</v>
      </c>
      <c r="BF591" t="str">
        <f>HYPERLINK("http://dx.doi.org/10.1152/ajpregu.00158.2011","http://dx.doi.org/10.1152/ajpregu.00158.2011")</f>
        <v>http://dx.doi.org/10.1152/ajpregu.00158.2011</v>
      </c>
      <c r="BG591" t="s">
        <v>74</v>
      </c>
      <c r="BH591" t="s">
        <v>74</v>
      </c>
      <c r="BI591">
        <v>14</v>
      </c>
      <c r="BJ591" t="s">
        <v>3173</v>
      </c>
      <c r="BK591" t="s">
        <v>100</v>
      </c>
      <c r="BL591" t="s">
        <v>3173</v>
      </c>
      <c r="BM591" t="s">
        <v>11215</v>
      </c>
      <c r="BN591">
        <v>21865546</v>
      </c>
      <c r="BO591" t="s">
        <v>74</v>
      </c>
      <c r="BP591" t="s">
        <v>74</v>
      </c>
      <c r="BQ591" t="s">
        <v>74</v>
      </c>
      <c r="BR591" t="s">
        <v>102</v>
      </c>
      <c r="BS591" t="s">
        <v>11216</v>
      </c>
      <c r="BT591" t="str">
        <f>HYPERLINK("https%3A%2F%2Fwww.webofscience.com%2Fwos%2Fwoscc%2Ffull-record%2FWOS:000296742100024","View Full Record in Web of Science")</f>
        <v>View Full Record in Web of Science</v>
      </c>
    </row>
    <row r="592" spans="1:72" x14ac:dyDescent="0.15">
      <c r="A592" t="s">
        <v>72</v>
      </c>
      <c r="B592" t="s">
        <v>11217</v>
      </c>
      <c r="C592" t="s">
        <v>74</v>
      </c>
      <c r="D592" t="s">
        <v>74</v>
      </c>
      <c r="E592" t="s">
        <v>74</v>
      </c>
      <c r="F592" t="s">
        <v>11218</v>
      </c>
      <c r="G592" t="s">
        <v>74</v>
      </c>
      <c r="H592" t="s">
        <v>74</v>
      </c>
      <c r="I592" t="s">
        <v>11219</v>
      </c>
      <c r="J592" t="s">
        <v>9975</v>
      </c>
      <c r="K592" t="s">
        <v>74</v>
      </c>
      <c r="L592" t="s">
        <v>74</v>
      </c>
      <c r="M592" t="s">
        <v>78</v>
      </c>
      <c r="N592" t="s">
        <v>79</v>
      </c>
      <c r="O592" t="s">
        <v>74</v>
      </c>
      <c r="P592" t="s">
        <v>74</v>
      </c>
      <c r="Q592" t="s">
        <v>74</v>
      </c>
      <c r="R592" t="s">
        <v>74</v>
      </c>
      <c r="S592" t="s">
        <v>74</v>
      </c>
      <c r="T592" t="s">
        <v>74</v>
      </c>
      <c r="U592" t="s">
        <v>11220</v>
      </c>
      <c r="V592" t="s">
        <v>11221</v>
      </c>
      <c r="W592" t="s">
        <v>11222</v>
      </c>
      <c r="X592" t="s">
        <v>11223</v>
      </c>
      <c r="Y592" t="s">
        <v>11224</v>
      </c>
      <c r="Z592" t="s">
        <v>11225</v>
      </c>
      <c r="AA592" t="s">
        <v>74</v>
      </c>
      <c r="AB592" t="s">
        <v>11226</v>
      </c>
      <c r="AC592" t="s">
        <v>74</v>
      </c>
      <c r="AD592" t="s">
        <v>74</v>
      </c>
      <c r="AE592" t="s">
        <v>74</v>
      </c>
      <c r="AF592" t="s">
        <v>74</v>
      </c>
      <c r="AG592">
        <v>54</v>
      </c>
      <c r="AH592">
        <v>21</v>
      </c>
      <c r="AI592">
        <v>24</v>
      </c>
      <c r="AJ592">
        <v>1</v>
      </c>
      <c r="AK592">
        <v>26</v>
      </c>
      <c r="AL592" t="s">
        <v>1150</v>
      </c>
      <c r="AM592" t="s">
        <v>1151</v>
      </c>
      <c r="AN592" t="s">
        <v>1152</v>
      </c>
      <c r="AO592" t="s">
        <v>9988</v>
      </c>
      <c r="AP592" t="s">
        <v>10006</v>
      </c>
      <c r="AQ592" t="s">
        <v>74</v>
      </c>
      <c r="AR592" t="s">
        <v>9989</v>
      </c>
      <c r="AS592" t="s">
        <v>9990</v>
      </c>
      <c r="AT592" t="s">
        <v>9913</v>
      </c>
      <c r="AU592">
        <v>2011</v>
      </c>
      <c r="AV592">
        <v>43</v>
      </c>
      <c r="AW592">
        <v>4</v>
      </c>
      <c r="AX592" t="s">
        <v>74</v>
      </c>
      <c r="AY592" t="s">
        <v>74</v>
      </c>
      <c r="AZ592" t="s">
        <v>74</v>
      </c>
      <c r="BA592" t="s">
        <v>74</v>
      </c>
      <c r="BB592">
        <v>495</v>
      </c>
      <c r="BC592">
        <v>502</v>
      </c>
      <c r="BD592" t="s">
        <v>74</v>
      </c>
      <c r="BE592" t="s">
        <v>11227</v>
      </c>
      <c r="BF592" t="str">
        <f>HYPERLINK("http://dx.doi.org/10.1657/1938-4246-43.4.495","http://dx.doi.org/10.1657/1938-4246-43.4.495")</f>
        <v>http://dx.doi.org/10.1657/1938-4246-43.4.495</v>
      </c>
      <c r="BG592" t="s">
        <v>74</v>
      </c>
      <c r="BH592" t="s">
        <v>74</v>
      </c>
      <c r="BI592">
        <v>8</v>
      </c>
      <c r="BJ592" t="s">
        <v>7914</v>
      </c>
      <c r="BK592" t="s">
        <v>100</v>
      </c>
      <c r="BL592" t="s">
        <v>7915</v>
      </c>
      <c r="BM592" t="s">
        <v>9992</v>
      </c>
      <c r="BN592" t="s">
        <v>74</v>
      </c>
      <c r="BO592" t="s">
        <v>892</v>
      </c>
      <c r="BP592" t="s">
        <v>74</v>
      </c>
      <c r="BQ592" t="s">
        <v>74</v>
      </c>
      <c r="BR592" t="s">
        <v>102</v>
      </c>
      <c r="BS592" t="s">
        <v>11228</v>
      </c>
      <c r="BT592" t="str">
        <f>HYPERLINK("https%3A%2F%2Fwww.webofscience.com%2Fwos%2Fwoscc%2Ffull-record%2FWOS:000298722400001","View Full Record in Web of Science")</f>
        <v>View Full Record in Web of Science</v>
      </c>
    </row>
    <row r="593" spans="1:72" x14ac:dyDescent="0.15">
      <c r="A593" t="s">
        <v>72</v>
      </c>
      <c r="B593" t="s">
        <v>11229</v>
      </c>
      <c r="C593" t="s">
        <v>74</v>
      </c>
      <c r="D593" t="s">
        <v>74</v>
      </c>
      <c r="E593" t="s">
        <v>74</v>
      </c>
      <c r="F593" t="s">
        <v>11230</v>
      </c>
      <c r="G593" t="s">
        <v>74</v>
      </c>
      <c r="H593" t="s">
        <v>74</v>
      </c>
      <c r="I593" t="s">
        <v>11231</v>
      </c>
      <c r="J593" t="s">
        <v>9975</v>
      </c>
      <c r="K593" t="s">
        <v>74</v>
      </c>
      <c r="L593" t="s">
        <v>74</v>
      </c>
      <c r="M593" t="s">
        <v>78</v>
      </c>
      <c r="N593" t="s">
        <v>79</v>
      </c>
      <c r="O593" t="s">
        <v>74</v>
      </c>
      <c r="P593" t="s">
        <v>74</v>
      </c>
      <c r="Q593" t="s">
        <v>74</v>
      </c>
      <c r="R593" t="s">
        <v>74</v>
      </c>
      <c r="S593" t="s">
        <v>74</v>
      </c>
      <c r="T593" t="s">
        <v>74</v>
      </c>
      <c r="U593" t="s">
        <v>11232</v>
      </c>
      <c r="V593" t="s">
        <v>11233</v>
      </c>
      <c r="W593" t="s">
        <v>11234</v>
      </c>
      <c r="X593" t="s">
        <v>11235</v>
      </c>
      <c r="Y593" t="s">
        <v>11236</v>
      </c>
      <c r="Z593" t="s">
        <v>11237</v>
      </c>
      <c r="AA593" t="s">
        <v>11238</v>
      </c>
      <c r="AB593" t="s">
        <v>11239</v>
      </c>
      <c r="AC593" t="s">
        <v>11240</v>
      </c>
      <c r="AD593" t="s">
        <v>11241</v>
      </c>
      <c r="AE593" t="s">
        <v>11242</v>
      </c>
      <c r="AF593" t="s">
        <v>74</v>
      </c>
      <c r="AG593">
        <v>66</v>
      </c>
      <c r="AH593">
        <v>162</v>
      </c>
      <c r="AI593">
        <v>189</v>
      </c>
      <c r="AJ593">
        <v>0</v>
      </c>
      <c r="AK593">
        <v>58</v>
      </c>
      <c r="AL593" t="s">
        <v>9986</v>
      </c>
      <c r="AM593" t="s">
        <v>7666</v>
      </c>
      <c r="AN593" t="s">
        <v>9987</v>
      </c>
      <c r="AO593" t="s">
        <v>9988</v>
      </c>
      <c r="AP593" t="s">
        <v>74</v>
      </c>
      <c r="AQ593" t="s">
        <v>74</v>
      </c>
      <c r="AR593" t="s">
        <v>9989</v>
      </c>
      <c r="AS593" t="s">
        <v>9990</v>
      </c>
      <c r="AT593" t="s">
        <v>9913</v>
      </c>
      <c r="AU593">
        <v>2011</v>
      </c>
      <c r="AV593">
        <v>43</v>
      </c>
      <c r="AW593">
        <v>4</v>
      </c>
      <c r="AX593" t="s">
        <v>74</v>
      </c>
      <c r="AY593" t="s">
        <v>74</v>
      </c>
      <c r="AZ593" t="s">
        <v>74</v>
      </c>
      <c r="BA593" t="s">
        <v>74</v>
      </c>
      <c r="BB593">
        <v>503</v>
      </c>
      <c r="BC593">
        <v>516</v>
      </c>
      <c r="BD593" t="s">
        <v>74</v>
      </c>
      <c r="BE593" t="s">
        <v>11243</v>
      </c>
      <c r="BF593" t="str">
        <f>HYPERLINK("http://dx.doi.org/10.1657/1938-4246-43.4.503","http://dx.doi.org/10.1657/1938-4246-43.4.503")</f>
        <v>http://dx.doi.org/10.1657/1938-4246-43.4.503</v>
      </c>
      <c r="BG593" t="s">
        <v>74</v>
      </c>
      <c r="BH593" t="s">
        <v>74</v>
      </c>
      <c r="BI593">
        <v>14</v>
      </c>
      <c r="BJ593" t="s">
        <v>7914</v>
      </c>
      <c r="BK593" t="s">
        <v>100</v>
      </c>
      <c r="BL593" t="s">
        <v>7915</v>
      </c>
      <c r="BM593" t="s">
        <v>9992</v>
      </c>
      <c r="BN593" t="s">
        <v>74</v>
      </c>
      <c r="BO593" t="s">
        <v>1796</v>
      </c>
      <c r="BP593" t="s">
        <v>74</v>
      </c>
      <c r="BQ593" t="s">
        <v>74</v>
      </c>
      <c r="BR593" t="s">
        <v>102</v>
      </c>
      <c r="BS593" t="s">
        <v>11244</v>
      </c>
      <c r="BT593" t="str">
        <f>HYPERLINK("https%3A%2F%2Fwww.webofscience.com%2Fwos%2Fwoscc%2Ffull-record%2FWOS:000298722400002","View Full Record in Web of Science")</f>
        <v>View Full Record in Web of Science</v>
      </c>
    </row>
    <row r="594" spans="1:72" x14ac:dyDescent="0.15">
      <c r="A594" t="s">
        <v>72</v>
      </c>
      <c r="B594" t="s">
        <v>11245</v>
      </c>
      <c r="C594" t="s">
        <v>74</v>
      </c>
      <c r="D594" t="s">
        <v>74</v>
      </c>
      <c r="E594" t="s">
        <v>74</v>
      </c>
      <c r="F594" t="s">
        <v>11246</v>
      </c>
      <c r="G594" t="s">
        <v>74</v>
      </c>
      <c r="H594" t="s">
        <v>74</v>
      </c>
      <c r="I594" t="s">
        <v>11247</v>
      </c>
      <c r="J594" t="s">
        <v>9975</v>
      </c>
      <c r="K594" t="s">
        <v>74</v>
      </c>
      <c r="L594" t="s">
        <v>74</v>
      </c>
      <c r="M594" t="s">
        <v>78</v>
      </c>
      <c r="N594" t="s">
        <v>79</v>
      </c>
      <c r="O594" t="s">
        <v>74</v>
      </c>
      <c r="P594" t="s">
        <v>74</v>
      </c>
      <c r="Q594" t="s">
        <v>74</v>
      </c>
      <c r="R594" t="s">
        <v>74</v>
      </c>
      <c r="S594" t="s">
        <v>74</v>
      </c>
      <c r="T594" t="s">
        <v>74</v>
      </c>
      <c r="U594" t="s">
        <v>11248</v>
      </c>
      <c r="V594" t="s">
        <v>11249</v>
      </c>
      <c r="W594" t="s">
        <v>11250</v>
      </c>
      <c r="X594" t="s">
        <v>11251</v>
      </c>
      <c r="Y594" t="s">
        <v>11252</v>
      </c>
      <c r="Z594" t="s">
        <v>11253</v>
      </c>
      <c r="AA594" t="s">
        <v>74</v>
      </c>
      <c r="AB594" t="s">
        <v>74</v>
      </c>
      <c r="AC594" t="s">
        <v>11254</v>
      </c>
      <c r="AD594" t="s">
        <v>11255</v>
      </c>
      <c r="AE594" t="s">
        <v>11256</v>
      </c>
      <c r="AF594" t="s">
        <v>74</v>
      </c>
      <c r="AG594">
        <v>71</v>
      </c>
      <c r="AH594">
        <v>19</v>
      </c>
      <c r="AI594">
        <v>23</v>
      </c>
      <c r="AJ594">
        <v>0</v>
      </c>
      <c r="AK594">
        <v>44</v>
      </c>
      <c r="AL594" t="s">
        <v>1150</v>
      </c>
      <c r="AM594" t="s">
        <v>1151</v>
      </c>
      <c r="AN594" t="s">
        <v>1152</v>
      </c>
      <c r="AO594" t="s">
        <v>9988</v>
      </c>
      <c r="AP594" t="s">
        <v>10006</v>
      </c>
      <c r="AQ594" t="s">
        <v>74</v>
      </c>
      <c r="AR594" t="s">
        <v>9989</v>
      </c>
      <c r="AS594" t="s">
        <v>9990</v>
      </c>
      <c r="AT594" t="s">
        <v>9913</v>
      </c>
      <c r="AU594">
        <v>2011</v>
      </c>
      <c r="AV594">
        <v>43</v>
      </c>
      <c r="AW594">
        <v>4</v>
      </c>
      <c r="AX594" t="s">
        <v>74</v>
      </c>
      <c r="AY594" t="s">
        <v>74</v>
      </c>
      <c r="AZ594" t="s">
        <v>74</v>
      </c>
      <c r="BA594" t="s">
        <v>74</v>
      </c>
      <c r="BB594">
        <v>543</v>
      </c>
      <c r="BC594">
        <v>554</v>
      </c>
      <c r="BD594" t="s">
        <v>74</v>
      </c>
      <c r="BE594" t="s">
        <v>11257</v>
      </c>
      <c r="BF594" t="str">
        <f>HYPERLINK("http://dx.doi.org/10.1657/1938-4246-43.4.543","http://dx.doi.org/10.1657/1938-4246-43.4.543")</f>
        <v>http://dx.doi.org/10.1657/1938-4246-43.4.543</v>
      </c>
      <c r="BG594" t="s">
        <v>74</v>
      </c>
      <c r="BH594" t="s">
        <v>74</v>
      </c>
      <c r="BI594">
        <v>12</v>
      </c>
      <c r="BJ594" t="s">
        <v>7914</v>
      </c>
      <c r="BK594" t="s">
        <v>100</v>
      </c>
      <c r="BL594" t="s">
        <v>7915</v>
      </c>
      <c r="BM594" t="s">
        <v>9992</v>
      </c>
      <c r="BN594" t="s">
        <v>74</v>
      </c>
      <c r="BO594" t="s">
        <v>3786</v>
      </c>
      <c r="BP594" t="s">
        <v>74</v>
      </c>
      <c r="BQ594" t="s">
        <v>74</v>
      </c>
      <c r="BR594" t="s">
        <v>102</v>
      </c>
      <c r="BS594" t="s">
        <v>11258</v>
      </c>
      <c r="BT594" t="str">
        <f>HYPERLINK("https%3A%2F%2Fwww.webofscience.com%2Fwos%2Fwoscc%2Ffull-record%2FWOS:000298722400005","View Full Record in Web of Science")</f>
        <v>View Full Record in Web of Science</v>
      </c>
    </row>
    <row r="595" spans="1:72" x14ac:dyDescent="0.15">
      <c r="A595" t="s">
        <v>72</v>
      </c>
      <c r="B595" t="s">
        <v>11259</v>
      </c>
      <c r="C595" t="s">
        <v>74</v>
      </c>
      <c r="D595" t="s">
        <v>74</v>
      </c>
      <c r="E595" t="s">
        <v>74</v>
      </c>
      <c r="F595" t="s">
        <v>11260</v>
      </c>
      <c r="G595" t="s">
        <v>74</v>
      </c>
      <c r="H595" t="s">
        <v>74</v>
      </c>
      <c r="I595" t="s">
        <v>11261</v>
      </c>
      <c r="J595" t="s">
        <v>9975</v>
      </c>
      <c r="K595" t="s">
        <v>74</v>
      </c>
      <c r="L595" t="s">
        <v>74</v>
      </c>
      <c r="M595" t="s">
        <v>78</v>
      </c>
      <c r="N595" t="s">
        <v>79</v>
      </c>
      <c r="O595" t="s">
        <v>74</v>
      </c>
      <c r="P595" t="s">
        <v>74</v>
      </c>
      <c r="Q595" t="s">
        <v>74</v>
      </c>
      <c r="R595" t="s">
        <v>74</v>
      </c>
      <c r="S595" t="s">
        <v>74</v>
      </c>
      <c r="T595" t="s">
        <v>74</v>
      </c>
      <c r="U595" t="s">
        <v>11262</v>
      </c>
      <c r="V595" t="s">
        <v>11263</v>
      </c>
      <c r="W595" t="s">
        <v>11264</v>
      </c>
      <c r="X595" t="s">
        <v>11265</v>
      </c>
      <c r="Y595" t="s">
        <v>11266</v>
      </c>
      <c r="Z595" t="s">
        <v>11267</v>
      </c>
      <c r="AA595" t="s">
        <v>11268</v>
      </c>
      <c r="AB595" t="s">
        <v>11269</v>
      </c>
      <c r="AC595" t="s">
        <v>11270</v>
      </c>
      <c r="AD595" t="s">
        <v>11271</v>
      </c>
      <c r="AE595" t="s">
        <v>11272</v>
      </c>
      <c r="AF595" t="s">
        <v>74</v>
      </c>
      <c r="AG595">
        <v>46</v>
      </c>
      <c r="AH595">
        <v>20</v>
      </c>
      <c r="AI595">
        <v>26</v>
      </c>
      <c r="AJ595">
        <v>2</v>
      </c>
      <c r="AK595">
        <v>20</v>
      </c>
      <c r="AL595" t="s">
        <v>9986</v>
      </c>
      <c r="AM595" t="s">
        <v>7666</v>
      </c>
      <c r="AN595" t="s">
        <v>9987</v>
      </c>
      <c r="AO595" t="s">
        <v>9988</v>
      </c>
      <c r="AP595" t="s">
        <v>10006</v>
      </c>
      <c r="AQ595" t="s">
        <v>74</v>
      </c>
      <c r="AR595" t="s">
        <v>9989</v>
      </c>
      <c r="AS595" t="s">
        <v>9990</v>
      </c>
      <c r="AT595" t="s">
        <v>9913</v>
      </c>
      <c r="AU595">
        <v>2011</v>
      </c>
      <c r="AV595">
        <v>43</v>
      </c>
      <c r="AW595">
        <v>4</v>
      </c>
      <c r="AX595" t="s">
        <v>74</v>
      </c>
      <c r="AY595" t="s">
        <v>74</v>
      </c>
      <c r="AZ595" t="s">
        <v>74</v>
      </c>
      <c r="BA595" t="s">
        <v>74</v>
      </c>
      <c r="BB595">
        <v>632</v>
      </c>
      <c r="BC595">
        <v>648</v>
      </c>
      <c r="BD595" t="s">
        <v>74</v>
      </c>
      <c r="BE595" t="s">
        <v>11273</v>
      </c>
      <c r="BF595" t="str">
        <f>HYPERLINK("http://dx.doi.org/10.1657/1938-4246-43.4.632","http://dx.doi.org/10.1657/1938-4246-43.4.632")</f>
        <v>http://dx.doi.org/10.1657/1938-4246-43.4.632</v>
      </c>
      <c r="BG595" t="s">
        <v>74</v>
      </c>
      <c r="BH595" t="s">
        <v>74</v>
      </c>
      <c r="BI595">
        <v>17</v>
      </c>
      <c r="BJ595" t="s">
        <v>7914</v>
      </c>
      <c r="BK595" t="s">
        <v>100</v>
      </c>
      <c r="BL595" t="s">
        <v>7915</v>
      </c>
      <c r="BM595" t="s">
        <v>9992</v>
      </c>
      <c r="BN595" t="s">
        <v>74</v>
      </c>
      <c r="BO595" t="s">
        <v>6262</v>
      </c>
      <c r="BP595" t="s">
        <v>74</v>
      </c>
      <c r="BQ595" t="s">
        <v>74</v>
      </c>
      <c r="BR595" t="s">
        <v>102</v>
      </c>
      <c r="BS595" t="s">
        <v>11274</v>
      </c>
      <c r="BT595" t="str">
        <f>HYPERLINK("https%3A%2F%2Fwww.webofscience.com%2Fwos%2Fwoscc%2Ffull-record%2FWOS:000298722400013","View Full Record in Web of Science")</f>
        <v>View Full Record in Web of Science</v>
      </c>
    </row>
    <row r="596" spans="1:72" x14ac:dyDescent="0.15">
      <c r="A596" t="s">
        <v>72</v>
      </c>
      <c r="B596" t="s">
        <v>11275</v>
      </c>
      <c r="C596" t="s">
        <v>74</v>
      </c>
      <c r="D596" t="s">
        <v>74</v>
      </c>
      <c r="E596" t="s">
        <v>74</v>
      </c>
      <c r="F596" t="s">
        <v>11276</v>
      </c>
      <c r="G596" t="s">
        <v>74</v>
      </c>
      <c r="H596" t="s">
        <v>74</v>
      </c>
      <c r="I596" t="s">
        <v>11277</v>
      </c>
      <c r="J596" t="s">
        <v>9975</v>
      </c>
      <c r="K596" t="s">
        <v>74</v>
      </c>
      <c r="L596" t="s">
        <v>74</v>
      </c>
      <c r="M596" t="s">
        <v>78</v>
      </c>
      <c r="N596" t="s">
        <v>79</v>
      </c>
      <c r="O596" t="s">
        <v>74</v>
      </c>
      <c r="P596" t="s">
        <v>74</v>
      </c>
      <c r="Q596" t="s">
        <v>74</v>
      </c>
      <c r="R596" t="s">
        <v>74</v>
      </c>
      <c r="S596" t="s">
        <v>74</v>
      </c>
      <c r="T596" t="s">
        <v>74</v>
      </c>
      <c r="U596" t="s">
        <v>11278</v>
      </c>
      <c r="V596" t="s">
        <v>11279</v>
      </c>
      <c r="W596" t="s">
        <v>11280</v>
      </c>
      <c r="X596" t="s">
        <v>11281</v>
      </c>
      <c r="Y596" t="s">
        <v>11282</v>
      </c>
      <c r="Z596" t="s">
        <v>11283</v>
      </c>
      <c r="AA596" t="s">
        <v>11284</v>
      </c>
      <c r="AB596" t="s">
        <v>11285</v>
      </c>
      <c r="AC596" t="s">
        <v>11286</v>
      </c>
      <c r="AD596" t="s">
        <v>11286</v>
      </c>
      <c r="AE596" t="s">
        <v>11287</v>
      </c>
      <c r="AF596" t="s">
        <v>74</v>
      </c>
      <c r="AG596">
        <v>31</v>
      </c>
      <c r="AH596">
        <v>87</v>
      </c>
      <c r="AI596">
        <v>91</v>
      </c>
      <c r="AJ596">
        <v>4</v>
      </c>
      <c r="AK596">
        <v>39</v>
      </c>
      <c r="AL596" t="s">
        <v>1150</v>
      </c>
      <c r="AM596" t="s">
        <v>1151</v>
      </c>
      <c r="AN596" t="s">
        <v>1152</v>
      </c>
      <c r="AO596" t="s">
        <v>9988</v>
      </c>
      <c r="AP596" t="s">
        <v>10006</v>
      </c>
      <c r="AQ596" t="s">
        <v>74</v>
      </c>
      <c r="AR596" t="s">
        <v>9989</v>
      </c>
      <c r="AS596" t="s">
        <v>9990</v>
      </c>
      <c r="AT596" t="s">
        <v>9913</v>
      </c>
      <c r="AU596">
        <v>2011</v>
      </c>
      <c r="AV596">
        <v>43</v>
      </c>
      <c r="AW596">
        <v>4</v>
      </c>
      <c r="AX596" t="s">
        <v>74</v>
      </c>
      <c r="AY596" t="s">
        <v>74</v>
      </c>
      <c r="AZ596" t="s">
        <v>74</v>
      </c>
      <c r="BA596" t="s">
        <v>74</v>
      </c>
      <c r="BB596">
        <v>649</v>
      </c>
      <c r="BC596">
        <v>658</v>
      </c>
      <c r="BD596" t="s">
        <v>74</v>
      </c>
      <c r="BE596" t="s">
        <v>11288</v>
      </c>
      <c r="BF596" t="str">
        <f>HYPERLINK("http://dx.doi.org/10.1657/1938-4246-43.4.649","http://dx.doi.org/10.1657/1938-4246-43.4.649")</f>
        <v>http://dx.doi.org/10.1657/1938-4246-43.4.649</v>
      </c>
      <c r="BG596" t="s">
        <v>74</v>
      </c>
      <c r="BH596" t="s">
        <v>74</v>
      </c>
      <c r="BI596">
        <v>10</v>
      </c>
      <c r="BJ596" t="s">
        <v>7914</v>
      </c>
      <c r="BK596" t="s">
        <v>100</v>
      </c>
      <c r="BL596" t="s">
        <v>7915</v>
      </c>
      <c r="BM596" t="s">
        <v>9992</v>
      </c>
      <c r="BN596" t="s">
        <v>74</v>
      </c>
      <c r="BO596" t="s">
        <v>3786</v>
      </c>
      <c r="BP596" t="s">
        <v>74</v>
      </c>
      <c r="BQ596" t="s">
        <v>74</v>
      </c>
      <c r="BR596" t="s">
        <v>102</v>
      </c>
      <c r="BS596" t="s">
        <v>11289</v>
      </c>
      <c r="BT596" t="str">
        <f>HYPERLINK("https%3A%2F%2Fwww.webofscience.com%2Fwos%2Fwoscc%2Ffull-record%2FWOS:000298722400014","View Full Record in Web of Science")</f>
        <v>View Full Record in Web of Science</v>
      </c>
    </row>
    <row r="597" spans="1:72" x14ac:dyDescent="0.15">
      <c r="A597" t="s">
        <v>72</v>
      </c>
      <c r="B597" t="s">
        <v>11290</v>
      </c>
      <c r="C597" t="s">
        <v>74</v>
      </c>
      <c r="D597" t="s">
        <v>74</v>
      </c>
      <c r="E597" t="s">
        <v>74</v>
      </c>
      <c r="F597" t="s">
        <v>11291</v>
      </c>
      <c r="G597" t="s">
        <v>74</v>
      </c>
      <c r="H597" t="s">
        <v>74</v>
      </c>
      <c r="I597" t="s">
        <v>11292</v>
      </c>
      <c r="J597" t="s">
        <v>11293</v>
      </c>
      <c r="K597" t="s">
        <v>74</v>
      </c>
      <c r="L597" t="s">
        <v>74</v>
      </c>
      <c r="M597" t="s">
        <v>78</v>
      </c>
      <c r="N597" t="s">
        <v>79</v>
      </c>
      <c r="O597" t="s">
        <v>74</v>
      </c>
      <c r="P597" t="s">
        <v>74</v>
      </c>
      <c r="Q597" t="s">
        <v>74</v>
      </c>
      <c r="R597" t="s">
        <v>74</v>
      </c>
      <c r="S597" t="s">
        <v>74</v>
      </c>
      <c r="T597" t="s">
        <v>11294</v>
      </c>
      <c r="U597" t="s">
        <v>11295</v>
      </c>
      <c r="V597" t="s">
        <v>11296</v>
      </c>
      <c r="W597" t="s">
        <v>11297</v>
      </c>
      <c r="X597" t="s">
        <v>11298</v>
      </c>
      <c r="Y597" t="s">
        <v>11299</v>
      </c>
      <c r="Z597" t="s">
        <v>74</v>
      </c>
      <c r="AA597" t="s">
        <v>74</v>
      </c>
      <c r="AB597" t="s">
        <v>11300</v>
      </c>
      <c r="AC597" t="s">
        <v>11301</v>
      </c>
      <c r="AD597" t="s">
        <v>11302</v>
      </c>
      <c r="AE597" t="s">
        <v>11303</v>
      </c>
      <c r="AF597" t="s">
        <v>74</v>
      </c>
      <c r="AG597">
        <v>54</v>
      </c>
      <c r="AH597">
        <v>38</v>
      </c>
      <c r="AI597">
        <v>41</v>
      </c>
      <c r="AJ597">
        <v>0</v>
      </c>
      <c r="AK597">
        <v>16</v>
      </c>
      <c r="AL597" t="s">
        <v>6454</v>
      </c>
      <c r="AM597" t="s">
        <v>6455</v>
      </c>
      <c r="AN597" t="s">
        <v>6456</v>
      </c>
      <c r="AO597" t="s">
        <v>11304</v>
      </c>
      <c r="AP597" t="s">
        <v>11305</v>
      </c>
      <c r="AQ597" t="s">
        <v>74</v>
      </c>
      <c r="AR597" t="s">
        <v>11306</v>
      </c>
      <c r="AS597" t="s">
        <v>11307</v>
      </c>
      <c r="AT597" t="s">
        <v>9913</v>
      </c>
      <c r="AU597">
        <v>2011</v>
      </c>
      <c r="AV597">
        <v>142</v>
      </c>
      <c r="AW597">
        <v>5</v>
      </c>
      <c r="AX597" t="s">
        <v>74</v>
      </c>
      <c r="AY597" t="s">
        <v>74</v>
      </c>
      <c r="AZ597" t="s">
        <v>74</v>
      </c>
      <c r="BA597" t="s">
        <v>74</v>
      </c>
      <c r="BB597" t="s">
        <v>74</v>
      </c>
      <c r="BC597" t="s">
        <v>74</v>
      </c>
      <c r="BD597">
        <v>155</v>
      </c>
      <c r="BE597" t="s">
        <v>11308</v>
      </c>
      <c r="BF597" t="str">
        <f>HYPERLINK("http://dx.doi.org/10.1088/0004-6256/142/5/155","http://dx.doi.org/10.1088/0004-6256/142/5/155")</f>
        <v>http://dx.doi.org/10.1088/0004-6256/142/5/155</v>
      </c>
      <c r="BG597" t="s">
        <v>74</v>
      </c>
      <c r="BH597" t="s">
        <v>74</v>
      </c>
      <c r="BI597">
        <v>13</v>
      </c>
      <c r="BJ597" t="s">
        <v>5208</v>
      </c>
      <c r="BK597" t="s">
        <v>100</v>
      </c>
      <c r="BL597" t="s">
        <v>5208</v>
      </c>
      <c r="BM597" t="s">
        <v>11309</v>
      </c>
      <c r="BN597" t="s">
        <v>74</v>
      </c>
      <c r="BO597" t="s">
        <v>892</v>
      </c>
      <c r="BP597" t="s">
        <v>74</v>
      </c>
      <c r="BQ597" t="s">
        <v>74</v>
      </c>
      <c r="BR597" t="s">
        <v>102</v>
      </c>
      <c r="BS597" t="s">
        <v>11310</v>
      </c>
      <c r="BT597" t="str">
        <f>HYPERLINK("https%3A%2F%2Fwww.webofscience.com%2Fwos%2Fwoscc%2Ffull-record%2FWOS:000296777000012","View Full Record in Web of Science")</f>
        <v>View Full Record in Web of Science</v>
      </c>
    </row>
    <row r="598" spans="1:72" x14ac:dyDescent="0.15">
      <c r="A598" t="s">
        <v>72</v>
      </c>
      <c r="B598" t="s">
        <v>11311</v>
      </c>
      <c r="C598" t="s">
        <v>74</v>
      </c>
      <c r="D598" t="s">
        <v>74</v>
      </c>
      <c r="E598" t="s">
        <v>74</v>
      </c>
      <c r="F598" t="s">
        <v>11312</v>
      </c>
      <c r="G598" t="s">
        <v>74</v>
      </c>
      <c r="H598" t="s">
        <v>4981</v>
      </c>
      <c r="I598" t="s">
        <v>11313</v>
      </c>
      <c r="J598" t="s">
        <v>9936</v>
      </c>
      <c r="K598" t="s">
        <v>74</v>
      </c>
      <c r="L598" t="s">
        <v>74</v>
      </c>
      <c r="M598" t="s">
        <v>78</v>
      </c>
      <c r="N598" t="s">
        <v>79</v>
      </c>
      <c r="O598" t="s">
        <v>74</v>
      </c>
      <c r="P598" t="s">
        <v>74</v>
      </c>
      <c r="Q598" t="s">
        <v>74</v>
      </c>
      <c r="R598" t="s">
        <v>74</v>
      </c>
      <c r="S598" t="s">
        <v>74</v>
      </c>
      <c r="T598" t="s">
        <v>11314</v>
      </c>
      <c r="U598" t="s">
        <v>11315</v>
      </c>
      <c r="V598" t="s">
        <v>11316</v>
      </c>
      <c r="W598" t="s">
        <v>11317</v>
      </c>
      <c r="X598" t="s">
        <v>11318</v>
      </c>
      <c r="Y598" t="s">
        <v>11319</v>
      </c>
      <c r="Z598" t="s">
        <v>11320</v>
      </c>
      <c r="AA598" t="s">
        <v>11321</v>
      </c>
      <c r="AB598" t="s">
        <v>11322</v>
      </c>
      <c r="AC598" t="s">
        <v>11323</v>
      </c>
      <c r="AD598" t="s">
        <v>11324</v>
      </c>
      <c r="AE598" t="s">
        <v>11325</v>
      </c>
      <c r="AF598" t="s">
        <v>74</v>
      </c>
      <c r="AG598">
        <v>75</v>
      </c>
      <c r="AH598">
        <v>133</v>
      </c>
      <c r="AI598">
        <v>146</v>
      </c>
      <c r="AJ598">
        <v>9</v>
      </c>
      <c r="AK598">
        <v>15</v>
      </c>
      <c r="AL598" t="s">
        <v>4160</v>
      </c>
      <c r="AM598" t="s">
        <v>4161</v>
      </c>
      <c r="AN598" t="s">
        <v>4162</v>
      </c>
      <c r="AO598" t="s">
        <v>9949</v>
      </c>
      <c r="AP598" t="s">
        <v>74</v>
      </c>
      <c r="AQ598" t="s">
        <v>74</v>
      </c>
      <c r="AR598" t="s">
        <v>9950</v>
      </c>
      <c r="AS598" t="s">
        <v>9951</v>
      </c>
      <c r="AT598" t="s">
        <v>9913</v>
      </c>
      <c r="AU598">
        <v>2011</v>
      </c>
      <c r="AV598">
        <v>535</v>
      </c>
      <c r="AW598" t="s">
        <v>74</v>
      </c>
      <c r="AX598" t="s">
        <v>74</v>
      </c>
      <c r="AY598" t="s">
        <v>74</v>
      </c>
      <c r="AZ598" t="s">
        <v>74</v>
      </c>
      <c r="BA598" t="s">
        <v>74</v>
      </c>
      <c r="BB598" t="s">
        <v>74</v>
      </c>
      <c r="BC598" t="s">
        <v>74</v>
      </c>
      <c r="BD598" t="s">
        <v>11326</v>
      </c>
      <c r="BE598" t="s">
        <v>11327</v>
      </c>
      <c r="BF598" t="str">
        <f>HYPERLINK("http://dx.doi.org/10.1051/0004-6361/201117810","http://dx.doi.org/10.1051/0004-6361/201117810")</f>
        <v>http://dx.doi.org/10.1051/0004-6361/201117810</v>
      </c>
      <c r="BG598" t="s">
        <v>74</v>
      </c>
      <c r="BH598" t="s">
        <v>74</v>
      </c>
      <c r="BI598">
        <v>18</v>
      </c>
      <c r="BJ598" t="s">
        <v>5208</v>
      </c>
      <c r="BK598" t="s">
        <v>100</v>
      </c>
      <c r="BL598" t="s">
        <v>5208</v>
      </c>
      <c r="BM598" t="s">
        <v>9954</v>
      </c>
      <c r="BN598" t="s">
        <v>74</v>
      </c>
      <c r="BO598" t="s">
        <v>7794</v>
      </c>
      <c r="BP598" t="s">
        <v>74</v>
      </c>
      <c r="BQ598" t="s">
        <v>74</v>
      </c>
      <c r="BR598" t="s">
        <v>102</v>
      </c>
      <c r="BS598" t="s">
        <v>11328</v>
      </c>
      <c r="BT598" t="str">
        <f>HYPERLINK("https%3A%2F%2Fwww.webofscience.com%2Fwos%2Fwoscc%2Ffull-record%2FWOS:000297841200121","View Full Record in Web of Science")</f>
        <v>View Full Record in Web of Science</v>
      </c>
    </row>
    <row r="599" spans="1:72" x14ac:dyDescent="0.15">
      <c r="A599" t="s">
        <v>72</v>
      </c>
      <c r="B599" t="s">
        <v>11329</v>
      </c>
      <c r="C599" t="s">
        <v>74</v>
      </c>
      <c r="D599" t="s">
        <v>74</v>
      </c>
      <c r="E599" t="s">
        <v>74</v>
      </c>
      <c r="F599" t="s">
        <v>11330</v>
      </c>
      <c r="G599" t="s">
        <v>74</v>
      </c>
      <c r="H599" t="s">
        <v>74</v>
      </c>
      <c r="I599" t="s">
        <v>11331</v>
      </c>
      <c r="J599" t="s">
        <v>1759</v>
      </c>
      <c r="K599" t="s">
        <v>74</v>
      </c>
      <c r="L599" t="s">
        <v>74</v>
      </c>
      <c r="M599" t="s">
        <v>78</v>
      </c>
      <c r="N599" t="s">
        <v>79</v>
      </c>
      <c r="O599" t="s">
        <v>74</v>
      </c>
      <c r="P599" t="s">
        <v>74</v>
      </c>
      <c r="Q599" t="s">
        <v>74</v>
      </c>
      <c r="R599" t="s">
        <v>74</v>
      </c>
      <c r="S599" t="s">
        <v>74</v>
      </c>
      <c r="T599" t="s">
        <v>11332</v>
      </c>
      <c r="U599" t="s">
        <v>11333</v>
      </c>
      <c r="V599" t="s">
        <v>11334</v>
      </c>
      <c r="W599" t="s">
        <v>11335</v>
      </c>
      <c r="X599" t="s">
        <v>11336</v>
      </c>
      <c r="Y599" t="s">
        <v>11337</v>
      </c>
      <c r="Z599" t="s">
        <v>11338</v>
      </c>
      <c r="AA599" t="s">
        <v>11339</v>
      </c>
      <c r="AB599" t="s">
        <v>11340</v>
      </c>
      <c r="AC599" t="s">
        <v>11341</v>
      </c>
      <c r="AD599" t="s">
        <v>11342</v>
      </c>
      <c r="AE599" t="s">
        <v>11343</v>
      </c>
      <c r="AF599" t="s">
        <v>74</v>
      </c>
      <c r="AG599">
        <v>77</v>
      </c>
      <c r="AH599">
        <v>94</v>
      </c>
      <c r="AI599">
        <v>97</v>
      </c>
      <c r="AJ599">
        <v>0</v>
      </c>
      <c r="AK599">
        <v>38</v>
      </c>
      <c r="AL599" t="s">
        <v>250</v>
      </c>
      <c r="AM599" t="s">
        <v>413</v>
      </c>
      <c r="AN599" t="s">
        <v>514</v>
      </c>
      <c r="AO599" t="s">
        <v>1772</v>
      </c>
      <c r="AP599" t="s">
        <v>1773</v>
      </c>
      <c r="AQ599" t="s">
        <v>74</v>
      </c>
      <c r="AR599" t="s">
        <v>1774</v>
      </c>
      <c r="AS599" t="s">
        <v>1775</v>
      </c>
      <c r="AT599" t="s">
        <v>9913</v>
      </c>
      <c r="AU599">
        <v>2011</v>
      </c>
      <c r="AV599">
        <v>37</v>
      </c>
      <c r="AW599" t="s">
        <v>11344</v>
      </c>
      <c r="AX599" t="s">
        <v>74</v>
      </c>
      <c r="AY599" t="s">
        <v>74</v>
      </c>
      <c r="AZ599" t="s">
        <v>74</v>
      </c>
      <c r="BA599" t="s">
        <v>74</v>
      </c>
      <c r="BB599">
        <v>2107</v>
      </c>
      <c r="BC599">
        <v>2125</v>
      </c>
      <c r="BD599" t="s">
        <v>74</v>
      </c>
      <c r="BE599" t="s">
        <v>11345</v>
      </c>
      <c r="BF599" t="str">
        <f>HYPERLINK("http://dx.doi.org/10.1007/s00382-010-0946-4","http://dx.doi.org/10.1007/s00382-010-0946-4")</f>
        <v>http://dx.doi.org/10.1007/s00382-010-0946-4</v>
      </c>
      <c r="BG599" t="s">
        <v>74</v>
      </c>
      <c r="BH599" t="s">
        <v>74</v>
      </c>
      <c r="BI599">
        <v>19</v>
      </c>
      <c r="BJ599" t="s">
        <v>463</v>
      </c>
      <c r="BK599" t="s">
        <v>100</v>
      </c>
      <c r="BL599" t="s">
        <v>463</v>
      </c>
      <c r="BM599" t="s">
        <v>11346</v>
      </c>
      <c r="BN599" t="s">
        <v>74</v>
      </c>
      <c r="BO599" t="s">
        <v>74</v>
      </c>
      <c r="BP599" t="s">
        <v>74</v>
      </c>
      <c r="BQ599" t="s">
        <v>74</v>
      </c>
      <c r="BR599" t="s">
        <v>102</v>
      </c>
      <c r="BS599" t="s">
        <v>11347</v>
      </c>
      <c r="BT599" t="str">
        <f>HYPERLINK("https%3A%2F%2Fwww.webofscience.com%2Fwos%2Fwoscc%2Ffull-record%2FWOS:000296476600024","View Full Record in Web of Science")</f>
        <v>View Full Record in Web of Science</v>
      </c>
    </row>
    <row r="600" spans="1:72" x14ac:dyDescent="0.15">
      <c r="A600" t="s">
        <v>72</v>
      </c>
      <c r="B600" t="s">
        <v>11348</v>
      </c>
      <c r="C600" t="s">
        <v>74</v>
      </c>
      <c r="D600" t="s">
        <v>74</v>
      </c>
      <c r="E600" t="s">
        <v>74</v>
      </c>
      <c r="F600" t="s">
        <v>11349</v>
      </c>
      <c r="G600" t="s">
        <v>74</v>
      </c>
      <c r="H600" t="s">
        <v>74</v>
      </c>
      <c r="I600" t="s">
        <v>11350</v>
      </c>
      <c r="J600" t="s">
        <v>2376</v>
      </c>
      <c r="K600" t="s">
        <v>74</v>
      </c>
      <c r="L600" t="s">
        <v>74</v>
      </c>
      <c r="M600" t="s">
        <v>78</v>
      </c>
      <c r="N600" t="s">
        <v>810</v>
      </c>
      <c r="O600" t="s">
        <v>74</v>
      </c>
      <c r="P600" t="s">
        <v>74</v>
      </c>
      <c r="Q600" t="s">
        <v>74</v>
      </c>
      <c r="R600" t="s">
        <v>74</v>
      </c>
      <c r="S600" t="s">
        <v>74</v>
      </c>
      <c r="T600" t="s">
        <v>74</v>
      </c>
      <c r="U600" t="s">
        <v>11351</v>
      </c>
      <c r="V600" t="s">
        <v>74</v>
      </c>
      <c r="W600" t="s">
        <v>11352</v>
      </c>
      <c r="X600" t="s">
        <v>11353</v>
      </c>
      <c r="Y600" t="s">
        <v>10974</v>
      </c>
      <c r="Z600" t="s">
        <v>10975</v>
      </c>
      <c r="AA600" t="s">
        <v>10976</v>
      </c>
      <c r="AB600" t="s">
        <v>10977</v>
      </c>
      <c r="AC600" t="s">
        <v>74</v>
      </c>
      <c r="AD600" t="s">
        <v>74</v>
      </c>
      <c r="AE600" t="s">
        <v>74</v>
      </c>
      <c r="AF600" t="s">
        <v>74</v>
      </c>
      <c r="AG600">
        <v>79</v>
      </c>
      <c r="AH600">
        <v>22</v>
      </c>
      <c r="AI600">
        <v>22</v>
      </c>
      <c r="AJ600">
        <v>0</v>
      </c>
      <c r="AK600">
        <v>15</v>
      </c>
      <c r="AL600" t="s">
        <v>155</v>
      </c>
      <c r="AM600" t="s">
        <v>156</v>
      </c>
      <c r="AN600" t="s">
        <v>157</v>
      </c>
      <c r="AO600" t="s">
        <v>2387</v>
      </c>
      <c r="AP600" t="s">
        <v>2388</v>
      </c>
      <c r="AQ600" t="s">
        <v>74</v>
      </c>
      <c r="AR600" t="s">
        <v>2389</v>
      </c>
      <c r="AS600" t="s">
        <v>2390</v>
      </c>
      <c r="AT600" t="s">
        <v>9913</v>
      </c>
      <c r="AU600">
        <v>2011</v>
      </c>
      <c r="AV600">
        <v>58</v>
      </c>
      <c r="AW600" t="s">
        <v>10981</v>
      </c>
      <c r="AX600" t="s">
        <v>74</v>
      </c>
      <c r="AY600" t="s">
        <v>74</v>
      </c>
      <c r="AZ600" t="s">
        <v>74</v>
      </c>
      <c r="BA600" t="s">
        <v>74</v>
      </c>
      <c r="BB600">
        <v>2051</v>
      </c>
      <c r="BC600">
        <v>2058</v>
      </c>
      <c r="BD600" t="s">
        <v>74</v>
      </c>
      <c r="BE600" t="s">
        <v>11354</v>
      </c>
      <c r="BF600" t="str">
        <f>HYPERLINK("http://dx.doi.org/10.1016/j.dsr2.2011.05.034","http://dx.doi.org/10.1016/j.dsr2.2011.05.034")</f>
        <v>http://dx.doi.org/10.1016/j.dsr2.2011.05.034</v>
      </c>
      <c r="BG600" t="s">
        <v>74</v>
      </c>
      <c r="BH600" t="s">
        <v>74</v>
      </c>
      <c r="BI600">
        <v>8</v>
      </c>
      <c r="BJ600" t="s">
        <v>496</v>
      </c>
      <c r="BK600" t="s">
        <v>100</v>
      </c>
      <c r="BL600" t="s">
        <v>496</v>
      </c>
      <c r="BM600" t="s">
        <v>10983</v>
      </c>
      <c r="BN600" t="s">
        <v>74</v>
      </c>
      <c r="BO600" t="s">
        <v>74</v>
      </c>
      <c r="BP600" t="s">
        <v>74</v>
      </c>
      <c r="BQ600" t="s">
        <v>74</v>
      </c>
      <c r="BR600" t="s">
        <v>102</v>
      </c>
      <c r="BS600" t="s">
        <v>11355</v>
      </c>
      <c r="BT600" t="str">
        <f>HYPERLINK("https%3A%2F%2Fwww.webofscience.com%2Fwos%2Fwoscc%2Ffull-record%2FWOS:000295762400001","View Full Record in Web of Science")</f>
        <v>View Full Record in Web of Science</v>
      </c>
    </row>
    <row r="601" spans="1:72" x14ac:dyDescent="0.15">
      <c r="A601" t="s">
        <v>72</v>
      </c>
      <c r="B601" t="s">
        <v>11356</v>
      </c>
      <c r="C601" t="s">
        <v>74</v>
      </c>
      <c r="D601" t="s">
        <v>74</v>
      </c>
      <c r="E601" t="s">
        <v>74</v>
      </c>
      <c r="F601" t="s">
        <v>11357</v>
      </c>
      <c r="G601" t="s">
        <v>74</v>
      </c>
      <c r="H601" t="s">
        <v>74</v>
      </c>
      <c r="I601" t="s">
        <v>11358</v>
      </c>
      <c r="J601" t="s">
        <v>2376</v>
      </c>
      <c r="K601" t="s">
        <v>74</v>
      </c>
      <c r="L601" t="s">
        <v>74</v>
      </c>
      <c r="M601" t="s">
        <v>78</v>
      </c>
      <c r="N601" t="s">
        <v>79</v>
      </c>
      <c r="O601" t="s">
        <v>74</v>
      </c>
      <c r="P601" t="s">
        <v>74</v>
      </c>
      <c r="Q601" t="s">
        <v>74</v>
      </c>
      <c r="R601" t="s">
        <v>74</v>
      </c>
      <c r="S601" t="s">
        <v>74</v>
      </c>
      <c r="T601" t="s">
        <v>11359</v>
      </c>
      <c r="U601" t="s">
        <v>11360</v>
      </c>
      <c r="V601" t="s">
        <v>11361</v>
      </c>
      <c r="W601" t="s">
        <v>11362</v>
      </c>
      <c r="X601" t="s">
        <v>11363</v>
      </c>
      <c r="Y601" t="s">
        <v>11364</v>
      </c>
      <c r="Z601" t="s">
        <v>11365</v>
      </c>
      <c r="AA601" t="s">
        <v>11366</v>
      </c>
      <c r="AB601" t="s">
        <v>11367</v>
      </c>
      <c r="AC601" t="s">
        <v>11368</v>
      </c>
      <c r="AD601" t="s">
        <v>11369</v>
      </c>
      <c r="AE601" t="s">
        <v>11370</v>
      </c>
      <c r="AF601" t="s">
        <v>74</v>
      </c>
      <c r="AG601">
        <v>58</v>
      </c>
      <c r="AH601">
        <v>17</v>
      </c>
      <c r="AI601">
        <v>17</v>
      </c>
      <c r="AJ601">
        <v>0</v>
      </c>
      <c r="AK601">
        <v>34</v>
      </c>
      <c r="AL601" t="s">
        <v>155</v>
      </c>
      <c r="AM601" t="s">
        <v>156</v>
      </c>
      <c r="AN601" t="s">
        <v>157</v>
      </c>
      <c r="AO601" t="s">
        <v>2387</v>
      </c>
      <c r="AP601" t="s">
        <v>74</v>
      </c>
      <c r="AQ601" t="s">
        <v>74</v>
      </c>
      <c r="AR601" t="s">
        <v>2389</v>
      </c>
      <c r="AS601" t="s">
        <v>2390</v>
      </c>
      <c r="AT601" t="s">
        <v>9913</v>
      </c>
      <c r="AU601">
        <v>2011</v>
      </c>
      <c r="AV601">
        <v>58</v>
      </c>
      <c r="AW601" t="s">
        <v>10981</v>
      </c>
      <c r="AX601" t="s">
        <v>74</v>
      </c>
      <c r="AY601" t="s">
        <v>74</v>
      </c>
      <c r="AZ601" t="s">
        <v>74</v>
      </c>
      <c r="BA601" t="s">
        <v>74</v>
      </c>
      <c r="BB601">
        <v>2179</v>
      </c>
      <c r="BC601">
        <v>2188</v>
      </c>
      <c r="BD601" t="s">
        <v>74</v>
      </c>
      <c r="BE601" t="s">
        <v>11371</v>
      </c>
      <c r="BF601" t="str">
        <f>HYPERLINK("http://dx.doi.org/10.1016/j.dsr2.2011.05.023","http://dx.doi.org/10.1016/j.dsr2.2011.05.023")</f>
        <v>http://dx.doi.org/10.1016/j.dsr2.2011.05.023</v>
      </c>
      <c r="BG601" t="s">
        <v>74</v>
      </c>
      <c r="BH601" t="s">
        <v>74</v>
      </c>
      <c r="BI601">
        <v>10</v>
      </c>
      <c r="BJ601" t="s">
        <v>496</v>
      </c>
      <c r="BK601" t="s">
        <v>100</v>
      </c>
      <c r="BL601" t="s">
        <v>496</v>
      </c>
      <c r="BM601" t="s">
        <v>10983</v>
      </c>
      <c r="BN601" t="s">
        <v>74</v>
      </c>
      <c r="BO601" t="s">
        <v>74</v>
      </c>
      <c r="BP601" t="s">
        <v>74</v>
      </c>
      <c r="BQ601" t="s">
        <v>74</v>
      </c>
      <c r="BR601" t="s">
        <v>102</v>
      </c>
      <c r="BS601" t="s">
        <v>11372</v>
      </c>
      <c r="BT601" t="str">
        <f>HYPERLINK("https%3A%2F%2Fwww.webofscience.com%2Fwos%2Fwoscc%2Ffull-record%2FWOS:000295762400011","View Full Record in Web of Science")</f>
        <v>View Full Record in Web of Science</v>
      </c>
    </row>
    <row r="602" spans="1:72" x14ac:dyDescent="0.15">
      <c r="A602" t="s">
        <v>72</v>
      </c>
      <c r="B602" t="s">
        <v>11373</v>
      </c>
      <c r="C602" t="s">
        <v>74</v>
      </c>
      <c r="D602" t="s">
        <v>74</v>
      </c>
      <c r="E602" t="s">
        <v>74</v>
      </c>
      <c r="F602" t="s">
        <v>11374</v>
      </c>
      <c r="G602" t="s">
        <v>74</v>
      </c>
      <c r="H602" t="s">
        <v>74</v>
      </c>
      <c r="I602" t="s">
        <v>11375</v>
      </c>
      <c r="J602" t="s">
        <v>2376</v>
      </c>
      <c r="K602" t="s">
        <v>74</v>
      </c>
      <c r="L602" t="s">
        <v>74</v>
      </c>
      <c r="M602" t="s">
        <v>78</v>
      </c>
      <c r="N602" t="s">
        <v>79</v>
      </c>
      <c r="O602" t="s">
        <v>74</v>
      </c>
      <c r="P602" t="s">
        <v>74</v>
      </c>
      <c r="Q602" t="s">
        <v>74</v>
      </c>
      <c r="R602" t="s">
        <v>74</v>
      </c>
      <c r="S602" t="s">
        <v>74</v>
      </c>
      <c r="T602" t="s">
        <v>11376</v>
      </c>
      <c r="U602" t="s">
        <v>11377</v>
      </c>
      <c r="V602" t="s">
        <v>11378</v>
      </c>
      <c r="W602" t="s">
        <v>11379</v>
      </c>
      <c r="X602" t="s">
        <v>11380</v>
      </c>
      <c r="Y602" t="s">
        <v>11381</v>
      </c>
      <c r="Z602" t="s">
        <v>11382</v>
      </c>
      <c r="AA602" t="s">
        <v>11383</v>
      </c>
      <c r="AB602" t="s">
        <v>11384</v>
      </c>
      <c r="AC602" t="s">
        <v>11385</v>
      </c>
      <c r="AD602" t="s">
        <v>11386</v>
      </c>
      <c r="AE602" t="s">
        <v>11387</v>
      </c>
      <c r="AF602" t="s">
        <v>74</v>
      </c>
      <c r="AG602">
        <v>65</v>
      </c>
      <c r="AH602">
        <v>30</v>
      </c>
      <c r="AI602">
        <v>32</v>
      </c>
      <c r="AJ602">
        <v>1</v>
      </c>
      <c r="AK602">
        <v>33</v>
      </c>
      <c r="AL602" t="s">
        <v>155</v>
      </c>
      <c r="AM602" t="s">
        <v>156</v>
      </c>
      <c r="AN602" t="s">
        <v>157</v>
      </c>
      <c r="AO602" t="s">
        <v>2387</v>
      </c>
      <c r="AP602" t="s">
        <v>2388</v>
      </c>
      <c r="AQ602" t="s">
        <v>74</v>
      </c>
      <c r="AR602" t="s">
        <v>2389</v>
      </c>
      <c r="AS602" t="s">
        <v>2390</v>
      </c>
      <c r="AT602" t="s">
        <v>9913</v>
      </c>
      <c r="AU602">
        <v>2011</v>
      </c>
      <c r="AV602">
        <v>58</v>
      </c>
      <c r="AW602" t="s">
        <v>10981</v>
      </c>
      <c r="AX602" t="s">
        <v>74</v>
      </c>
      <c r="AY602" t="s">
        <v>74</v>
      </c>
      <c r="AZ602" t="s">
        <v>74</v>
      </c>
      <c r="BA602" t="s">
        <v>74</v>
      </c>
      <c r="BB602">
        <v>2200</v>
      </c>
      <c r="BC602">
        <v>2211</v>
      </c>
      <c r="BD602" t="s">
        <v>74</v>
      </c>
      <c r="BE602" t="s">
        <v>11388</v>
      </c>
      <c r="BF602" t="str">
        <f>HYPERLINK("http://dx.doi.org/10.1016/j.dsr2.2011.05.020","http://dx.doi.org/10.1016/j.dsr2.2011.05.020")</f>
        <v>http://dx.doi.org/10.1016/j.dsr2.2011.05.020</v>
      </c>
      <c r="BG602" t="s">
        <v>74</v>
      </c>
      <c r="BH602" t="s">
        <v>74</v>
      </c>
      <c r="BI602">
        <v>12</v>
      </c>
      <c r="BJ602" t="s">
        <v>496</v>
      </c>
      <c r="BK602" t="s">
        <v>100</v>
      </c>
      <c r="BL602" t="s">
        <v>496</v>
      </c>
      <c r="BM602" t="s">
        <v>10983</v>
      </c>
      <c r="BN602" t="s">
        <v>74</v>
      </c>
      <c r="BO602" t="s">
        <v>74</v>
      </c>
      <c r="BP602" t="s">
        <v>74</v>
      </c>
      <c r="BQ602" t="s">
        <v>74</v>
      </c>
      <c r="BR602" t="s">
        <v>102</v>
      </c>
      <c r="BS602" t="s">
        <v>11389</v>
      </c>
      <c r="BT602" t="str">
        <f>HYPERLINK("https%3A%2F%2Fwww.webofscience.com%2Fwos%2Fwoscc%2Ffull-record%2FWOS:000295762400013","View Full Record in Web of Science")</f>
        <v>View Full Record in Web of Science</v>
      </c>
    </row>
    <row r="603" spans="1:72" x14ac:dyDescent="0.15">
      <c r="A603" t="s">
        <v>72</v>
      </c>
      <c r="B603" t="s">
        <v>11390</v>
      </c>
      <c r="C603" t="s">
        <v>74</v>
      </c>
      <c r="D603" t="s">
        <v>74</v>
      </c>
      <c r="E603" t="s">
        <v>74</v>
      </c>
      <c r="F603" t="s">
        <v>11391</v>
      </c>
      <c r="G603" t="s">
        <v>74</v>
      </c>
      <c r="H603" t="s">
        <v>74</v>
      </c>
      <c r="I603" t="s">
        <v>11392</v>
      </c>
      <c r="J603" t="s">
        <v>2376</v>
      </c>
      <c r="K603" t="s">
        <v>74</v>
      </c>
      <c r="L603" t="s">
        <v>74</v>
      </c>
      <c r="M603" t="s">
        <v>78</v>
      </c>
      <c r="N603" t="s">
        <v>79</v>
      </c>
      <c r="O603" t="s">
        <v>74</v>
      </c>
      <c r="P603" t="s">
        <v>74</v>
      </c>
      <c r="Q603" t="s">
        <v>74</v>
      </c>
      <c r="R603" t="s">
        <v>74</v>
      </c>
      <c r="S603" t="s">
        <v>74</v>
      </c>
      <c r="T603" t="s">
        <v>11393</v>
      </c>
      <c r="U603" t="s">
        <v>11394</v>
      </c>
      <c r="V603" t="s">
        <v>11395</v>
      </c>
      <c r="W603" t="s">
        <v>11396</v>
      </c>
      <c r="X603" t="s">
        <v>11397</v>
      </c>
      <c r="Y603" t="s">
        <v>11398</v>
      </c>
      <c r="Z603" t="s">
        <v>11399</v>
      </c>
      <c r="AA603" t="s">
        <v>11400</v>
      </c>
      <c r="AB603" t="s">
        <v>74</v>
      </c>
      <c r="AC603" t="s">
        <v>11401</v>
      </c>
      <c r="AD603" t="s">
        <v>11402</v>
      </c>
      <c r="AE603" t="s">
        <v>11403</v>
      </c>
      <c r="AF603" t="s">
        <v>74</v>
      </c>
      <c r="AG603">
        <v>86</v>
      </c>
      <c r="AH603">
        <v>12</v>
      </c>
      <c r="AI603">
        <v>13</v>
      </c>
      <c r="AJ603">
        <v>0</v>
      </c>
      <c r="AK603">
        <v>28</v>
      </c>
      <c r="AL603" t="s">
        <v>155</v>
      </c>
      <c r="AM603" t="s">
        <v>156</v>
      </c>
      <c r="AN603" t="s">
        <v>157</v>
      </c>
      <c r="AO603" t="s">
        <v>2387</v>
      </c>
      <c r="AP603" t="s">
        <v>2388</v>
      </c>
      <c r="AQ603" t="s">
        <v>74</v>
      </c>
      <c r="AR603" t="s">
        <v>2389</v>
      </c>
      <c r="AS603" t="s">
        <v>2390</v>
      </c>
      <c r="AT603" t="s">
        <v>9913</v>
      </c>
      <c r="AU603">
        <v>2011</v>
      </c>
      <c r="AV603">
        <v>58</v>
      </c>
      <c r="AW603" t="s">
        <v>10981</v>
      </c>
      <c r="AX603" t="s">
        <v>74</v>
      </c>
      <c r="AY603" t="s">
        <v>74</v>
      </c>
      <c r="AZ603" t="s">
        <v>74</v>
      </c>
      <c r="BA603" t="s">
        <v>74</v>
      </c>
      <c r="BB603">
        <v>2212</v>
      </c>
      <c r="BC603">
        <v>2221</v>
      </c>
      <c r="BD603" t="s">
        <v>74</v>
      </c>
      <c r="BE603" t="s">
        <v>11404</v>
      </c>
      <c r="BF603" t="str">
        <f>HYPERLINK("http://dx.doi.org/10.1016/j.dsr2.2011.05.024","http://dx.doi.org/10.1016/j.dsr2.2011.05.024")</f>
        <v>http://dx.doi.org/10.1016/j.dsr2.2011.05.024</v>
      </c>
      <c r="BG603" t="s">
        <v>74</v>
      </c>
      <c r="BH603" t="s">
        <v>74</v>
      </c>
      <c r="BI603">
        <v>10</v>
      </c>
      <c r="BJ603" t="s">
        <v>496</v>
      </c>
      <c r="BK603" t="s">
        <v>100</v>
      </c>
      <c r="BL603" t="s">
        <v>496</v>
      </c>
      <c r="BM603" t="s">
        <v>10983</v>
      </c>
      <c r="BN603" t="s">
        <v>74</v>
      </c>
      <c r="BO603" t="s">
        <v>74</v>
      </c>
      <c r="BP603" t="s">
        <v>74</v>
      </c>
      <c r="BQ603" t="s">
        <v>74</v>
      </c>
      <c r="BR603" t="s">
        <v>102</v>
      </c>
      <c r="BS603" t="s">
        <v>11405</v>
      </c>
      <c r="BT603" t="str">
        <f>HYPERLINK("https%3A%2F%2Fwww.webofscience.com%2Fwos%2Fwoscc%2Ffull-record%2FWOS:000295762400014","View Full Record in Web of Science")</f>
        <v>View Full Record in Web of Science</v>
      </c>
    </row>
    <row r="604" spans="1:72" x14ac:dyDescent="0.15">
      <c r="A604" t="s">
        <v>72</v>
      </c>
      <c r="B604" t="s">
        <v>11406</v>
      </c>
      <c r="C604" t="s">
        <v>74</v>
      </c>
      <c r="D604" t="s">
        <v>74</v>
      </c>
      <c r="E604" t="s">
        <v>74</v>
      </c>
      <c r="F604" t="s">
        <v>11407</v>
      </c>
      <c r="G604" t="s">
        <v>74</v>
      </c>
      <c r="H604" t="s">
        <v>74</v>
      </c>
      <c r="I604" t="s">
        <v>11408</v>
      </c>
      <c r="J604" t="s">
        <v>2376</v>
      </c>
      <c r="K604" t="s">
        <v>74</v>
      </c>
      <c r="L604" t="s">
        <v>74</v>
      </c>
      <c r="M604" t="s">
        <v>78</v>
      </c>
      <c r="N604" t="s">
        <v>79</v>
      </c>
      <c r="O604" t="s">
        <v>74</v>
      </c>
      <c r="P604" t="s">
        <v>74</v>
      </c>
      <c r="Q604" t="s">
        <v>74</v>
      </c>
      <c r="R604" t="s">
        <v>74</v>
      </c>
      <c r="S604" t="s">
        <v>74</v>
      </c>
      <c r="T604" t="s">
        <v>11409</v>
      </c>
      <c r="U604" t="s">
        <v>11410</v>
      </c>
      <c r="V604" t="s">
        <v>11411</v>
      </c>
      <c r="W604" t="s">
        <v>11412</v>
      </c>
      <c r="X604" t="s">
        <v>11413</v>
      </c>
      <c r="Y604" t="s">
        <v>11414</v>
      </c>
      <c r="Z604" t="s">
        <v>11415</v>
      </c>
      <c r="AA604" t="s">
        <v>74</v>
      </c>
      <c r="AB604" t="s">
        <v>74</v>
      </c>
      <c r="AC604" t="s">
        <v>11416</v>
      </c>
      <c r="AD604" t="s">
        <v>11417</v>
      </c>
      <c r="AE604" t="s">
        <v>11418</v>
      </c>
      <c r="AF604" t="s">
        <v>74</v>
      </c>
      <c r="AG604">
        <v>75</v>
      </c>
      <c r="AH604">
        <v>38</v>
      </c>
      <c r="AI604">
        <v>45</v>
      </c>
      <c r="AJ604">
        <v>0</v>
      </c>
      <c r="AK604">
        <v>73</v>
      </c>
      <c r="AL604" t="s">
        <v>155</v>
      </c>
      <c r="AM604" t="s">
        <v>156</v>
      </c>
      <c r="AN604" t="s">
        <v>157</v>
      </c>
      <c r="AO604" t="s">
        <v>2387</v>
      </c>
      <c r="AP604" t="s">
        <v>2388</v>
      </c>
      <c r="AQ604" t="s">
        <v>74</v>
      </c>
      <c r="AR604" t="s">
        <v>2389</v>
      </c>
      <c r="AS604" t="s">
        <v>2390</v>
      </c>
      <c r="AT604" t="s">
        <v>9913</v>
      </c>
      <c r="AU604">
        <v>2011</v>
      </c>
      <c r="AV604">
        <v>58</v>
      </c>
      <c r="AW604" t="s">
        <v>10981</v>
      </c>
      <c r="AX604" t="s">
        <v>74</v>
      </c>
      <c r="AY604" t="s">
        <v>74</v>
      </c>
      <c r="AZ604" t="s">
        <v>74</v>
      </c>
      <c r="BA604" t="s">
        <v>74</v>
      </c>
      <c r="BB604">
        <v>2248</v>
      </c>
      <c r="BC604">
        <v>2259</v>
      </c>
      <c r="BD604" t="s">
        <v>74</v>
      </c>
      <c r="BE604" t="s">
        <v>11419</v>
      </c>
      <c r="BF604" t="str">
        <f>HYPERLINK("http://dx.doi.org/10.1016/j.dsr2.2011.05.030","http://dx.doi.org/10.1016/j.dsr2.2011.05.030")</f>
        <v>http://dx.doi.org/10.1016/j.dsr2.2011.05.030</v>
      </c>
      <c r="BG604" t="s">
        <v>74</v>
      </c>
      <c r="BH604" t="s">
        <v>74</v>
      </c>
      <c r="BI604">
        <v>12</v>
      </c>
      <c r="BJ604" t="s">
        <v>496</v>
      </c>
      <c r="BK604" t="s">
        <v>100</v>
      </c>
      <c r="BL604" t="s">
        <v>496</v>
      </c>
      <c r="BM604" t="s">
        <v>10983</v>
      </c>
      <c r="BN604" t="s">
        <v>74</v>
      </c>
      <c r="BO604" t="s">
        <v>74</v>
      </c>
      <c r="BP604" t="s">
        <v>74</v>
      </c>
      <c r="BQ604" t="s">
        <v>74</v>
      </c>
      <c r="BR604" t="s">
        <v>102</v>
      </c>
      <c r="BS604" t="s">
        <v>11420</v>
      </c>
      <c r="BT604" t="str">
        <f>HYPERLINK("https%3A%2F%2Fwww.webofscience.com%2Fwos%2Fwoscc%2Ffull-record%2FWOS:000295762400017","View Full Record in Web of Science")</f>
        <v>View Full Record in Web of Science</v>
      </c>
    </row>
    <row r="605" spans="1:72" x14ac:dyDescent="0.15">
      <c r="A605" t="s">
        <v>72</v>
      </c>
      <c r="B605" t="s">
        <v>11421</v>
      </c>
      <c r="C605" t="s">
        <v>74</v>
      </c>
      <c r="D605" t="s">
        <v>74</v>
      </c>
      <c r="E605" t="s">
        <v>74</v>
      </c>
      <c r="F605" t="s">
        <v>11422</v>
      </c>
      <c r="G605" t="s">
        <v>74</v>
      </c>
      <c r="H605" t="s">
        <v>74</v>
      </c>
      <c r="I605" t="s">
        <v>11423</v>
      </c>
      <c r="J605" t="s">
        <v>2376</v>
      </c>
      <c r="K605" t="s">
        <v>74</v>
      </c>
      <c r="L605" t="s">
        <v>74</v>
      </c>
      <c r="M605" t="s">
        <v>78</v>
      </c>
      <c r="N605" t="s">
        <v>79</v>
      </c>
      <c r="O605" t="s">
        <v>74</v>
      </c>
      <c r="P605" t="s">
        <v>74</v>
      </c>
      <c r="Q605" t="s">
        <v>74</v>
      </c>
      <c r="R605" t="s">
        <v>74</v>
      </c>
      <c r="S605" t="s">
        <v>74</v>
      </c>
      <c r="T605" t="s">
        <v>11424</v>
      </c>
      <c r="U605" t="s">
        <v>11425</v>
      </c>
      <c r="V605" t="s">
        <v>11426</v>
      </c>
      <c r="W605" t="s">
        <v>11427</v>
      </c>
      <c r="X605" t="s">
        <v>11428</v>
      </c>
      <c r="Y605" t="s">
        <v>11429</v>
      </c>
      <c r="Z605" t="s">
        <v>11430</v>
      </c>
      <c r="AA605" t="s">
        <v>11431</v>
      </c>
      <c r="AB605" t="s">
        <v>11432</v>
      </c>
      <c r="AC605" t="s">
        <v>11433</v>
      </c>
      <c r="AD605" t="s">
        <v>11434</v>
      </c>
      <c r="AE605" t="s">
        <v>11435</v>
      </c>
      <c r="AF605" t="s">
        <v>74</v>
      </c>
      <c r="AG605">
        <v>55</v>
      </c>
      <c r="AH605">
        <v>28</v>
      </c>
      <c r="AI605">
        <v>29</v>
      </c>
      <c r="AJ605">
        <v>0</v>
      </c>
      <c r="AK605">
        <v>31</v>
      </c>
      <c r="AL605" t="s">
        <v>155</v>
      </c>
      <c r="AM605" t="s">
        <v>156</v>
      </c>
      <c r="AN605" t="s">
        <v>157</v>
      </c>
      <c r="AO605" t="s">
        <v>2387</v>
      </c>
      <c r="AP605" t="s">
        <v>74</v>
      </c>
      <c r="AQ605" t="s">
        <v>74</v>
      </c>
      <c r="AR605" t="s">
        <v>2389</v>
      </c>
      <c r="AS605" t="s">
        <v>2390</v>
      </c>
      <c r="AT605" t="s">
        <v>9913</v>
      </c>
      <c r="AU605">
        <v>2011</v>
      </c>
      <c r="AV605">
        <v>58</v>
      </c>
      <c r="AW605" t="s">
        <v>10981</v>
      </c>
      <c r="AX605" t="s">
        <v>74</v>
      </c>
      <c r="AY605" t="s">
        <v>74</v>
      </c>
      <c r="AZ605" t="s">
        <v>74</v>
      </c>
      <c r="BA605" t="s">
        <v>74</v>
      </c>
      <c r="BB605">
        <v>2293</v>
      </c>
      <c r="BC605">
        <v>2300</v>
      </c>
      <c r="BD605" t="s">
        <v>74</v>
      </c>
      <c r="BE605" t="s">
        <v>11436</v>
      </c>
      <c r="BF605" t="str">
        <f>HYPERLINK("http://dx.doi.org/10.1016/j.dsr2.2011.05.031","http://dx.doi.org/10.1016/j.dsr2.2011.05.031")</f>
        <v>http://dx.doi.org/10.1016/j.dsr2.2011.05.031</v>
      </c>
      <c r="BG605" t="s">
        <v>74</v>
      </c>
      <c r="BH605" t="s">
        <v>74</v>
      </c>
      <c r="BI605">
        <v>8</v>
      </c>
      <c r="BJ605" t="s">
        <v>496</v>
      </c>
      <c r="BK605" t="s">
        <v>100</v>
      </c>
      <c r="BL605" t="s">
        <v>496</v>
      </c>
      <c r="BM605" t="s">
        <v>10983</v>
      </c>
      <c r="BN605" t="s">
        <v>74</v>
      </c>
      <c r="BO605" t="s">
        <v>74</v>
      </c>
      <c r="BP605" t="s">
        <v>74</v>
      </c>
      <c r="BQ605" t="s">
        <v>74</v>
      </c>
      <c r="BR605" t="s">
        <v>102</v>
      </c>
      <c r="BS605" t="s">
        <v>11437</v>
      </c>
      <c r="BT605" t="str">
        <f>HYPERLINK("https%3A%2F%2Fwww.webofscience.com%2Fwos%2Fwoscc%2Ffull-record%2FWOS:000295762400020","View Full Record in Web of Science")</f>
        <v>View Full Record in Web of Science</v>
      </c>
    </row>
    <row r="606" spans="1:72" x14ac:dyDescent="0.15">
      <c r="A606" t="s">
        <v>72</v>
      </c>
      <c r="B606" t="s">
        <v>11438</v>
      </c>
      <c r="C606" t="s">
        <v>74</v>
      </c>
      <c r="D606" t="s">
        <v>74</v>
      </c>
      <c r="E606" t="s">
        <v>74</v>
      </c>
      <c r="F606" t="s">
        <v>11439</v>
      </c>
      <c r="G606" t="s">
        <v>74</v>
      </c>
      <c r="H606" t="s">
        <v>74</v>
      </c>
      <c r="I606" t="s">
        <v>11440</v>
      </c>
      <c r="J606" t="s">
        <v>11441</v>
      </c>
      <c r="K606" t="s">
        <v>74</v>
      </c>
      <c r="L606" t="s">
        <v>74</v>
      </c>
      <c r="M606" t="s">
        <v>78</v>
      </c>
      <c r="N606" t="s">
        <v>79</v>
      </c>
      <c r="O606" t="s">
        <v>74</v>
      </c>
      <c r="P606" t="s">
        <v>74</v>
      </c>
      <c r="Q606" t="s">
        <v>74</v>
      </c>
      <c r="R606" t="s">
        <v>74</v>
      </c>
      <c r="S606" t="s">
        <v>74</v>
      </c>
      <c r="T606" t="s">
        <v>74</v>
      </c>
      <c r="U606" t="s">
        <v>11442</v>
      </c>
      <c r="V606" t="s">
        <v>74</v>
      </c>
      <c r="W606" t="s">
        <v>11443</v>
      </c>
      <c r="X606" t="s">
        <v>3018</v>
      </c>
      <c r="Y606" t="s">
        <v>11444</v>
      </c>
      <c r="Z606" t="s">
        <v>74</v>
      </c>
      <c r="AA606" t="s">
        <v>11445</v>
      </c>
      <c r="AB606" t="s">
        <v>11446</v>
      </c>
      <c r="AC606" t="s">
        <v>11447</v>
      </c>
      <c r="AD606" t="s">
        <v>11448</v>
      </c>
      <c r="AE606" t="s">
        <v>11449</v>
      </c>
      <c r="AF606" t="s">
        <v>74</v>
      </c>
      <c r="AG606">
        <v>15</v>
      </c>
      <c r="AH606">
        <v>2</v>
      </c>
      <c r="AI606">
        <v>3</v>
      </c>
      <c r="AJ606">
        <v>0</v>
      </c>
      <c r="AK606">
        <v>5</v>
      </c>
      <c r="AL606" t="s">
        <v>7342</v>
      </c>
      <c r="AM606" t="s">
        <v>413</v>
      </c>
      <c r="AN606" t="s">
        <v>7343</v>
      </c>
      <c r="AO606" t="s">
        <v>11450</v>
      </c>
      <c r="AP606" t="s">
        <v>74</v>
      </c>
      <c r="AQ606" t="s">
        <v>74</v>
      </c>
      <c r="AR606" t="s">
        <v>11451</v>
      </c>
      <c r="AS606" t="s">
        <v>11452</v>
      </c>
      <c r="AT606" t="s">
        <v>9913</v>
      </c>
      <c r="AU606">
        <v>2011</v>
      </c>
      <c r="AV606">
        <v>441</v>
      </c>
      <c r="AW606">
        <v>1</v>
      </c>
      <c r="AX606" t="s">
        <v>74</v>
      </c>
      <c r="AY606" t="s">
        <v>74</v>
      </c>
      <c r="AZ606" t="s">
        <v>74</v>
      </c>
      <c r="BA606" t="s">
        <v>74</v>
      </c>
      <c r="BB606">
        <v>1533</v>
      </c>
      <c r="BC606">
        <v>1536</v>
      </c>
      <c r="BD606" t="s">
        <v>74</v>
      </c>
      <c r="BE606" t="s">
        <v>11453</v>
      </c>
      <c r="BF606" t="str">
        <f>HYPERLINK("http://dx.doi.org/10.1134/S1028334X11110043","http://dx.doi.org/10.1134/S1028334X11110043")</f>
        <v>http://dx.doi.org/10.1134/S1028334X11110043</v>
      </c>
      <c r="BG606" t="s">
        <v>74</v>
      </c>
      <c r="BH606" t="s">
        <v>74</v>
      </c>
      <c r="BI606">
        <v>4</v>
      </c>
      <c r="BJ606" t="s">
        <v>287</v>
      </c>
      <c r="BK606" t="s">
        <v>100</v>
      </c>
      <c r="BL606" t="s">
        <v>288</v>
      </c>
      <c r="BM606" t="s">
        <v>11454</v>
      </c>
      <c r="BN606" t="s">
        <v>74</v>
      </c>
      <c r="BO606" t="s">
        <v>74</v>
      </c>
      <c r="BP606" t="s">
        <v>74</v>
      </c>
      <c r="BQ606" t="s">
        <v>74</v>
      </c>
      <c r="BR606" t="s">
        <v>102</v>
      </c>
      <c r="BS606" t="s">
        <v>11455</v>
      </c>
      <c r="BT606" t="str">
        <f>HYPERLINK("https%3A%2F%2Fwww.webofscience.com%2Fwos%2Fwoscc%2Ffull-record%2FWOS:000298394100014","View Full Record in Web of Science")</f>
        <v>View Full Record in Web of Science</v>
      </c>
    </row>
    <row r="607" spans="1:72" x14ac:dyDescent="0.15">
      <c r="A607" t="s">
        <v>72</v>
      </c>
      <c r="B607" t="s">
        <v>11456</v>
      </c>
      <c r="C607" t="s">
        <v>74</v>
      </c>
      <c r="D607" t="s">
        <v>74</v>
      </c>
      <c r="E607" t="s">
        <v>74</v>
      </c>
      <c r="F607" t="s">
        <v>11457</v>
      </c>
      <c r="G607" t="s">
        <v>74</v>
      </c>
      <c r="H607" t="s">
        <v>74</v>
      </c>
      <c r="I607" t="s">
        <v>11458</v>
      </c>
      <c r="J607" t="s">
        <v>6662</v>
      </c>
      <c r="K607" t="s">
        <v>74</v>
      </c>
      <c r="L607" t="s">
        <v>74</v>
      </c>
      <c r="M607" t="s">
        <v>78</v>
      </c>
      <c r="N607" t="s">
        <v>79</v>
      </c>
      <c r="O607" t="s">
        <v>74</v>
      </c>
      <c r="P607" t="s">
        <v>74</v>
      </c>
      <c r="Q607" t="s">
        <v>74</v>
      </c>
      <c r="R607" t="s">
        <v>74</v>
      </c>
      <c r="S607" t="s">
        <v>74</v>
      </c>
      <c r="T607" t="s">
        <v>11459</v>
      </c>
      <c r="U607" t="s">
        <v>11460</v>
      </c>
      <c r="V607" t="s">
        <v>11461</v>
      </c>
      <c r="W607" t="s">
        <v>11462</v>
      </c>
      <c r="X607" t="s">
        <v>11463</v>
      </c>
      <c r="Y607" t="s">
        <v>11464</v>
      </c>
      <c r="Z607" t="s">
        <v>11465</v>
      </c>
      <c r="AA607" t="s">
        <v>11466</v>
      </c>
      <c r="AB607" t="s">
        <v>74</v>
      </c>
      <c r="AC607" t="s">
        <v>11467</v>
      </c>
      <c r="AD607" t="s">
        <v>11468</v>
      </c>
      <c r="AE607" t="s">
        <v>11469</v>
      </c>
      <c r="AF607" t="s">
        <v>74</v>
      </c>
      <c r="AG607">
        <v>120</v>
      </c>
      <c r="AH607">
        <v>27</v>
      </c>
      <c r="AI607">
        <v>29</v>
      </c>
      <c r="AJ607">
        <v>0</v>
      </c>
      <c r="AK607">
        <v>28</v>
      </c>
      <c r="AL607" t="s">
        <v>333</v>
      </c>
      <c r="AM607" t="s">
        <v>334</v>
      </c>
      <c r="AN607" t="s">
        <v>335</v>
      </c>
      <c r="AO607" t="s">
        <v>6675</v>
      </c>
      <c r="AP607" t="s">
        <v>6676</v>
      </c>
      <c r="AQ607" t="s">
        <v>74</v>
      </c>
      <c r="AR607" t="s">
        <v>6677</v>
      </c>
      <c r="AS607" t="s">
        <v>6678</v>
      </c>
      <c r="AT607" t="s">
        <v>10343</v>
      </c>
      <c r="AU607">
        <v>2011</v>
      </c>
      <c r="AV607">
        <v>311</v>
      </c>
      <c r="AW607" t="s">
        <v>1776</v>
      </c>
      <c r="AX607" t="s">
        <v>74</v>
      </c>
      <c r="AY607" t="s">
        <v>74</v>
      </c>
      <c r="AZ607" t="s">
        <v>74</v>
      </c>
      <c r="BA607" t="s">
        <v>74</v>
      </c>
      <c r="BB607">
        <v>69</v>
      </c>
      <c r="BC607">
        <v>81</v>
      </c>
      <c r="BD607" t="s">
        <v>74</v>
      </c>
      <c r="BE607" t="s">
        <v>11470</v>
      </c>
      <c r="BF607" t="str">
        <f>HYPERLINK("http://dx.doi.org/10.1016/j.epsl.2011.08.044","http://dx.doi.org/10.1016/j.epsl.2011.08.044")</f>
        <v>http://dx.doi.org/10.1016/j.epsl.2011.08.044</v>
      </c>
      <c r="BG607" t="s">
        <v>74</v>
      </c>
      <c r="BH607" t="s">
        <v>74</v>
      </c>
      <c r="BI607">
        <v>13</v>
      </c>
      <c r="BJ607" t="s">
        <v>164</v>
      </c>
      <c r="BK607" t="s">
        <v>100</v>
      </c>
      <c r="BL607" t="s">
        <v>164</v>
      </c>
      <c r="BM607" t="s">
        <v>11471</v>
      </c>
      <c r="BN607" t="s">
        <v>74</v>
      </c>
      <c r="BO607" t="s">
        <v>74</v>
      </c>
      <c r="BP607" t="s">
        <v>74</v>
      </c>
      <c r="BQ607" t="s">
        <v>74</v>
      </c>
      <c r="BR607" t="s">
        <v>102</v>
      </c>
      <c r="BS607" t="s">
        <v>11472</v>
      </c>
      <c r="BT607" t="str">
        <f>HYPERLINK("https%3A%2F%2Fwww.webofscience.com%2Fwos%2Fwoscc%2Ffull-record%2FWOS:000298270100006","View Full Record in Web of Science")</f>
        <v>View Full Record in Web of Science</v>
      </c>
    </row>
    <row r="608" spans="1:72" x14ac:dyDescent="0.15">
      <c r="A608" t="s">
        <v>72</v>
      </c>
      <c r="B608" t="s">
        <v>11473</v>
      </c>
      <c r="C608" t="s">
        <v>74</v>
      </c>
      <c r="D608" t="s">
        <v>74</v>
      </c>
      <c r="E608" t="s">
        <v>74</v>
      </c>
      <c r="F608" t="s">
        <v>11474</v>
      </c>
      <c r="G608" t="s">
        <v>74</v>
      </c>
      <c r="H608" t="s">
        <v>74</v>
      </c>
      <c r="I608" t="s">
        <v>11475</v>
      </c>
      <c r="J608" t="s">
        <v>11476</v>
      </c>
      <c r="K608" t="s">
        <v>74</v>
      </c>
      <c r="L608" t="s">
        <v>74</v>
      </c>
      <c r="M608" t="s">
        <v>78</v>
      </c>
      <c r="N608" t="s">
        <v>79</v>
      </c>
      <c r="O608" t="s">
        <v>74</v>
      </c>
      <c r="P608" t="s">
        <v>74</v>
      </c>
      <c r="Q608" t="s">
        <v>74</v>
      </c>
      <c r="R608" t="s">
        <v>74</v>
      </c>
      <c r="S608" t="s">
        <v>74</v>
      </c>
      <c r="T608" t="s">
        <v>11477</v>
      </c>
      <c r="U608" t="s">
        <v>11478</v>
      </c>
      <c r="V608" t="s">
        <v>11479</v>
      </c>
      <c r="W608" t="s">
        <v>11480</v>
      </c>
      <c r="X608" t="s">
        <v>11481</v>
      </c>
      <c r="Y608" t="s">
        <v>11482</v>
      </c>
      <c r="Z608" t="s">
        <v>11483</v>
      </c>
      <c r="AA608" t="s">
        <v>11484</v>
      </c>
      <c r="AB608" t="s">
        <v>11485</v>
      </c>
      <c r="AC608" t="s">
        <v>11486</v>
      </c>
      <c r="AD608" t="s">
        <v>11487</v>
      </c>
      <c r="AE608" t="s">
        <v>11488</v>
      </c>
      <c r="AF608" t="s">
        <v>74</v>
      </c>
      <c r="AG608">
        <v>69</v>
      </c>
      <c r="AH608">
        <v>12</v>
      </c>
      <c r="AI608">
        <v>12</v>
      </c>
      <c r="AJ608">
        <v>0</v>
      </c>
      <c r="AK608">
        <v>22</v>
      </c>
      <c r="AL608" t="s">
        <v>795</v>
      </c>
      <c r="AM608" t="s">
        <v>1468</v>
      </c>
      <c r="AN608" t="s">
        <v>1469</v>
      </c>
      <c r="AO608" t="s">
        <v>11489</v>
      </c>
      <c r="AP608" t="s">
        <v>74</v>
      </c>
      <c r="AQ608" t="s">
        <v>74</v>
      </c>
      <c r="AR608" t="s">
        <v>11490</v>
      </c>
      <c r="AS608" t="s">
        <v>11491</v>
      </c>
      <c r="AT608" t="s">
        <v>9913</v>
      </c>
      <c r="AU608">
        <v>2011</v>
      </c>
      <c r="AV608">
        <v>36</v>
      </c>
      <c r="AW608">
        <v>14</v>
      </c>
      <c r="AX608" t="s">
        <v>74</v>
      </c>
      <c r="AY608" t="s">
        <v>74</v>
      </c>
      <c r="AZ608" t="s">
        <v>74</v>
      </c>
      <c r="BA608" t="s">
        <v>74</v>
      </c>
      <c r="BB608">
        <v>1860</v>
      </c>
      <c r="BC608">
        <v>1871</v>
      </c>
      <c r="BD608" t="s">
        <v>74</v>
      </c>
      <c r="BE608" t="s">
        <v>11492</v>
      </c>
      <c r="BF608" t="str">
        <f>HYPERLINK("http://dx.doi.org/10.1002/esp.2207","http://dx.doi.org/10.1002/esp.2207")</f>
        <v>http://dx.doi.org/10.1002/esp.2207</v>
      </c>
      <c r="BG608" t="s">
        <v>74</v>
      </c>
      <c r="BH608" t="s">
        <v>74</v>
      </c>
      <c r="BI608">
        <v>12</v>
      </c>
      <c r="BJ608" t="s">
        <v>226</v>
      </c>
      <c r="BK608" t="s">
        <v>100</v>
      </c>
      <c r="BL608" t="s">
        <v>227</v>
      </c>
      <c r="BM608" t="s">
        <v>11493</v>
      </c>
      <c r="BN608" t="s">
        <v>74</v>
      </c>
      <c r="BO608" t="s">
        <v>74</v>
      </c>
      <c r="BP608" t="s">
        <v>74</v>
      </c>
      <c r="BQ608" t="s">
        <v>74</v>
      </c>
      <c r="BR608" t="s">
        <v>102</v>
      </c>
      <c r="BS608" t="s">
        <v>11494</v>
      </c>
      <c r="BT608" t="str">
        <f>HYPERLINK("https%3A%2F%2Fwww.webofscience.com%2Fwos%2Fwoscc%2Ffull-record%2FWOS:000297730300002","View Full Record in Web of Science")</f>
        <v>View Full Record in Web of Science</v>
      </c>
    </row>
    <row r="609" spans="1:72" x14ac:dyDescent="0.15">
      <c r="A609" t="s">
        <v>72</v>
      </c>
      <c r="B609" t="s">
        <v>11495</v>
      </c>
      <c r="C609" t="s">
        <v>74</v>
      </c>
      <c r="D609" t="s">
        <v>74</v>
      </c>
      <c r="E609" t="s">
        <v>74</v>
      </c>
      <c r="F609" t="s">
        <v>11496</v>
      </c>
      <c r="G609" t="s">
        <v>74</v>
      </c>
      <c r="H609" t="s">
        <v>74</v>
      </c>
      <c r="I609" t="s">
        <v>11497</v>
      </c>
      <c r="J609" t="s">
        <v>7284</v>
      </c>
      <c r="K609" t="s">
        <v>74</v>
      </c>
      <c r="L609" t="s">
        <v>74</v>
      </c>
      <c r="M609" t="s">
        <v>78</v>
      </c>
      <c r="N609" t="s">
        <v>79</v>
      </c>
      <c r="O609" t="s">
        <v>74</v>
      </c>
      <c r="P609" t="s">
        <v>74</v>
      </c>
      <c r="Q609" t="s">
        <v>74</v>
      </c>
      <c r="R609" t="s">
        <v>74</v>
      </c>
      <c r="S609" t="s">
        <v>74</v>
      </c>
      <c r="T609" t="s">
        <v>11498</v>
      </c>
      <c r="U609" t="s">
        <v>11499</v>
      </c>
      <c r="V609" t="s">
        <v>11500</v>
      </c>
      <c r="W609" t="s">
        <v>11501</v>
      </c>
      <c r="X609" t="s">
        <v>11502</v>
      </c>
      <c r="Y609" t="s">
        <v>11503</v>
      </c>
      <c r="Z609" t="s">
        <v>11504</v>
      </c>
      <c r="AA609" t="s">
        <v>11505</v>
      </c>
      <c r="AB609" t="s">
        <v>11506</v>
      </c>
      <c r="AC609" t="s">
        <v>11507</v>
      </c>
      <c r="AD609" t="s">
        <v>11508</v>
      </c>
      <c r="AE609" t="s">
        <v>11509</v>
      </c>
      <c r="AF609" t="s">
        <v>74</v>
      </c>
      <c r="AG609">
        <v>22</v>
      </c>
      <c r="AH609">
        <v>21</v>
      </c>
      <c r="AI609">
        <v>25</v>
      </c>
      <c r="AJ609">
        <v>1</v>
      </c>
      <c r="AK609">
        <v>34</v>
      </c>
      <c r="AL609" t="s">
        <v>795</v>
      </c>
      <c r="AM609" t="s">
        <v>1468</v>
      </c>
      <c r="AN609" t="s">
        <v>1469</v>
      </c>
      <c r="AO609" t="s">
        <v>7297</v>
      </c>
      <c r="AP609" t="s">
        <v>74</v>
      </c>
      <c r="AQ609" t="s">
        <v>74</v>
      </c>
      <c r="AR609" t="s">
        <v>7284</v>
      </c>
      <c r="AS609" t="s">
        <v>7299</v>
      </c>
      <c r="AT609" t="s">
        <v>9913</v>
      </c>
      <c r="AU609">
        <v>2011</v>
      </c>
      <c r="AV609">
        <v>32</v>
      </c>
      <c r="AW609">
        <v>22</v>
      </c>
      <c r="AX609" t="s">
        <v>74</v>
      </c>
      <c r="AY609" t="s">
        <v>74</v>
      </c>
      <c r="AZ609" t="s">
        <v>339</v>
      </c>
      <c r="BA609" t="s">
        <v>74</v>
      </c>
      <c r="BB609">
        <v>3129</v>
      </c>
      <c r="BC609">
        <v>3132</v>
      </c>
      <c r="BD609" t="s">
        <v>74</v>
      </c>
      <c r="BE609" t="s">
        <v>11510</v>
      </c>
      <c r="BF609" t="str">
        <f>HYPERLINK("http://dx.doi.org/10.1002/elps.201100160","http://dx.doi.org/10.1002/elps.201100160")</f>
        <v>http://dx.doi.org/10.1002/elps.201100160</v>
      </c>
      <c r="BG609" t="s">
        <v>74</v>
      </c>
      <c r="BH609" t="s">
        <v>74</v>
      </c>
      <c r="BI609">
        <v>4</v>
      </c>
      <c r="BJ609" t="s">
        <v>7301</v>
      </c>
      <c r="BK609" t="s">
        <v>100</v>
      </c>
      <c r="BL609" t="s">
        <v>7302</v>
      </c>
      <c r="BM609" t="s">
        <v>11511</v>
      </c>
      <c r="BN609">
        <v>21792997</v>
      </c>
      <c r="BO609" t="s">
        <v>74</v>
      </c>
      <c r="BP609" t="s">
        <v>74</v>
      </c>
      <c r="BQ609" t="s">
        <v>74</v>
      </c>
      <c r="BR609" t="s">
        <v>102</v>
      </c>
      <c r="BS609" t="s">
        <v>11512</v>
      </c>
      <c r="BT609" t="str">
        <f>HYPERLINK("https%3A%2F%2Fwww.webofscience.com%2Fwos%2Fwoscc%2Ffull-record%2FWOS:000298098700007","View Full Record in Web of Science")</f>
        <v>View Full Record in Web of Science</v>
      </c>
    </row>
    <row r="610" spans="1:72" x14ac:dyDescent="0.15">
      <c r="A610" t="s">
        <v>72</v>
      </c>
      <c r="B610" t="s">
        <v>11513</v>
      </c>
      <c r="C610" t="s">
        <v>74</v>
      </c>
      <c r="D610" t="s">
        <v>74</v>
      </c>
      <c r="E610" t="s">
        <v>74</v>
      </c>
      <c r="F610" t="s">
        <v>11514</v>
      </c>
      <c r="G610" t="s">
        <v>74</v>
      </c>
      <c r="H610" t="s">
        <v>74</v>
      </c>
      <c r="I610" t="s">
        <v>11515</v>
      </c>
      <c r="J610" t="s">
        <v>11516</v>
      </c>
      <c r="K610" t="s">
        <v>74</v>
      </c>
      <c r="L610" t="s">
        <v>74</v>
      </c>
      <c r="M610" t="s">
        <v>78</v>
      </c>
      <c r="N610" t="s">
        <v>79</v>
      </c>
      <c r="O610" t="s">
        <v>74</v>
      </c>
      <c r="P610" t="s">
        <v>74</v>
      </c>
      <c r="Q610" t="s">
        <v>74</v>
      </c>
      <c r="R610" t="s">
        <v>74</v>
      </c>
      <c r="S610" t="s">
        <v>74</v>
      </c>
      <c r="T610" t="s">
        <v>11517</v>
      </c>
      <c r="U610" t="s">
        <v>11518</v>
      </c>
      <c r="V610" t="s">
        <v>11519</v>
      </c>
      <c r="W610" t="s">
        <v>11520</v>
      </c>
      <c r="X610" t="s">
        <v>11521</v>
      </c>
      <c r="Y610" t="s">
        <v>11522</v>
      </c>
      <c r="Z610" t="s">
        <v>11523</v>
      </c>
      <c r="AA610" t="s">
        <v>74</v>
      </c>
      <c r="AB610" t="s">
        <v>11524</v>
      </c>
      <c r="AC610" t="s">
        <v>11525</v>
      </c>
      <c r="AD610" t="s">
        <v>11526</v>
      </c>
      <c r="AE610" t="s">
        <v>11527</v>
      </c>
      <c r="AF610" t="s">
        <v>74</v>
      </c>
      <c r="AG610">
        <v>76</v>
      </c>
      <c r="AH610">
        <v>47</v>
      </c>
      <c r="AI610">
        <v>54</v>
      </c>
      <c r="AJ610">
        <v>1</v>
      </c>
      <c r="AK610">
        <v>49</v>
      </c>
      <c r="AL610" t="s">
        <v>250</v>
      </c>
      <c r="AM610" t="s">
        <v>251</v>
      </c>
      <c r="AN610" t="s">
        <v>252</v>
      </c>
      <c r="AO610" t="s">
        <v>11528</v>
      </c>
      <c r="AP610" t="s">
        <v>74</v>
      </c>
      <c r="AQ610" t="s">
        <v>74</v>
      </c>
      <c r="AR610" t="s">
        <v>11529</v>
      </c>
      <c r="AS610" t="s">
        <v>11530</v>
      </c>
      <c r="AT610" t="s">
        <v>9913</v>
      </c>
      <c r="AU610">
        <v>2011</v>
      </c>
      <c r="AV610">
        <v>182</v>
      </c>
      <c r="AW610" t="s">
        <v>6483</v>
      </c>
      <c r="AX610" t="s">
        <v>74</v>
      </c>
      <c r="AY610" t="s">
        <v>74</v>
      </c>
      <c r="AZ610" t="s">
        <v>74</v>
      </c>
      <c r="BA610" t="s">
        <v>74</v>
      </c>
      <c r="BB610">
        <v>571</v>
      </c>
      <c r="BC610">
        <v>585</v>
      </c>
      <c r="BD610" t="s">
        <v>74</v>
      </c>
      <c r="BE610" t="s">
        <v>11531</v>
      </c>
      <c r="BF610" t="str">
        <f>HYPERLINK("http://dx.doi.org/10.1007/s10661-011-1898-9","http://dx.doi.org/10.1007/s10661-011-1898-9")</f>
        <v>http://dx.doi.org/10.1007/s10661-011-1898-9</v>
      </c>
      <c r="BG610" t="s">
        <v>74</v>
      </c>
      <c r="BH610" t="s">
        <v>74</v>
      </c>
      <c r="BI610">
        <v>15</v>
      </c>
      <c r="BJ610" t="s">
        <v>2924</v>
      </c>
      <c r="BK610" t="s">
        <v>100</v>
      </c>
      <c r="BL610" t="s">
        <v>2837</v>
      </c>
      <c r="BM610" t="s">
        <v>11532</v>
      </c>
      <c r="BN610">
        <v>21340549</v>
      </c>
      <c r="BO610" t="s">
        <v>74</v>
      </c>
      <c r="BP610" t="s">
        <v>74</v>
      </c>
      <c r="BQ610" t="s">
        <v>74</v>
      </c>
      <c r="BR610" t="s">
        <v>102</v>
      </c>
      <c r="BS610" t="s">
        <v>11533</v>
      </c>
      <c r="BT610" t="str">
        <f>HYPERLINK("https%3A%2F%2Fwww.webofscience.com%2Fwos%2Fwoscc%2Ffull-record%2FWOS:000295167500045","View Full Record in Web of Science")</f>
        <v>View Full Record in Web of Science</v>
      </c>
    </row>
    <row r="611" spans="1:72" x14ac:dyDescent="0.15">
      <c r="A611" t="s">
        <v>72</v>
      </c>
      <c r="B611" t="s">
        <v>11534</v>
      </c>
      <c r="C611" t="s">
        <v>74</v>
      </c>
      <c r="D611" t="s">
        <v>74</v>
      </c>
      <c r="E611" t="s">
        <v>74</v>
      </c>
      <c r="F611" t="s">
        <v>11535</v>
      </c>
      <c r="G611" t="s">
        <v>74</v>
      </c>
      <c r="H611" t="s">
        <v>74</v>
      </c>
      <c r="I611" t="s">
        <v>11536</v>
      </c>
      <c r="J611" t="s">
        <v>77</v>
      </c>
      <c r="K611" t="s">
        <v>74</v>
      </c>
      <c r="L611" t="s">
        <v>74</v>
      </c>
      <c r="M611" t="s">
        <v>78</v>
      </c>
      <c r="N611" t="s">
        <v>79</v>
      </c>
      <c r="O611" t="s">
        <v>74</v>
      </c>
      <c r="P611" t="s">
        <v>74</v>
      </c>
      <c r="Q611" t="s">
        <v>74</v>
      </c>
      <c r="R611" t="s">
        <v>74</v>
      </c>
      <c r="S611" t="s">
        <v>74</v>
      </c>
      <c r="T611" t="s">
        <v>11537</v>
      </c>
      <c r="U611" t="s">
        <v>11538</v>
      </c>
      <c r="V611" t="s">
        <v>11539</v>
      </c>
      <c r="W611" t="s">
        <v>11540</v>
      </c>
      <c r="X611" t="s">
        <v>10682</v>
      </c>
      <c r="Y611" t="s">
        <v>10683</v>
      </c>
      <c r="Z611" t="s">
        <v>10684</v>
      </c>
      <c r="AA611" t="s">
        <v>11541</v>
      </c>
      <c r="AB611" t="s">
        <v>11542</v>
      </c>
      <c r="AC611" t="s">
        <v>11543</v>
      </c>
      <c r="AD611" t="s">
        <v>11544</v>
      </c>
      <c r="AE611" t="s">
        <v>11545</v>
      </c>
      <c r="AF611" t="s">
        <v>74</v>
      </c>
      <c r="AG611">
        <v>78</v>
      </c>
      <c r="AH611">
        <v>41</v>
      </c>
      <c r="AI611">
        <v>45</v>
      </c>
      <c r="AJ611">
        <v>1</v>
      </c>
      <c r="AK611">
        <v>39</v>
      </c>
      <c r="AL611" t="s">
        <v>119</v>
      </c>
      <c r="AM611" t="s">
        <v>93</v>
      </c>
      <c r="AN611" t="s">
        <v>120</v>
      </c>
      <c r="AO611" t="s">
        <v>95</v>
      </c>
      <c r="AP611" t="s">
        <v>121</v>
      </c>
      <c r="AQ611" t="s">
        <v>74</v>
      </c>
      <c r="AR611" t="s">
        <v>77</v>
      </c>
      <c r="AS611" t="s">
        <v>96</v>
      </c>
      <c r="AT611" t="s">
        <v>9913</v>
      </c>
      <c r="AU611">
        <v>2011</v>
      </c>
      <c r="AV611">
        <v>15</v>
      </c>
      <c r="AW611">
        <v>6</v>
      </c>
      <c r="AX611" t="s">
        <v>74</v>
      </c>
      <c r="AY611" t="s">
        <v>74</v>
      </c>
      <c r="AZ611" t="s">
        <v>74</v>
      </c>
      <c r="BA611" t="s">
        <v>74</v>
      </c>
      <c r="BB611">
        <v>673</v>
      </c>
      <c r="BC611">
        <v>690</v>
      </c>
      <c r="BD611" t="s">
        <v>74</v>
      </c>
      <c r="BE611" t="s">
        <v>11546</v>
      </c>
      <c r="BF611" t="str">
        <f>HYPERLINK("http://dx.doi.org/10.1007/s00792-011-0398-8","http://dx.doi.org/10.1007/s00792-011-0398-8")</f>
        <v>http://dx.doi.org/10.1007/s00792-011-0398-8</v>
      </c>
      <c r="BG611" t="s">
        <v>74</v>
      </c>
      <c r="BH611" t="s">
        <v>74</v>
      </c>
      <c r="BI611">
        <v>18</v>
      </c>
      <c r="BJ611" t="s">
        <v>99</v>
      </c>
      <c r="BK611" t="s">
        <v>100</v>
      </c>
      <c r="BL611" t="s">
        <v>99</v>
      </c>
      <c r="BM611" t="s">
        <v>11547</v>
      </c>
      <c r="BN611">
        <v>21918795</v>
      </c>
      <c r="BO611" t="s">
        <v>74</v>
      </c>
      <c r="BP611" t="s">
        <v>74</v>
      </c>
      <c r="BQ611" t="s">
        <v>74</v>
      </c>
      <c r="BR611" t="s">
        <v>102</v>
      </c>
      <c r="BS611" t="s">
        <v>11548</v>
      </c>
      <c r="BT611" t="str">
        <f>HYPERLINK("https%3A%2F%2Fwww.webofscience.com%2Fwos%2Fwoscc%2Ffull-record%2FWOS:000296011800006","View Full Record in Web of Science")</f>
        <v>View Full Record in Web of Science</v>
      </c>
    </row>
    <row r="612" spans="1:72" x14ac:dyDescent="0.15">
      <c r="A612" t="s">
        <v>72</v>
      </c>
      <c r="B612" t="s">
        <v>10628</v>
      </c>
      <c r="C612" t="s">
        <v>74</v>
      </c>
      <c r="D612" t="s">
        <v>74</v>
      </c>
      <c r="E612" t="s">
        <v>74</v>
      </c>
      <c r="F612" t="s">
        <v>10628</v>
      </c>
      <c r="G612" t="s">
        <v>74</v>
      </c>
      <c r="H612" t="s">
        <v>74</v>
      </c>
      <c r="I612" t="s">
        <v>11549</v>
      </c>
      <c r="J612" t="s">
        <v>11550</v>
      </c>
      <c r="K612" t="s">
        <v>74</v>
      </c>
      <c r="L612" t="s">
        <v>74</v>
      </c>
      <c r="M612" t="s">
        <v>78</v>
      </c>
      <c r="N612" t="s">
        <v>810</v>
      </c>
      <c r="O612" t="s">
        <v>74</v>
      </c>
      <c r="P612" t="s">
        <v>74</v>
      </c>
      <c r="Q612" t="s">
        <v>74</v>
      </c>
      <c r="R612" t="s">
        <v>74</v>
      </c>
      <c r="S612" t="s">
        <v>74</v>
      </c>
      <c r="T612" t="s">
        <v>74</v>
      </c>
      <c r="U612" t="s">
        <v>74</v>
      </c>
      <c r="V612" t="s">
        <v>74</v>
      </c>
      <c r="W612" t="s">
        <v>74</v>
      </c>
      <c r="X612" t="s">
        <v>74</v>
      </c>
      <c r="Y612" t="s">
        <v>74</v>
      </c>
      <c r="Z612" t="s">
        <v>74</v>
      </c>
      <c r="AA612" t="s">
        <v>74</v>
      </c>
      <c r="AB612" t="s">
        <v>74</v>
      </c>
      <c r="AC612" t="s">
        <v>74</v>
      </c>
      <c r="AD612" t="s">
        <v>74</v>
      </c>
      <c r="AE612" t="s">
        <v>74</v>
      </c>
      <c r="AF612" t="s">
        <v>74</v>
      </c>
      <c r="AG612">
        <v>0</v>
      </c>
      <c r="AH612">
        <v>0</v>
      </c>
      <c r="AI612">
        <v>0</v>
      </c>
      <c r="AJ612">
        <v>0</v>
      </c>
      <c r="AK612">
        <v>5</v>
      </c>
      <c r="AL612" t="s">
        <v>11551</v>
      </c>
      <c r="AM612" t="s">
        <v>11552</v>
      </c>
      <c r="AN612" t="s">
        <v>11553</v>
      </c>
      <c r="AO612" t="s">
        <v>11554</v>
      </c>
      <c r="AP612" t="s">
        <v>74</v>
      </c>
      <c r="AQ612" t="s">
        <v>74</v>
      </c>
      <c r="AR612" t="s">
        <v>11555</v>
      </c>
      <c r="AS612" t="s">
        <v>11556</v>
      </c>
      <c r="AT612" t="s">
        <v>9913</v>
      </c>
      <c r="AU612">
        <v>2011</v>
      </c>
      <c r="AV612">
        <v>63</v>
      </c>
      <c r="AW612">
        <v>11</v>
      </c>
      <c r="AX612" t="s">
        <v>74</v>
      </c>
      <c r="AY612" t="s">
        <v>74</v>
      </c>
      <c r="AZ612" t="s">
        <v>74</v>
      </c>
      <c r="BA612" t="s">
        <v>74</v>
      </c>
      <c r="BB612">
        <v>19</v>
      </c>
      <c r="BC612">
        <v>19</v>
      </c>
      <c r="BD612" t="s">
        <v>74</v>
      </c>
      <c r="BE612" t="s">
        <v>74</v>
      </c>
      <c r="BF612" t="s">
        <v>74</v>
      </c>
      <c r="BG612" t="s">
        <v>74</v>
      </c>
      <c r="BH612" t="s">
        <v>74</v>
      </c>
      <c r="BI612">
        <v>1</v>
      </c>
      <c r="BJ612" t="s">
        <v>11557</v>
      </c>
      <c r="BK612" t="s">
        <v>100</v>
      </c>
      <c r="BL612" t="s">
        <v>11557</v>
      </c>
      <c r="BM612" t="s">
        <v>11558</v>
      </c>
      <c r="BN612" t="s">
        <v>74</v>
      </c>
      <c r="BO612" t="s">
        <v>74</v>
      </c>
      <c r="BP612" t="s">
        <v>74</v>
      </c>
      <c r="BQ612" t="s">
        <v>74</v>
      </c>
      <c r="BR612" t="s">
        <v>102</v>
      </c>
      <c r="BS612" t="s">
        <v>11559</v>
      </c>
      <c r="BT612" t="str">
        <f>HYPERLINK("https%3A%2F%2Fwww.webofscience.com%2Fwos%2Fwoscc%2Ffull-record%2FWOS:000296954700013","View Full Record in Web of Science")</f>
        <v>View Full Record in Web of Science</v>
      </c>
    </row>
    <row r="613" spans="1:72" x14ac:dyDescent="0.15">
      <c r="A613" t="s">
        <v>72</v>
      </c>
      <c r="B613" t="s">
        <v>11560</v>
      </c>
      <c r="C613" t="s">
        <v>74</v>
      </c>
      <c r="D613" t="s">
        <v>74</v>
      </c>
      <c r="E613" t="s">
        <v>74</v>
      </c>
      <c r="F613" t="s">
        <v>11561</v>
      </c>
      <c r="G613" t="s">
        <v>74</v>
      </c>
      <c r="H613" t="s">
        <v>74</v>
      </c>
      <c r="I613" t="s">
        <v>11562</v>
      </c>
      <c r="J613" t="s">
        <v>11563</v>
      </c>
      <c r="K613" t="s">
        <v>74</v>
      </c>
      <c r="L613" t="s">
        <v>74</v>
      </c>
      <c r="M613" t="s">
        <v>78</v>
      </c>
      <c r="N613" t="s">
        <v>79</v>
      </c>
      <c r="O613" t="s">
        <v>74</v>
      </c>
      <c r="P613" t="s">
        <v>74</v>
      </c>
      <c r="Q613" t="s">
        <v>74</v>
      </c>
      <c r="R613" t="s">
        <v>74</v>
      </c>
      <c r="S613" t="s">
        <v>74</v>
      </c>
      <c r="T613" t="s">
        <v>74</v>
      </c>
      <c r="U613" t="s">
        <v>11564</v>
      </c>
      <c r="V613" t="s">
        <v>11565</v>
      </c>
      <c r="W613" t="s">
        <v>11566</v>
      </c>
      <c r="X613" t="s">
        <v>11567</v>
      </c>
      <c r="Y613" t="s">
        <v>11568</v>
      </c>
      <c r="Z613" t="s">
        <v>11569</v>
      </c>
      <c r="AA613" t="s">
        <v>11570</v>
      </c>
      <c r="AB613" t="s">
        <v>11571</v>
      </c>
      <c r="AC613" t="s">
        <v>11572</v>
      </c>
      <c r="AD613" t="s">
        <v>11573</v>
      </c>
      <c r="AE613" t="s">
        <v>11574</v>
      </c>
      <c r="AF613" t="s">
        <v>74</v>
      </c>
      <c r="AG613">
        <v>85</v>
      </c>
      <c r="AH613">
        <v>98</v>
      </c>
      <c r="AI613">
        <v>121</v>
      </c>
      <c r="AJ613">
        <v>1</v>
      </c>
      <c r="AK613">
        <v>52</v>
      </c>
      <c r="AL613" t="s">
        <v>7665</v>
      </c>
      <c r="AM613" t="s">
        <v>7666</v>
      </c>
      <c r="AN613" t="s">
        <v>7667</v>
      </c>
      <c r="AO613" t="s">
        <v>11575</v>
      </c>
      <c r="AP613" t="s">
        <v>11576</v>
      </c>
      <c r="AQ613" t="s">
        <v>74</v>
      </c>
      <c r="AR613" t="s">
        <v>11577</v>
      </c>
      <c r="AS613" t="s">
        <v>11578</v>
      </c>
      <c r="AT613" t="s">
        <v>10284</v>
      </c>
      <c r="AU613">
        <v>2011</v>
      </c>
      <c r="AV613">
        <v>123</v>
      </c>
      <c r="AW613" t="s">
        <v>8435</v>
      </c>
      <c r="AX613" t="s">
        <v>74</v>
      </c>
      <c r="AY613" t="s">
        <v>74</v>
      </c>
      <c r="AZ613" t="s">
        <v>74</v>
      </c>
      <c r="BA613" t="s">
        <v>74</v>
      </c>
      <c r="BB613">
        <v>2295</v>
      </c>
      <c r="BC613">
        <v>2311</v>
      </c>
      <c r="BD613" t="s">
        <v>74</v>
      </c>
      <c r="BE613" t="s">
        <v>11579</v>
      </c>
      <c r="BF613" t="str">
        <f>HYPERLINK("http://dx.doi.org/10.1130/B30436.1","http://dx.doi.org/10.1130/B30436.1")</f>
        <v>http://dx.doi.org/10.1130/B30436.1</v>
      </c>
      <c r="BG613" t="s">
        <v>74</v>
      </c>
      <c r="BH613" t="s">
        <v>74</v>
      </c>
      <c r="BI613">
        <v>17</v>
      </c>
      <c r="BJ613" t="s">
        <v>287</v>
      </c>
      <c r="BK613" t="s">
        <v>100</v>
      </c>
      <c r="BL613" t="s">
        <v>288</v>
      </c>
      <c r="BM613" t="s">
        <v>11580</v>
      </c>
      <c r="BN613" t="s">
        <v>74</v>
      </c>
      <c r="BO613" t="s">
        <v>74</v>
      </c>
      <c r="BP613" t="s">
        <v>74</v>
      </c>
      <c r="BQ613" t="s">
        <v>74</v>
      </c>
      <c r="BR613" t="s">
        <v>102</v>
      </c>
      <c r="BS613" t="s">
        <v>11581</v>
      </c>
      <c r="BT613" t="str">
        <f>HYPERLINK("https%3A%2F%2Fwww.webofscience.com%2Fwos%2Fwoscc%2Ffull-record%2FWOS:000295402600011","View Full Record in Web of Science")</f>
        <v>View Full Record in Web of Science</v>
      </c>
    </row>
    <row r="614" spans="1:72" x14ac:dyDescent="0.15">
      <c r="A614" t="s">
        <v>72</v>
      </c>
      <c r="B614" t="s">
        <v>11582</v>
      </c>
      <c r="C614" t="s">
        <v>74</v>
      </c>
      <c r="D614" t="s">
        <v>74</v>
      </c>
      <c r="E614" t="s">
        <v>74</v>
      </c>
      <c r="F614" t="s">
        <v>11583</v>
      </c>
      <c r="G614" t="s">
        <v>74</v>
      </c>
      <c r="H614" t="s">
        <v>74</v>
      </c>
      <c r="I614" t="s">
        <v>11584</v>
      </c>
      <c r="J614" t="s">
        <v>10769</v>
      </c>
      <c r="K614" t="s">
        <v>74</v>
      </c>
      <c r="L614" t="s">
        <v>74</v>
      </c>
      <c r="M614" t="s">
        <v>78</v>
      </c>
      <c r="N614" t="s">
        <v>79</v>
      </c>
      <c r="O614" t="s">
        <v>74</v>
      </c>
      <c r="P614" t="s">
        <v>74</v>
      </c>
      <c r="Q614" t="s">
        <v>74</v>
      </c>
      <c r="R614" t="s">
        <v>74</v>
      </c>
      <c r="S614" t="s">
        <v>74</v>
      </c>
      <c r="T614" t="s">
        <v>74</v>
      </c>
      <c r="U614" t="s">
        <v>11585</v>
      </c>
      <c r="V614" t="s">
        <v>11586</v>
      </c>
      <c r="W614" t="s">
        <v>11587</v>
      </c>
      <c r="X614" t="s">
        <v>11588</v>
      </c>
      <c r="Y614" t="s">
        <v>11589</v>
      </c>
      <c r="Z614" t="s">
        <v>11590</v>
      </c>
      <c r="AA614" t="s">
        <v>11591</v>
      </c>
      <c r="AB614" t="s">
        <v>11592</v>
      </c>
      <c r="AC614" t="s">
        <v>11593</v>
      </c>
      <c r="AD614" t="s">
        <v>11594</v>
      </c>
      <c r="AE614" t="s">
        <v>11595</v>
      </c>
      <c r="AF614" t="s">
        <v>74</v>
      </c>
      <c r="AG614">
        <v>39</v>
      </c>
      <c r="AH614">
        <v>44</v>
      </c>
      <c r="AI614">
        <v>50</v>
      </c>
      <c r="AJ614">
        <v>2</v>
      </c>
      <c r="AK614">
        <v>62</v>
      </c>
      <c r="AL614" t="s">
        <v>7665</v>
      </c>
      <c r="AM614" t="s">
        <v>7666</v>
      </c>
      <c r="AN614" t="s">
        <v>7667</v>
      </c>
      <c r="AO614" t="s">
        <v>10777</v>
      </c>
      <c r="AP614" t="s">
        <v>11596</v>
      </c>
      <c r="AQ614" t="s">
        <v>74</v>
      </c>
      <c r="AR614" t="s">
        <v>10769</v>
      </c>
      <c r="AS614" t="s">
        <v>288</v>
      </c>
      <c r="AT614" t="s">
        <v>9913</v>
      </c>
      <c r="AU614">
        <v>2011</v>
      </c>
      <c r="AV614">
        <v>39</v>
      </c>
      <c r="AW614">
        <v>11</v>
      </c>
      <c r="AX614" t="s">
        <v>74</v>
      </c>
      <c r="AY614" t="s">
        <v>74</v>
      </c>
      <c r="AZ614" t="s">
        <v>74</v>
      </c>
      <c r="BA614" t="s">
        <v>74</v>
      </c>
      <c r="BB614">
        <v>1039</v>
      </c>
      <c r="BC614">
        <v>1042</v>
      </c>
      <c r="BD614" t="s">
        <v>74</v>
      </c>
      <c r="BE614" t="s">
        <v>11597</v>
      </c>
      <c r="BF614" t="str">
        <f>HYPERLINK("http://dx.doi.org/10.1130/G32009.1","http://dx.doi.org/10.1130/G32009.1")</f>
        <v>http://dx.doi.org/10.1130/G32009.1</v>
      </c>
      <c r="BG614" t="s">
        <v>74</v>
      </c>
      <c r="BH614" t="s">
        <v>74</v>
      </c>
      <c r="BI614">
        <v>4</v>
      </c>
      <c r="BJ614" t="s">
        <v>288</v>
      </c>
      <c r="BK614" t="s">
        <v>100</v>
      </c>
      <c r="BL614" t="s">
        <v>288</v>
      </c>
      <c r="BM614" t="s">
        <v>10779</v>
      </c>
      <c r="BN614" t="s">
        <v>74</v>
      </c>
      <c r="BO614" t="s">
        <v>74</v>
      </c>
      <c r="BP614" t="s">
        <v>74</v>
      </c>
      <c r="BQ614" t="s">
        <v>74</v>
      </c>
      <c r="BR614" t="s">
        <v>102</v>
      </c>
      <c r="BS614" t="s">
        <v>11598</v>
      </c>
      <c r="BT614" t="str">
        <f>HYPERLINK("https%3A%2F%2Fwww.webofscience.com%2Fwos%2Fwoscc%2Ffull-record%2FWOS:000296607600014","View Full Record in Web of Science")</f>
        <v>View Full Record in Web of Science</v>
      </c>
    </row>
    <row r="615" spans="1:72" x14ac:dyDescent="0.15">
      <c r="A615" t="s">
        <v>72</v>
      </c>
      <c r="B615" t="s">
        <v>11599</v>
      </c>
      <c r="C615" t="s">
        <v>74</v>
      </c>
      <c r="D615" t="s">
        <v>74</v>
      </c>
      <c r="E615" t="s">
        <v>74</v>
      </c>
      <c r="F615" t="s">
        <v>11600</v>
      </c>
      <c r="G615" t="s">
        <v>74</v>
      </c>
      <c r="H615" t="s">
        <v>74</v>
      </c>
      <c r="I615" t="s">
        <v>11601</v>
      </c>
      <c r="J615" t="s">
        <v>11602</v>
      </c>
      <c r="K615" t="s">
        <v>74</v>
      </c>
      <c r="L615" t="s">
        <v>74</v>
      </c>
      <c r="M615" t="s">
        <v>78</v>
      </c>
      <c r="N615" t="s">
        <v>79</v>
      </c>
      <c r="O615" t="s">
        <v>74</v>
      </c>
      <c r="P615" t="s">
        <v>74</v>
      </c>
      <c r="Q615" t="s">
        <v>74</v>
      </c>
      <c r="R615" t="s">
        <v>74</v>
      </c>
      <c r="S615" t="s">
        <v>74</v>
      </c>
      <c r="T615" t="s">
        <v>11603</v>
      </c>
      <c r="U615" t="s">
        <v>11604</v>
      </c>
      <c r="V615" t="s">
        <v>11605</v>
      </c>
      <c r="W615" t="s">
        <v>11606</v>
      </c>
      <c r="X615" t="s">
        <v>11607</v>
      </c>
      <c r="Y615" t="s">
        <v>11608</v>
      </c>
      <c r="Z615" t="s">
        <v>11609</v>
      </c>
      <c r="AA615" t="s">
        <v>11610</v>
      </c>
      <c r="AB615" t="s">
        <v>11611</v>
      </c>
      <c r="AC615" t="s">
        <v>11612</v>
      </c>
      <c r="AD615" t="s">
        <v>11613</v>
      </c>
      <c r="AE615" t="s">
        <v>11614</v>
      </c>
      <c r="AF615" t="s">
        <v>74</v>
      </c>
      <c r="AG615">
        <v>42</v>
      </c>
      <c r="AH615">
        <v>116</v>
      </c>
      <c r="AI615">
        <v>132</v>
      </c>
      <c r="AJ615">
        <v>1</v>
      </c>
      <c r="AK615">
        <v>44</v>
      </c>
      <c r="AL615" t="s">
        <v>307</v>
      </c>
      <c r="AM615" t="s">
        <v>156</v>
      </c>
      <c r="AN615" t="s">
        <v>308</v>
      </c>
      <c r="AO615" t="s">
        <v>11615</v>
      </c>
      <c r="AP615" t="s">
        <v>11616</v>
      </c>
      <c r="AQ615" t="s">
        <v>74</v>
      </c>
      <c r="AR615" t="s">
        <v>11617</v>
      </c>
      <c r="AS615" t="s">
        <v>11618</v>
      </c>
      <c r="AT615" t="s">
        <v>9913</v>
      </c>
      <c r="AU615">
        <v>2011</v>
      </c>
      <c r="AV615">
        <v>187</v>
      </c>
      <c r="AW615">
        <v>2</v>
      </c>
      <c r="AX615" t="s">
        <v>74</v>
      </c>
      <c r="AY615" t="s">
        <v>74</v>
      </c>
      <c r="AZ615" t="s">
        <v>74</v>
      </c>
      <c r="BA615" t="s">
        <v>74</v>
      </c>
      <c r="BB615">
        <v>729</v>
      </c>
      <c r="BC615">
        <v>742</v>
      </c>
      <c r="BD615" t="s">
        <v>74</v>
      </c>
      <c r="BE615" t="s">
        <v>11619</v>
      </c>
      <c r="BF615" t="str">
        <f>HYPERLINK("http://dx.doi.org/10.1111/j.1365-246X.2011.05090.x","http://dx.doi.org/10.1111/j.1365-246X.2011.05090.x")</f>
        <v>http://dx.doi.org/10.1111/j.1365-246X.2011.05090.x</v>
      </c>
      <c r="BG615" t="s">
        <v>74</v>
      </c>
      <c r="BH615" t="s">
        <v>74</v>
      </c>
      <c r="BI615">
        <v>14</v>
      </c>
      <c r="BJ615" t="s">
        <v>164</v>
      </c>
      <c r="BK615" t="s">
        <v>100</v>
      </c>
      <c r="BL615" t="s">
        <v>164</v>
      </c>
      <c r="BM615" t="s">
        <v>11620</v>
      </c>
      <c r="BN615" t="s">
        <v>74</v>
      </c>
      <c r="BO615" t="s">
        <v>892</v>
      </c>
      <c r="BP615" t="s">
        <v>74</v>
      </c>
      <c r="BQ615" t="s">
        <v>74</v>
      </c>
      <c r="BR615" t="s">
        <v>102</v>
      </c>
      <c r="BS615" t="s">
        <v>11621</v>
      </c>
      <c r="BT615" t="str">
        <f>HYPERLINK("https%3A%2F%2Fwww.webofscience.com%2Fwos%2Fwoscc%2Ffull-record%2FWOS:000297116200013","View Full Record in Web of Science")</f>
        <v>View Full Record in Web of Science</v>
      </c>
    </row>
    <row r="616" spans="1:72" x14ac:dyDescent="0.15">
      <c r="A616" t="s">
        <v>72</v>
      </c>
      <c r="B616" t="s">
        <v>11622</v>
      </c>
      <c r="C616" t="s">
        <v>74</v>
      </c>
      <c r="D616" t="s">
        <v>74</v>
      </c>
      <c r="E616" t="s">
        <v>74</v>
      </c>
      <c r="F616" t="s">
        <v>11623</v>
      </c>
      <c r="G616" t="s">
        <v>74</v>
      </c>
      <c r="H616" t="s">
        <v>74</v>
      </c>
      <c r="I616" t="s">
        <v>11624</v>
      </c>
      <c r="J616" t="s">
        <v>10900</v>
      </c>
      <c r="K616" t="s">
        <v>74</v>
      </c>
      <c r="L616" t="s">
        <v>74</v>
      </c>
      <c r="M616" t="s">
        <v>78</v>
      </c>
      <c r="N616" t="s">
        <v>234</v>
      </c>
      <c r="O616" t="s">
        <v>11625</v>
      </c>
      <c r="P616" t="s">
        <v>11626</v>
      </c>
      <c r="Q616" t="s">
        <v>11627</v>
      </c>
      <c r="R616" t="s">
        <v>74</v>
      </c>
      <c r="S616" t="s">
        <v>74</v>
      </c>
      <c r="T616" t="s">
        <v>74</v>
      </c>
      <c r="U616" t="s">
        <v>11628</v>
      </c>
      <c r="V616" t="s">
        <v>11629</v>
      </c>
      <c r="W616" t="s">
        <v>11630</v>
      </c>
      <c r="X616" t="s">
        <v>11631</v>
      </c>
      <c r="Y616" t="s">
        <v>11632</v>
      </c>
      <c r="Z616" t="s">
        <v>11633</v>
      </c>
      <c r="AA616" t="s">
        <v>74</v>
      </c>
      <c r="AB616" t="s">
        <v>74</v>
      </c>
      <c r="AC616" t="s">
        <v>11634</v>
      </c>
      <c r="AD616" t="s">
        <v>10095</v>
      </c>
      <c r="AE616" t="s">
        <v>11635</v>
      </c>
      <c r="AF616" t="s">
        <v>74</v>
      </c>
      <c r="AG616">
        <v>44</v>
      </c>
      <c r="AH616">
        <v>47</v>
      </c>
      <c r="AI616">
        <v>51</v>
      </c>
      <c r="AJ616">
        <v>0</v>
      </c>
      <c r="AK616">
        <v>86</v>
      </c>
      <c r="AL616" t="s">
        <v>382</v>
      </c>
      <c r="AM616" t="s">
        <v>383</v>
      </c>
      <c r="AN616" t="s">
        <v>384</v>
      </c>
      <c r="AO616" t="s">
        <v>10903</v>
      </c>
      <c r="AP616" t="s">
        <v>11636</v>
      </c>
      <c r="AQ616" t="s">
        <v>74</v>
      </c>
      <c r="AR616" t="s">
        <v>10904</v>
      </c>
      <c r="AS616" t="s">
        <v>10905</v>
      </c>
      <c r="AT616" t="s">
        <v>9913</v>
      </c>
      <c r="AU616">
        <v>2011</v>
      </c>
      <c r="AV616">
        <v>51</v>
      </c>
      <c r="AW616">
        <v>5</v>
      </c>
      <c r="AX616" t="s">
        <v>74</v>
      </c>
      <c r="AY616" t="s">
        <v>74</v>
      </c>
      <c r="AZ616" t="s">
        <v>74</v>
      </c>
      <c r="BA616" t="s">
        <v>74</v>
      </c>
      <c r="BB616">
        <v>819</v>
      </c>
      <c r="BC616">
        <v>825</v>
      </c>
      <c r="BD616" t="s">
        <v>74</v>
      </c>
      <c r="BE616" t="s">
        <v>11637</v>
      </c>
      <c r="BF616" t="str">
        <f>HYPERLINK("http://dx.doi.org/10.1093/icb/icr093","http://dx.doi.org/10.1093/icb/icr093")</f>
        <v>http://dx.doi.org/10.1093/icb/icr093</v>
      </c>
      <c r="BG616" t="s">
        <v>74</v>
      </c>
      <c r="BH616" t="s">
        <v>74</v>
      </c>
      <c r="BI616">
        <v>7</v>
      </c>
      <c r="BJ616" t="s">
        <v>2881</v>
      </c>
      <c r="BK616" t="s">
        <v>259</v>
      </c>
      <c r="BL616" t="s">
        <v>2881</v>
      </c>
      <c r="BM616" t="s">
        <v>10907</v>
      </c>
      <c r="BN616">
        <v>21880692</v>
      </c>
      <c r="BO616" t="s">
        <v>365</v>
      </c>
      <c r="BP616" t="s">
        <v>74</v>
      </c>
      <c r="BQ616" t="s">
        <v>74</v>
      </c>
      <c r="BR616" t="s">
        <v>102</v>
      </c>
      <c r="BS616" t="s">
        <v>11638</v>
      </c>
      <c r="BT616" t="str">
        <f>HYPERLINK("https%3A%2F%2Fwww.webofscience.com%2Fwos%2Fwoscc%2Ffull-record%2FWOS:000296101600015","View Full Record in Web of Science")</f>
        <v>View Full Record in Web of Science</v>
      </c>
    </row>
    <row r="617" spans="1:72" x14ac:dyDescent="0.15">
      <c r="A617" t="s">
        <v>72</v>
      </c>
      <c r="B617" t="s">
        <v>11639</v>
      </c>
      <c r="C617" t="s">
        <v>74</v>
      </c>
      <c r="D617" t="s">
        <v>74</v>
      </c>
      <c r="E617" t="s">
        <v>74</v>
      </c>
      <c r="F617" t="s">
        <v>11640</v>
      </c>
      <c r="G617" t="s">
        <v>74</v>
      </c>
      <c r="H617" t="s">
        <v>74</v>
      </c>
      <c r="I617" t="s">
        <v>11641</v>
      </c>
      <c r="J617" t="s">
        <v>3815</v>
      </c>
      <c r="K617" t="s">
        <v>74</v>
      </c>
      <c r="L617" t="s">
        <v>74</v>
      </c>
      <c r="M617" t="s">
        <v>78</v>
      </c>
      <c r="N617" t="s">
        <v>79</v>
      </c>
      <c r="O617" t="s">
        <v>74</v>
      </c>
      <c r="P617" t="s">
        <v>74</v>
      </c>
      <c r="Q617" t="s">
        <v>74</v>
      </c>
      <c r="R617" t="s">
        <v>74</v>
      </c>
      <c r="S617" t="s">
        <v>74</v>
      </c>
      <c r="T617" t="s">
        <v>74</v>
      </c>
      <c r="U617" t="s">
        <v>11642</v>
      </c>
      <c r="V617" t="s">
        <v>11643</v>
      </c>
      <c r="W617" t="s">
        <v>11644</v>
      </c>
      <c r="X617" t="s">
        <v>11645</v>
      </c>
      <c r="Y617" t="s">
        <v>11646</v>
      </c>
      <c r="Z617" t="s">
        <v>11647</v>
      </c>
      <c r="AA617" t="s">
        <v>11648</v>
      </c>
      <c r="AB617" t="s">
        <v>11649</v>
      </c>
      <c r="AC617" t="s">
        <v>11650</v>
      </c>
      <c r="AD617" t="s">
        <v>11651</v>
      </c>
      <c r="AE617" t="s">
        <v>11652</v>
      </c>
      <c r="AF617" t="s">
        <v>74</v>
      </c>
      <c r="AG617">
        <v>51</v>
      </c>
      <c r="AH617">
        <v>121</v>
      </c>
      <c r="AI617">
        <v>123</v>
      </c>
      <c r="AJ617">
        <v>1</v>
      </c>
      <c r="AK617">
        <v>21</v>
      </c>
      <c r="AL617" t="s">
        <v>3775</v>
      </c>
      <c r="AM617" t="s">
        <v>3776</v>
      </c>
      <c r="AN617" t="s">
        <v>3777</v>
      </c>
      <c r="AO617" t="s">
        <v>3827</v>
      </c>
      <c r="AP617" t="s">
        <v>3828</v>
      </c>
      <c r="AQ617" t="s">
        <v>74</v>
      </c>
      <c r="AR617" t="s">
        <v>3829</v>
      </c>
      <c r="AS617" t="s">
        <v>3830</v>
      </c>
      <c r="AT617" t="s">
        <v>10343</v>
      </c>
      <c r="AU617">
        <v>2011</v>
      </c>
      <c r="AV617">
        <v>24</v>
      </c>
      <c r="AW617">
        <v>21</v>
      </c>
      <c r="AX617" t="s">
        <v>74</v>
      </c>
      <c r="AY617" t="s">
        <v>74</v>
      </c>
      <c r="AZ617" t="s">
        <v>74</v>
      </c>
      <c r="BA617" t="s">
        <v>74</v>
      </c>
      <c r="BB617">
        <v>5652</v>
      </c>
      <c r="BC617">
        <v>5670</v>
      </c>
      <c r="BD617" t="s">
        <v>74</v>
      </c>
      <c r="BE617" t="s">
        <v>11653</v>
      </c>
      <c r="BF617" t="str">
        <f>HYPERLINK("http://dx.doi.org/10.1175/JCLI-D-11-00077.1","http://dx.doi.org/10.1175/JCLI-D-11-00077.1")</f>
        <v>http://dx.doi.org/10.1175/JCLI-D-11-00077.1</v>
      </c>
      <c r="BG617" t="s">
        <v>74</v>
      </c>
      <c r="BH617" t="s">
        <v>74</v>
      </c>
      <c r="BI617">
        <v>19</v>
      </c>
      <c r="BJ617" t="s">
        <v>463</v>
      </c>
      <c r="BK617" t="s">
        <v>100</v>
      </c>
      <c r="BL617" t="s">
        <v>463</v>
      </c>
      <c r="BM617" t="s">
        <v>11654</v>
      </c>
      <c r="BN617" t="s">
        <v>74</v>
      </c>
      <c r="BO617" t="s">
        <v>11655</v>
      </c>
      <c r="BP617" t="s">
        <v>74</v>
      </c>
      <c r="BQ617" t="s">
        <v>74</v>
      </c>
      <c r="BR617" t="s">
        <v>102</v>
      </c>
      <c r="BS617" t="s">
        <v>11656</v>
      </c>
      <c r="BT617" t="str">
        <f>HYPERLINK("https%3A%2F%2Fwww.webofscience.com%2Fwos%2Fwoscc%2Ffull-record%2FWOS:000296535300013","View Full Record in Web of Science")</f>
        <v>View Full Record in Web of Science</v>
      </c>
    </row>
    <row r="618" spans="1:72" x14ac:dyDescent="0.15">
      <c r="A618" t="s">
        <v>72</v>
      </c>
      <c r="B618" t="s">
        <v>11657</v>
      </c>
      <c r="C618" t="s">
        <v>74</v>
      </c>
      <c r="D618" t="s">
        <v>74</v>
      </c>
      <c r="E618" t="s">
        <v>74</v>
      </c>
      <c r="F618" t="s">
        <v>11658</v>
      </c>
      <c r="G618" t="s">
        <v>74</v>
      </c>
      <c r="H618" t="s">
        <v>74</v>
      </c>
      <c r="I618" t="s">
        <v>11659</v>
      </c>
      <c r="J618" t="s">
        <v>3854</v>
      </c>
      <c r="K618" t="s">
        <v>74</v>
      </c>
      <c r="L618" t="s">
        <v>74</v>
      </c>
      <c r="M618" t="s">
        <v>78</v>
      </c>
      <c r="N618" t="s">
        <v>79</v>
      </c>
      <c r="O618" t="s">
        <v>74</v>
      </c>
      <c r="P618" t="s">
        <v>74</v>
      </c>
      <c r="Q618" t="s">
        <v>74</v>
      </c>
      <c r="R618" t="s">
        <v>74</v>
      </c>
      <c r="S618" t="s">
        <v>74</v>
      </c>
      <c r="T618" t="s">
        <v>11660</v>
      </c>
      <c r="U618" t="s">
        <v>11661</v>
      </c>
      <c r="V618" t="s">
        <v>11662</v>
      </c>
      <c r="W618" t="s">
        <v>11663</v>
      </c>
      <c r="X618" t="s">
        <v>11664</v>
      </c>
      <c r="Y618" t="s">
        <v>11665</v>
      </c>
      <c r="Z618" t="s">
        <v>11666</v>
      </c>
      <c r="AA618" t="s">
        <v>11667</v>
      </c>
      <c r="AB618" t="s">
        <v>11668</v>
      </c>
      <c r="AC618" t="s">
        <v>74</v>
      </c>
      <c r="AD618" t="s">
        <v>74</v>
      </c>
      <c r="AE618" t="s">
        <v>74</v>
      </c>
      <c r="AF618" t="s">
        <v>74</v>
      </c>
      <c r="AG618">
        <v>42</v>
      </c>
      <c r="AH618">
        <v>4</v>
      </c>
      <c r="AI618">
        <v>4</v>
      </c>
      <c r="AJ618">
        <v>0</v>
      </c>
      <c r="AK618">
        <v>9</v>
      </c>
      <c r="AL618" t="s">
        <v>3864</v>
      </c>
      <c r="AM618" t="s">
        <v>221</v>
      </c>
      <c r="AN618" t="s">
        <v>3865</v>
      </c>
      <c r="AO618" t="s">
        <v>3866</v>
      </c>
      <c r="AP618" t="s">
        <v>3867</v>
      </c>
      <c r="AQ618" t="s">
        <v>74</v>
      </c>
      <c r="AR618" t="s">
        <v>3868</v>
      </c>
      <c r="AS618" t="s">
        <v>3869</v>
      </c>
      <c r="AT618" t="s">
        <v>9913</v>
      </c>
      <c r="AU618">
        <v>2011</v>
      </c>
      <c r="AV618">
        <v>92</v>
      </c>
      <c r="AW618">
        <v>11</v>
      </c>
      <c r="AX618" t="s">
        <v>74</v>
      </c>
      <c r="AY618" t="s">
        <v>74</v>
      </c>
      <c r="AZ618" t="s">
        <v>74</v>
      </c>
      <c r="BA618" t="s">
        <v>74</v>
      </c>
      <c r="BB618">
        <v>2865</v>
      </c>
      <c r="BC618">
        <v>2874</v>
      </c>
      <c r="BD618" t="s">
        <v>74</v>
      </c>
      <c r="BE618" t="s">
        <v>11669</v>
      </c>
      <c r="BF618" t="str">
        <f>HYPERLINK("http://dx.doi.org/10.1016/j.jenvman.2011.06.010","http://dx.doi.org/10.1016/j.jenvman.2011.06.010")</f>
        <v>http://dx.doi.org/10.1016/j.jenvman.2011.06.010</v>
      </c>
      <c r="BG618" t="s">
        <v>74</v>
      </c>
      <c r="BH618" t="s">
        <v>74</v>
      </c>
      <c r="BI618">
        <v>10</v>
      </c>
      <c r="BJ618" t="s">
        <v>2924</v>
      </c>
      <c r="BK618" t="s">
        <v>7768</v>
      </c>
      <c r="BL618" t="s">
        <v>2837</v>
      </c>
      <c r="BM618" t="s">
        <v>11670</v>
      </c>
      <c r="BN618">
        <v>21816536</v>
      </c>
      <c r="BO618" t="s">
        <v>1796</v>
      </c>
      <c r="BP618" t="s">
        <v>74</v>
      </c>
      <c r="BQ618" t="s">
        <v>74</v>
      </c>
      <c r="BR618" t="s">
        <v>102</v>
      </c>
      <c r="BS618" t="s">
        <v>11671</v>
      </c>
      <c r="BT618" t="str">
        <f>HYPERLINK("https%3A%2F%2Fwww.webofscience.com%2Fwos%2Fwoscc%2Ffull-record%2FWOS:000295299600001","View Full Record in Web of Science")</f>
        <v>View Full Record in Web of Science</v>
      </c>
    </row>
    <row r="619" spans="1:72" x14ac:dyDescent="0.15">
      <c r="A619" t="s">
        <v>72</v>
      </c>
      <c r="B619" t="s">
        <v>11672</v>
      </c>
      <c r="C619" t="s">
        <v>74</v>
      </c>
      <c r="D619" t="s">
        <v>74</v>
      </c>
      <c r="E619" t="s">
        <v>74</v>
      </c>
      <c r="F619" t="s">
        <v>11673</v>
      </c>
      <c r="G619" t="s">
        <v>74</v>
      </c>
      <c r="H619" t="s">
        <v>74</v>
      </c>
      <c r="I619" t="s">
        <v>11674</v>
      </c>
      <c r="J619" t="s">
        <v>8657</v>
      </c>
      <c r="K619" t="s">
        <v>74</v>
      </c>
      <c r="L619" t="s">
        <v>74</v>
      </c>
      <c r="M619" t="s">
        <v>78</v>
      </c>
      <c r="N619" t="s">
        <v>1513</v>
      </c>
      <c r="O619" t="s">
        <v>74</v>
      </c>
      <c r="P619" t="s">
        <v>74</v>
      </c>
      <c r="Q619" t="s">
        <v>74</v>
      </c>
      <c r="R619" t="s">
        <v>74</v>
      </c>
      <c r="S619" t="s">
        <v>74</v>
      </c>
      <c r="T619" t="s">
        <v>11675</v>
      </c>
      <c r="U619" t="s">
        <v>11676</v>
      </c>
      <c r="V619" t="s">
        <v>11677</v>
      </c>
      <c r="W619" t="s">
        <v>11678</v>
      </c>
      <c r="X619" t="s">
        <v>11679</v>
      </c>
      <c r="Y619" t="s">
        <v>11680</v>
      </c>
      <c r="Z619" t="s">
        <v>11681</v>
      </c>
      <c r="AA619" t="s">
        <v>11682</v>
      </c>
      <c r="AB619" t="s">
        <v>11683</v>
      </c>
      <c r="AC619" t="s">
        <v>11684</v>
      </c>
      <c r="AD619" t="s">
        <v>11685</v>
      </c>
      <c r="AE619" t="s">
        <v>11686</v>
      </c>
      <c r="AF619" t="s">
        <v>74</v>
      </c>
      <c r="AG619">
        <v>165</v>
      </c>
      <c r="AH619">
        <v>338</v>
      </c>
      <c r="AI619">
        <v>364</v>
      </c>
      <c r="AJ619">
        <v>6</v>
      </c>
      <c r="AK619">
        <v>215</v>
      </c>
      <c r="AL619" t="s">
        <v>8670</v>
      </c>
      <c r="AM619" t="s">
        <v>814</v>
      </c>
      <c r="AN619" t="s">
        <v>8671</v>
      </c>
      <c r="AO619" t="s">
        <v>8672</v>
      </c>
      <c r="AP619" t="s">
        <v>8673</v>
      </c>
      <c r="AQ619" t="s">
        <v>74</v>
      </c>
      <c r="AR619" t="s">
        <v>8674</v>
      </c>
      <c r="AS619" t="s">
        <v>8675</v>
      </c>
      <c r="AT619" t="s">
        <v>9913</v>
      </c>
      <c r="AU619">
        <v>2011</v>
      </c>
      <c r="AV619">
        <v>214</v>
      </c>
      <c r="AW619">
        <v>22</v>
      </c>
      <c r="AX619" t="s">
        <v>74</v>
      </c>
      <c r="AY619" t="s">
        <v>74</v>
      </c>
      <c r="AZ619" t="s">
        <v>74</v>
      </c>
      <c r="BA619" t="s">
        <v>74</v>
      </c>
      <c r="BB619">
        <v>3713</v>
      </c>
      <c r="BC619">
        <v>3725</v>
      </c>
      <c r="BD619" t="s">
        <v>74</v>
      </c>
      <c r="BE619" t="s">
        <v>11687</v>
      </c>
      <c r="BF619" t="str">
        <f>HYPERLINK("http://dx.doi.org/10.1242/jeb.061283","http://dx.doi.org/10.1242/jeb.061283")</f>
        <v>http://dx.doi.org/10.1242/jeb.061283</v>
      </c>
      <c r="BG619" t="s">
        <v>74</v>
      </c>
      <c r="BH619" t="s">
        <v>74</v>
      </c>
      <c r="BI619">
        <v>13</v>
      </c>
      <c r="BJ619" t="s">
        <v>8677</v>
      </c>
      <c r="BK619" t="s">
        <v>100</v>
      </c>
      <c r="BL619" t="s">
        <v>8678</v>
      </c>
      <c r="BM619" t="s">
        <v>10797</v>
      </c>
      <c r="BN619">
        <v>22031735</v>
      </c>
      <c r="BO619" t="s">
        <v>365</v>
      </c>
      <c r="BP619" t="s">
        <v>74</v>
      </c>
      <c r="BQ619" t="s">
        <v>74</v>
      </c>
      <c r="BR619" t="s">
        <v>102</v>
      </c>
      <c r="BS619" t="s">
        <v>11688</v>
      </c>
      <c r="BT619" t="str">
        <f>HYPERLINK("https%3A%2F%2Fwww.webofscience.com%2Fwos%2Fwoscc%2Ffull-record%2FWOS:000296581500006","View Full Record in Web of Science")</f>
        <v>View Full Record in Web of Science</v>
      </c>
    </row>
    <row r="620" spans="1:72" x14ac:dyDescent="0.15">
      <c r="A620" t="s">
        <v>72</v>
      </c>
      <c r="B620" t="s">
        <v>11689</v>
      </c>
      <c r="C620" t="s">
        <v>74</v>
      </c>
      <c r="D620" t="s">
        <v>74</v>
      </c>
      <c r="E620" t="s">
        <v>74</v>
      </c>
      <c r="F620" t="s">
        <v>11690</v>
      </c>
      <c r="G620" t="s">
        <v>74</v>
      </c>
      <c r="H620" t="s">
        <v>74</v>
      </c>
      <c r="I620" t="s">
        <v>11691</v>
      </c>
      <c r="J620" t="s">
        <v>8657</v>
      </c>
      <c r="K620" t="s">
        <v>74</v>
      </c>
      <c r="L620" t="s">
        <v>74</v>
      </c>
      <c r="M620" t="s">
        <v>78</v>
      </c>
      <c r="N620" t="s">
        <v>79</v>
      </c>
      <c r="O620" t="s">
        <v>74</v>
      </c>
      <c r="P620" t="s">
        <v>74</v>
      </c>
      <c r="Q620" t="s">
        <v>74</v>
      </c>
      <c r="R620" t="s">
        <v>74</v>
      </c>
      <c r="S620" t="s">
        <v>74</v>
      </c>
      <c r="T620" t="s">
        <v>11692</v>
      </c>
      <c r="U620" t="s">
        <v>11693</v>
      </c>
      <c r="V620" t="s">
        <v>11694</v>
      </c>
      <c r="W620" t="s">
        <v>11695</v>
      </c>
      <c r="X620" t="s">
        <v>11696</v>
      </c>
      <c r="Y620" t="s">
        <v>11697</v>
      </c>
      <c r="Z620" t="s">
        <v>11698</v>
      </c>
      <c r="AA620" t="s">
        <v>74</v>
      </c>
      <c r="AB620" t="s">
        <v>74</v>
      </c>
      <c r="AC620" t="s">
        <v>11699</v>
      </c>
      <c r="AD620" t="s">
        <v>11700</v>
      </c>
      <c r="AE620" t="s">
        <v>11701</v>
      </c>
      <c r="AF620" t="s">
        <v>74</v>
      </c>
      <c r="AG620">
        <v>40</v>
      </c>
      <c r="AH620">
        <v>46</v>
      </c>
      <c r="AI620">
        <v>49</v>
      </c>
      <c r="AJ620">
        <v>2</v>
      </c>
      <c r="AK620">
        <v>34</v>
      </c>
      <c r="AL620" t="s">
        <v>8670</v>
      </c>
      <c r="AM620" t="s">
        <v>814</v>
      </c>
      <c r="AN620" t="s">
        <v>8671</v>
      </c>
      <c r="AO620" t="s">
        <v>8672</v>
      </c>
      <c r="AP620" t="s">
        <v>8673</v>
      </c>
      <c r="AQ620" t="s">
        <v>74</v>
      </c>
      <c r="AR620" t="s">
        <v>8674</v>
      </c>
      <c r="AS620" t="s">
        <v>8675</v>
      </c>
      <c r="AT620" t="s">
        <v>9913</v>
      </c>
      <c r="AU620">
        <v>2011</v>
      </c>
      <c r="AV620">
        <v>214</v>
      </c>
      <c r="AW620">
        <v>22</v>
      </c>
      <c r="AX620" t="s">
        <v>74</v>
      </c>
      <c r="AY620" t="s">
        <v>74</v>
      </c>
      <c r="AZ620" t="s">
        <v>74</v>
      </c>
      <c r="BA620" t="s">
        <v>74</v>
      </c>
      <c r="BB620">
        <v>3760</v>
      </c>
      <c r="BC620">
        <v>3767</v>
      </c>
      <c r="BD620" t="s">
        <v>74</v>
      </c>
      <c r="BE620" t="s">
        <v>11702</v>
      </c>
      <c r="BF620" t="str">
        <f>HYPERLINK("http://dx.doi.org/10.1242/jeb.058263","http://dx.doi.org/10.1242/jeb.058263")</f>
        <v>http://dx.doi.org/10.1242/jeb.058263</v>
      </c>
      <c r="BG620" t="s">
        <v>74</v>
      </c>
      <c r="BH620" t="s">
        <v>74</v>
      </c>
      <c r="BI620">
        <v>8</v>
      </c>
      <c r="BJ620" t="s">
        <v>8677</v>
      </c>
      <c r="BK620" t="s">
        <v>100</v>
      </c>
      <c r="BL620" t="s">
        <v>8678</v>
      </c>
      <c r="BM620" t="s">
        <v>10797</v>
      </c>
      <c r="BN620">
        <v>22031740</v>
      </c>
      <c r="BO620" t="s">
        <v>365</v>
      </c>
      <c r="BP620" t="s">
        <v>74</v>
      </c>
      <c r="BQ620" t="s">
        <v>74</v>
      </c>
      <c r="BR620" t="s">
        <v>102</v>
      </c>
      <c r="BS620" t="s">
        <v>11703</v>
      </c>
      <c r="BT620" t="str">
        <f>HYPERLINK("https%3A%2F%2Fwww.webofscience.com%2Fwos%2Fwoscc%2Ffull-record%2FWOS:000296581500011","View Full Record in Web of Science")</f>
        <v>View Full Record in Web of Science</v>
      </c>
    </row>
    <row r="621" spans="1:72" x14ac:dyDescent="0.15">
      <c r="A621" t="s">
        <v>72</v>
      </c>
      <c r="B621" t="s">
        <v>11704</v>
      </c>
      <c r="C621" t="s">
        <v>74</v>
      </c>
      <c r="D621" t="s">
        <v>74</v>
      </c>
      <c r="E621" t="s">
        <v>74</v>
      </c>
      <c r="F621" t="s">
        <v>11705</v>
      </c>
      <c r="G621" t="s">
        <v>74</v>
      </c>
      <c r="H621" t="s">
        <v>74</v>
      </c>
      <c r="I621" t="s">
        <v>11706</v>
      </c>
      <c r="J621" t="s">
        <v>11707</v>
      </c>
      <c r="K621" t="s">
        <v>74</v>
      </c>
      <c r="L621" t="s">
        <v>74</v>
      </c>
      <c r="M621" t="s">
        <v>78</v>
      </c>
      <c r="N621" t="s">
        <v>79</v>
      </c>
      <c r="O621" t="s">
        <v>74</v>
      </c>
      <c r="P621" t="s">
        <v>74</v>
      </c>
      <c r="Q621" t="s">
        <v>74</v>
      </c>
      <c r="R621" t="s">
        <v>74</v>
      </c>
      <c r="S621" t="s">
        <v>74</v>
      </c>
      <c r="T621" t="s">
        <v>11708</v>
      </c>
      <c r="U621" t="s">
        <v>11709</v>
      </c>
      <c r="V621" t="s">
        <v>11710</v>
      </c>
      <c r="W621" t="s">
        <v>11711</v>
      </c>
      <c r="X621" t="s">
        <v>11712</v>
      </c>
      <c r="Y621" t="s">
        <v>11713</v>
      </c>
      <c r="Z621" t="s">
        <v>11714</v>
      </c>
      <c r="AA621" t="s">
        <v>11715</v>
      </c>
      <c r="AB621" t="s">
        <v>11716</v>
      </c>
      <c r="AC621" t="s">
        <v>11717</v>
      </c>
      <c r="AD621" t="s">
        <v>11718</v>
      </c>
      <c r="AE621" t="s">
        <v>11719</v>
      </c>
      <c r="AF621" t="s">
        <v>74</v>
      </c>
      <c r="AG621">
        <v>38</v>
      </c>
      <c r="AH621">
        <v>91</v>
      </c>
      <c r="AI621">
        <v>102</v>
      </c>
      <c r="AJ621">
        <v>2</v>
      </c>
      <c r="AK621">
        <v>36</v>
      </c>
      <c r="AL621" t="s">
        <v>250</v>
      </c>
      <c r="AM621" t="s">
        <v>413</v>
      </c>
      <c r="AN621" t="s">
        <v>490</v>
      </c>
      <c r="AO621" t="s">
        <v>11720</v>
      </c>
      <c r="AP621" t="s">
        <v>11721</v>
      </c>
      <c r="AQ621" t="s">
        <v>74</v>
      </c>
      <c r="AR621" t="s">
        <v>11722</v>
      </c>
      <c r="AS621" t="s">
        <v>11723</v>
      </c>
      <c r="AT621" t="s">
        <v>9913</v>
      </c>
      <c r="AU621">
        <v>2011</v>
      </c>
      <c r="AV621">
        <v>85</v>
      </c>
      <c r="AW621">
        <v>11</v>
      </c>
      <c r="AX621" t="s">
        <v>74</v>
      </c>
      <c r="AY621" t="s">
        <v>74</v>
      </c>
      <c r="AZ621" t="s">
        <v>74</v>
      </c>
      <c r="BA621" t="s">
        <v>74</v>
      </c>
      <c r="BB621">
        <v>861</v>
      </c>
      <c r="BC621">
        <v>879</v>
      </c>
      <c r="BD621" t="s">
        <v>74</v>
      </c>
      <c r="BE621" t="s">
        <v>11724</v>
      </c>
      <c r="BF621" t="str">
        <f>HYPERLINK("http://dx.doi.org/10.1007/s00190-011-0485-8","http://dx.doi.org/10.1007/s00190-011-0485-8")</f>
        <v>http://dx.doi.org/10.1007/s00190-011-0485-8</v>
      </c>
      <c r="BG621" t="s">
        <v>74</v>
      </c>
      <c r="BH621" t="s">
        <v>74</v>
      </c>
      <c r="BI621">
        <v>19</v>
      </c>
      <c r="BJ621" t="s">
        <v>11725</v>
      </c>
      <c r="BK621" t="s">
        <v>100</v>
      </c>
      <c r="BL621" t="s">
        <v>11725</v>
      </c>
      <c r="BM621" t="s">
        <v>11726</v>
      </c>
      <c r="BN621" t="s">
        <v>74</v>
      </c>
      <c r="BO621" t="s">
        <v>74</v>
      </c>
      <c r="BP621" t="s">
        <v>74</v>
      </c>
      <c r="BQ621" t="s">
        <v>74</v>
      </c>
      <c r="BR621" t="s">
        <v>102</v>
      </c>
      <c r="BS621" t="s">
        <v>11727</v>
      </c>
      <c r="BT621" t="str">
        <f>HYPERLINK("https%3A%2F%2Fwww.webofscience.com%2Fwos%2Fwoscc%2Ffull-record%2FWOS:000298587500009","View Full Record in Web of Science")</f>
        <v>View Full Record in Web of Science</v>
      </c>
    </row>
    <row r="622" spans="1:72" x14ac:dyDescent="0.15">
      <c r="A622" t="s">
        <v>72</v>
      </c>
      <c r="B622" t="s">
        <v>11728</v>
      </c>
      <c r="C622" t="s">
        <v>74</v>
      </c>
      <c r="D622" t="s">
        <v>74</v>
      </c>
      <c r="E622" t="s">
        <v>74</v>
      </c>
      <c r="F622" t="s">
        <v>11729</v>
      </c>
      <c r="G622" t="s">
        <v>74</v>
      </c>
      <c r="H622" t="s">
        <v>74</v>
      </c>
      <c r="I622" t="s">
        <v>11730</v>
      </c>
      <c r="J622" t="s">
        <v>11731</v>
      </c>
      <c r="K622" t="s">
        <v>74</v>
      </c>
      <c r="L622" t="s">
        <v>74</v>
      </c>
      <c r="M622" t="s">
        <v>78</v>
      </c>
      <c r="N622" t="s">
        <v>79</v>
      </c>
      <c r="O622" t="s">
        <v>74</v>
      </c>
      <c r="P622" t="s">
        <v>74</v>
      </c>
      <c r="Q622" t="s">
        <v>74</v>
      </c>
      <c r="R622" t="s">
        <v>74</v>
      </c>
      <c r="S622" t="s">
        <v>74</v>
      </c>
      <c r="T622" t="s">
        <v>74</v>
      </c>
      <c r="U622" t="s">
        <v>11732</v>
      </c>
      <c r="V622" t="s">
        <v>11733</v>
      </c>
      <c r="W622" t="s">
        <v>11734</v>
      </c>
      <c r="X622" t="s">
        <v>11735</v>
      </c>
      <c r="Y622" t="s">
        <v>11736</v>
      </c>
      <c r="Z622" t="s">
        <v>11737</v>
      </c>
      <c r="AA622" t="s">
        <v>11738</v>
      </c>
      <c r="AB622" t="s">
        <v>11739</v>
      </c>
      <c r="AC622" t="s">
        <v>11740</v>
      </c>
      <c r="AD622" t="s">
        <v>11741</v>
      </c>
      <c r="AE622" t="s">
        <v>11742</v>
      </c>
      <c r="AF622" t="s">
        <v>74</v>
      </c>
      <c r="AG622">
        <v>77</v>
      </c>
      <c r="AH622">
        <v>18</v>
      </c>
      <c r="AI622">
        <v>18</v>
      </c>
      <c r="AJ622">
        <v>1</v>
      </c>
      <c r="AK622">
        <v>15</v>
      </c>
      <c r="AL622" t="s">
        <v>1498</v>
      </c>
      <c r="AM622" t="s">
        <v>985</v>
      </c>
      <c r="AN622" t="s">
        <v>1499</v>
      </c>
      <c r="AO622" t="s">
        <v>11743</v>
      </c>
      <c r="AP622" t="s">
        <v>11744</v>
      </c>
      <c r="AQ622" t="s">
        <v>74</v>
      </c>
      <c r="AR622" t="s">
        <v>11745</v>
      </c>
      <c r="AS622" t="s">
        <v>11746</v>
      </c>
      <c r="AT622" t="s">
        <v>10343</v>
      </c>
      <c r="AU622">
        <v>2011</v>
      </c>
      <c r="AV622">
        <v>116</v>
      </c>
      <c r="AW622" t="s">
        <v>74</v>
      </c>
      <c r="AX622" t="s">
        <v>74</v>
      </c>
      <c r="AY622" t="s">
        <v>74</v>
      </c>
      <c r="AZ622" t="s">
        <v>74</v>
      </c>
      <c r="BA622" t="s">
        <v>74</v>
      </c>
      <c r="BB622" t="s">
        <v>74</v>
      </c>
      <c r="BC622" t="s">
        <v>74</v>
      </c>
      <c r="BD622" t="s">
        <v>11747</v>
      </c>
      <c r="BE622" t="s">
        <v>11748</v>
      </c>
      <c r="BF622" t="str">
        <f>HYPERLINK("http://dx.doi.org/10.1029/2011JF002019","http://dx.doi.org/10.1029/2011JF002019")</f>
        <v>http://dx.doi.org/10.1029/2011JF002019</v>
      </c>
      <c r="BG622" t="s">
        <v>74</v>
      </c>
      <c r="BH622" t="s">
        <v>74</v>
      </c>
      <c r="BI622">
        <v>16</v>
      </c>
      <c r="BJ622" t="s">
        <v>287</v>
      </c>
      <c r="BK622" t="s">
        <v>100</v>
      </c>
      <c r="BL622" t="s">
        <v>288</v>
      </c>
      <c r="BM622" t="s">
        <v>11749</v>
      </c>
      <c r="BN622" t="s">
        <v>74</v>
      </c>
      <c r="BO622" t="s">
        <v>6160</v>
      </c>
      <c r="BP622" t="s">
        <v>74</v>
      </c>
      <c r="BQ622" t="s">
        <v>74</v>
      </c>
      <c r="BR622" t="s">
        <v>102</v>
      </c>
      <c r="BS622" t="s">
        <v>11750</v>
      </c>
      <c r="BT622" t="str">
        <f>HYPERLINK("https%3A%2F%2Fwww.webofscience.com%2Fwos%2Fwoscc%2Ffull-record%2FWOS:000296650800004","View Full Record in Web of Science")</f>
        <v>View Full Record in Web of Science</v>
      </c>
    </row>
    <row r="623" spans="1:72" x14ac:dyDescent="0.15">
      <c r="A623" t="s">
        <v>72</v>
      </c>
      <c r="B623" t="s">
        <v>11751</v>
      </c>
      <c r="C623" t="s">
        <v>74</v>
      </c>
      <c r="D623" t="s">
        <v>74</v>
      </c>
      <c r="E623" t="s">
        <v>74</v>
      </c>
      <c r="F623" t="s">
        <v>11752</v>
      </c>
      <c r="G623" t="s">
        <v>74</v>
      </c>
      <c r="H623" t="s">
        <v>74</v>
      </c>
      <c r="I623" t="s">
        <v>11753</v>
      </c>
      <c r="J623" t="s">
        <v>11754</v>
      </c>
      <c r="K623" t="s">
        <v>74</v>
      </c>
      <c r="L623" t="s">
        <v>74</v>
      </c>
      <c r="M623" t="s">
        <v>78</v>
      </c>
      <c r="N623" t="s">
        <v>79</v>
      </c>
      <c r="O623" t="s">
        <v>74</v>
      </c>
      <c r="P623" t="s">
        <v>74</v>
      </c>
      <c r="Q623" t="s">
        <v>74</v>
      </c>
      <c r="R623" t="s">
        <v>74</v>
      </c>
      <c r="S623" t="s">
        <v>74</v>
      </c>
      <c r="T623" t="s">
        <v>11755</v>
      </c>
      <c r="U623" t="s">
        <v>11756</v>
      </c>
      <c r="V623" t="s">
        <v>11757</v>
      </c>
      <c r="W623" t="s">
        <v>11758</v>
      </c>
      <c r="X623" t="s">
        <v>11759</v>
      </c>
      <c r="Y623" t="s">
        <v>11760</v>
      </c>
      <c r="Z623" t="s">
        <v>11761</v>
      </c>
      <c r="AA623" t="s">
        <v>11762</v>
      </c>
      <c r="AB623" t="s">
        <v>11763</v>
      </c>
      <c r="AC623" t="s">
        <v>11764</v>
      </c>
      <c r="AD623" t="s">
        <v>6477</v>
      </c>
      <c r="AE623" t="s">
        <v>11765</v>
      </c>
      <c r="AF623" t="s">
        <v>74</v>
      </c>
      <c r="AG623">
        <v>76</v>
      </c>
      <c r="AH623">
        <v>24</v>
      </c>
      <c r="AI623">
        <v>34</v>
      </c>
      <c r="AJ623">
        <v>1</v>
      </c>
      <c r="AK623">
        <v>35</v>
      </c>
      <c r="AL623" t="s">
        <v>307</v>
      </c>
      <c r="AM623" t="s">
        <v>156</v>
      </c>
      <c r="AN623" t="s">
        <v>308</v>
      </c>
      <c r="AO623" t="s">
        <v>11766</v>
      </c>
      <c r="AP623" t="s">
        <v>74</v>
      </c>
      <c r="AQ623" t="s">
        <v>74</v>
      </c>
      <c r="AR623" t="s">
        <v>11767</v>
      </c>
      <c r="AS623" t="s">
        <v>11768</v>
      </c>
      <c r="AT623" t="s">
        <v>9913</v>
      </c>
      <c r="AU623">
        <v>2011</v>
      </c>
      <c r="AV623">
        <v>33</v>
      </c>
      <c r="AW623">
        <v>11</v>
      </c>
      <c r="AX623" t="s">
        <v>74</v>
      </c>
      <c r="AY623" t="s">
        <v>74</v>
      </c>
      <c r="AZ623" t="s">
        <v>74</v>
      </c>
      <c r="BA623" t="s">
        <v>74</v>
      </c>
      <c r="BB623">
        <v>1629</v>
      </c>
      <c r="BC623">
        <v>1642</v>
      </c>
      <c r="BD623" t="s">
        <v>74</v>
      </c>
      <c r="BE623" t="s">
        <v>11769</v>
      </c>
      <c r="BF623" t="str">
        <f>HYPERLINK("http://dx.doi.org/10.1093/plankt/fbr070","http://dx.doi.org/10.1093/plankt/fbr070")</f>
        <v>http://dx.doi.org/10.1093/plankt/fbr070</v>
      </c>
      <c r="BG623" t="s">
        <v>74</v>
      </c>
      <c r="BH623" t="s">
        <v>74</v>
      </c>
      <c r="BI623">
        <v>14</v>
      </c>
      <c r="BJ623" t="s">
        <v>4141</v>
      </c>
      <c r="BK623" t="s">
        <v>100</v>
      </c>
      <c r="BL623" t="s">
        <v>4141</v>
      </c>
      <c r="BM623" t="s">
        <v>11770</v>
      </c>
      <c r="BN623" t="s">
        <v>74</v>
      </c>
      <c r="BO623" t="s">
        <v>3786</v>
      </c>
      <c r="BP623" t="s">
        <v>74</v>
      </c>
      <c r="BQ623" t="s">
        <v>74</v>
      </c>
      <c r="BR623" t="s">
        <v>102</v>
      </c>
      <c r="BS623" t="s">
        <v>11771</v>
      </c>
      <c r="BT623" t="str">
        <f>HYPERLINK("https%3A%2F%2Fwww.webofscience.com%2Fwos%2Fwoscc%2Ffull-record%2FWOS:000295507500001","View Full Record in Web of Science")</f>
        <v>View Full Record in Web of Science</v>
      </c>
    </row>
    <row r="624" spans="1:72" x14ac:dyDescent="0.15">
      <c r="A624" t="s">
        <v>72</v>
      </c>
      <c r="B624" t="s">
        <v>11772</v>
      </c>
      <c r="C624" t="s">
        <v>74</v>
      </c>
      <c r="D624" t="s">
        <v>74</v>
      </c>
      <c r="E624" t="s">
        <v>74</v>
      </c>
      <c r="F624" t="s">
        <v>11773</v>
      </c>
      <c r="G624" t="s">
        <v>74</v>
      </c>
      <c r="H624" t="s">
        <v>74</v>
      </c>
      <c r="I624" t="s">
        <v>11774</v>
      </c>
      <c r="J624" t="s">
        <v>7392</v>
      </c>
      <c r="K624" t="s">
        <v>74</v>
      </c>
      <c r="L624" t="s">
        <v>74</v>
      </c>
      <c r="M624" t="s">
        <v>78</v>
      </c>
      <c r="N624" t="s">
        <v>79</v>
      </c>
      <c r="O624" t="s">
        <v>74</v>
      </c>
      <c r="P624" t="s">
        <v>74</v>
      </c>
      <c r="Q624" t="s">
        <v>74</v>
      </c>
      <c r="R624" t="s">
        <v>74</v>
      </c>
      <c r="S624" t="s">
        <v>74</v>
      </c>
      <c r="T624" t="s">
        <v>74</v>
      </c>
      <c r="U624" t="s">
        <v>11775</v>
      </c>
      <c r="V624" t="s">
        <v>11776</v>
      </c>
      <c r="W624" t="s">
        <v>11777</v>
      </c>
      <c r="X624" t="s">
        <v>11778</v>
      </c>
      <c r="Y624" t="s">
        <v>11779</v>
      </c>
      <c r="Z624" t="s">
        <v>11780</v>
      </c>
      <c r="AA624" t="s">
        <v>11781</v>
      </c>
      <c r="AB624" t="s">
        <v>11782</v>
      </c>
      <c r="AC624" t="s">
        <v>11783</v>
      </c>
      <c r="AD624" t="s">
        <v>11784</v>
      </c>
      <c r="AE624" t="s">
        <v>11785</v>
      </c>
      <c r="AF624" t="s">
        <v>74</v>
      </c>
      <c r="AG624">
        <v>46</v>
      </c>
      <c r="AH624">
        <v>36</v>
      </c>
      <c r="AI624">
        <v>51</v>
      </c>
      <c r="AJ624">
        <v>1</v>
      </c>
      <c r="AK624">
        <v>16</v>
      </c>
      <c r="AL624" t="s">
        <v>7404</v>
      </c>
      <c r="AM624" t="s">
        <v>7405</v>
      </c>
      <c r="AN624" t="s">
        <v>7406</v>
      </c>
      <c r="AO624" t="s">
        <v>7407</v>
      </c>
      <c r="AP624" t="s">
        <v>7408</v>
      </c>
      <c r="AQ624" t="s">
        <v>74</v>
      </c>
      <c r="AR624" t="s">
        <v>7409</v>
      </c>
      <c r="AS624" t="s">
        <v>7410</v>
      </c>
      <c r="AT624" t="s">
        <v>9913</v>
      </c>
      <c r="AU624">
        <v>2011</v>
      </c>
      <c r="AV624">
        <v>158</v>
      </c>
      <c r="AW624">
        <v>11</v>
      </c>
      <c r="AX624" t="s">
        <v>74</v>
      </c>
      <c r="AY624" t="s">
        <v>74</v>
      </c>
      <c r="AZ624" t="s">
        <v>74</v>
      </c>
      <c r="BA624" t="s">
        <v>74</v>
      </c>
      <c r="BB624">
        <v>2541</v>
      </c>
      <c r="BC624">
        <v>2554</v>
      </c>
      <c r="BD624" t="s">
        <v>74</v>
      </c>
      <c r="BE624" t="s">
        <v>11786</v>
      </c>
      <c r="BF624" t="str">
        <f>HYPERLINK("http://dx.doi.org/10.1007/s00227-011-1755-y","http://dx.doi.org/10.1007/s00227-011-1755-y")</f>
        <v>http://dx.doi.org/10.1007/s00227-011-1755-y</v>
      </c>
      <c r="BG624" t="s">
        <v>74</v>
      </c>
      <c r="BH624" t="s">
        <v>74</v>
      </c>
      <c r="BI624">
        <v>14</v>
      </c>
      <c r="BJ624" t="s">
        <v>1015</v>
      </c>
      <c r="BK624" t="s">
        <v>100</v>
      </c>
      <c r="BL624" t="s">
        <v>1015</v>
      </c>
      <c r="BM624" t="s">
        <v>10935</v>
      </c>
      <c r="BN624" t="s">
        <v>74</v>
      </c>
      <c r="BO624" t="s">
        <v>74</v>
      </c>
      <c r="BP624" t="s">
        <v>74</v>
      </c>
      <c r="BQ624" t="s">
        <v>74</v>
      </c>
      <c r="BR624" t="s">
        <v>102</v>
      </c>
      <c r="BS624" t="s">
        <v>11787</v>
      </c>
      <c r="BT624" t="str">
        <f>HYPERLINK("https%3A%2F%2Fwww.webofscience.com%2Fwos%2Fwoscc%2Ffull-record%2FWOS:000296088600014","View Full Record in Web of Science")</f>
        <v>View Full Record in Web of Science</v>
      </c>
    </row>
    <row r="625" spans="1:72" x14ac:dyDescent="0.15">
      <c r="A625" t="s">
        <v>72</v>
      </c>
      <c r="B625" t="s">
        <v>11788</v>
      </c>
      <c r="C625" t="s">
        <v>74</v>
      </c>
      <c r="D625" t="s">
        <v>74</v>
      </c>
      <c r="E625" t="s">
        <v>74</v>
      </c>
      <c r="F625" t="s">
        <v>11789</v>
      </c>
      <c r="G625" t="s">
        <v>74</v>
      </c>
      <c r="H625" t="s">
        <v>74</v>
      </c>
      <c r="I625" t="s">
        <v>11790</v>
      </c>
      <c r="J625" t="s">
        <v>4875</v>
      </c>
      <c r="K625" t="s">
        <v>74</v>
      </c>
      <c r="L625" t="s">
        <v>74</v>
      </c>
      <c r="M625" t="s">
        <v>78</v>
      </c>
      <c r="N625" t="s">
        <v>79</v>
      </c>
      <c r="O625" t="s">
        <v>74</v>
      </c>
      <c r="P625" t="s">
        <v>74</v>
      </c>
      <c r="Q625" t="s">
        <v>74</v>
      </c>
      <c r="R625" t="s">
        <v>74</v>
      </c>
      <c r="S625" t="s">
        <v>74</v>
      </c>
      <c r="T625" t="s">
        <v>74</v>
      </c>
      <c r="U625" t="s">
        <v>11791</v>
      </c>
      <c r="V625" t="s">
        <v>11792</v>
      </c>
      <c r="W625" t="s">
        <v>11793</v>
      </c>
      <c r="X625" t="s">
        <v>11794</v>
      </c>
      <c r="Y625" t="s">
        <v>11795</v>
      </c>
      <c r="Z625" t="s">
        <v>11796</v>
      </c>
      <c r="AA625" t="s">
        <v>11797</v>
      </c>
      <c r="AB625" t="s">
        <v>74</v>
      </c>
      <c r="AC625" t="s">
        <v>11798</v>
      </c>
      <c r="AD625" t="s">
        <v>11799</v>
      </c>
      <c r="AE625" t="s">
        <v>11800</v>
      </c>
      <c r="AF625" t="s">
        <v>74</v>
      </c>
      <c r="AG625">
        <v>65</v>
      </c>
      <c r="AH625">
        <v>53</v>
      </c>
      <c r="AI625">
        <v>57</v>
      </c>
      <c r="AJ625">
        <v>0</v>
      </c>
      <c r="AK625">
        <v>91</v>
      </c>
      <c r="AL625" t="s">
        <v>250</v>
      </c>
      <c r="AM625" t="s">
        <v>413</v>
      </c>
      <c r="AN625" t="s">
        <v>514</v>
      </c>
      <c r="AO625" t="s">
        <v>4885</v>
      </c>
      <c r="AP625" t="s">
        <v>74</v>
      </c>
      <c r="AQ625" t="s">
        <v>74</v>
      </c>
      <c r="AR625" t="s">
        <v>4887</v>
      </c>
      <c r="AS625" t="s">
        <v>4888</v>
      </c>
      <c r="AT625" t="s">
        <v>9913</v>
      </c>
      <c r="AU625">
        <v>2011</v>
      </c>
      <c r="AV625">
        <v>62</v>
      </c>
      <c r="AW625">
        <v>4</v>
      </c>
      <c r="AX625" t="s">
        <v>74</v>
      </c>
      <c r="AY625" t="s">
        <v>74</v>
      </c>
      <c r="AZ625" t="s">
        <v>74</v>
      </c>
      <c r="BA625" t="s">
        <v>74</v>
      </c>
      <c r="BB625">
        <v>959</v>
      </c>
      <c r="BC625">
        <v>972</v>
      </c>
      <c r="BD625" t="s">
        <v>74</v>
      </c>
      <c r="BE625" t="s">
        <v>11801</v>
      </c>
      <c r="BF625" t="str">
        <f>HYPERLINK("http://dx.doi.org/10.1007/s00248-011-9858-z","http://dx.doi.org/10.1007/s00248-011-9858-z")</f>
        <v>http://dx.doi.org/10.1007/s00248-011-9858-z</v>
      </c>
      <c r="BG625" t="s">
        <v>74</v>
      </c>
      <c r="BH625" t="s">
        <v>74</v>
      </c>
      <c r="BI625">
        <v>14</v>
      </c>
      <c r="BJ625" t="s">
        <v>1060</v>
      </c>
      <c r="BK625" t="s">
        <v>100</v>
      </c>
      <c r="BL625" t="s">
        <v>1061</v>
      </c>
      <c r="BM625" t="s">
        <v>11802</v>
      </c>
      <c r="BN625">
        <v>21567188</v>
      </c>
      <c r="BO625" t="s">
        <v>74</v>
      </c>
      <c r="BP625" t="s">
        <v>74</v>
      </c>
      <c r="BQ625" t="s">
        <v>74</v>
      </c>
      <c r="BR625" t="s">
        <v>102</v>
      </c>
      <c r="BS625" t="s">
        <v>11803</v>
      </c>
      <c r="BT625" t="str">
        <f>HYPERLINK("https%3A%2F%2Fwww.webofscience.com%2Fwos%2Fwoscc%2Ffull-record%2FWOS:000296479700020","View Full Record in Web of Science")</f>
        <v>View Full Record in Web of Science</v>
      </c>
    </row>
    <row r="626" spans="1:72" x14ac:dyDescent="0.15">
      <c r="A626" t="s">
        <v>72</v>
      </c>
      <c r="B626" t="s">
        <v>11804</v>
      </c>
      <c r="C626" t="s">
        <v>74</v>
      </c>
      <c r="D626" t="s">
        <v>74</v>
      </c>
      <c r="E626" t="s">
        <v>74</v>
      </c>
      <c r="F626" t="s">
        <v>11805</v>
      </c>
      <c r="G626" t="s">
        <v>74</v>
      </c>
      <c r="H626" t="s">
        <v>74</v>
      </c>
      <c r="I626" t="s">
        <v>11806</v>
      </c>
      <c r="J626" t="s">
        <v>11807</v>
      </c>
      <c r="K626" t="s">
        <v>74</v>
      </c>
      <c r="L626" t="s">
        <v>74</v>
      </c>
      <c r="M626" t="s">
        <v>78</v>
      </c>
      <c r="N626" t="s">
        <v>79</v>
      </c>
      <c r="O626" t="s">
        <v>74</v>
      </c>
      <c r="P626" t="s">
        <v>74</v>
      </c>
      <c r="Q626" t="s">
        <v>74</v>
      </c>
      <c r="R626" t="s">
        <v>74</v>
      </c>
      <c r="S626" t="s">
        <v>74</v>
      </c>
      <c r="T626" t="s">
        <v>74</v>
      </c>
      <c r="U626" t="s">
        <v>11808</v>
      </c>
      <c r="V626" t="s">
        <v>11809</v>
      </c>
      <c r="W626" t="s">
        <v>11810</v>
      </c>
      <c r="X626" t="s">
        <v>3841</v>
      </c>
      <c r="Y626" t="s">
        <v>11811</v>
      </c>
      <c r="Z626" t="s">
        <v>11812</v>
      </c>
      <c r="AA626" t="s">
        <v>11813</v>
      </c>
      <c r="AB626" t="s">
        <v>11814</v>
      </c>
      <c r="AC626" t="s">
        <v>74</v>
      </c>
      <c r="AD626" t="s">
        <v>74</v>
      </c>
      <c r="AE626" t="s">
        <v>74</v>
      </c>
      <c r="AF626" t="s">
        <v>74</v>
      </c>
      <c r="AG626">
        <v>20</v>
      </c>
      <c r="AH626">
        <v>4</v>
      </c>
      <c r="AI626">
        <v>5</v>
      </c>
      <c r="AJ626">
        <v>0</v>
      </c>
      <c r="AK626">
        <v>0</v>
      </c>
      <c r="AL626" t="s">
        <v>3727</v>
      </c>
      <c r="AM626" t="s">
        <v>3728</v>
      </c>
      <c r="AN626" t="s">
        <v>3729</v>
      </c>
      <c r="AO626" t="s">
        <v>11815</v>
      </c>
      <c r="AP626" t="s">
        <v>11816</v>
      </c>
      <c r="AQ626" t="s">
        <v>74</v>
      </c>
      <c r="AR626" t="s">
        <v>11817</v>
      </c>
      <c r="AS626" t="s">
        <v>11818</v>
      </c>
      <c r="AT626" t="s">
        <v>9913</v>
      </c>
      <c r="AU626">
        <v>2011</v>
      </c>
      <c r="AV626">
        <v>32</v>
      </c>
      <c r="AW626">
        <v>4</v>
      </c>
      <c r="AX626" t="s">
        <v>74</v>
      </c>
      <c r="AY626" t="s">
        <v>74</v>
      </c>
      <c r="AZ626" t="s">
        <v>74</v>
      </c>
      <c r="BA626" t="s">
        <v>74</v>
      </c>
      <c r="BB626">
        <v>157</v>
      </c>
      <c r="BC626">
        <v>159</v>
      </c>
      <c r="BD626" t="s">
        <v>74</v>
      </c>
      <c r="BE626" t="s">
        <v>74</v>
      </c>
      <c r="BF626" t="s">
        <v>74</v>
      </c>
      <c r="BG626" t="s">
        <v>74</v>
      </c>
      <c r="BH626" t="s">
        <v>74</v>
      </c>
      <c r="BI626">
        <v>4</v>
      </c>
      <c r="BJ626" t="s">
        <v>3089</v>
      </c>
      <c r="BK626" t="s">
        <v>1158</v>
      </c>
      <c r="BL626" t="s">
        <v>3089</v>
      </c>
      <c r="BM626" t="s">
        <v>11819</v>
      </c>
      <c r="BN626" t="s">
        <v>74</v>
      </c>
      <c r="BO626" t="s">
        <v>74</v>
      </c>
      <c r="BP626" t="s">
        <v>74</v>
      </c>
      <c r="BQ626" t="s">
        <v>74</v>
      </c>
      <c r="BR626" t="s">
        <v>102</v>
      </c>
      <c r="BS626" t="s">
        <v>11820</v>
      </c>
      <c r="BT626" t="str">
        <f>HYPERLINK("https%3A%2F%2Fwww.webofscience.com%2Fwos%2Fwoscc%2Ffull-record%2FWOS:000216298700006","View Full Record in Web of Science")</f>
        <v>View Full Record in Web of Science</v>
      </c>
    </row>
    <row r="627" spans="1:72" x14ac:dyDescent="0.15">
      <c r="A627" t="s">
        <v>72</v>
      </c>
      <c r="B627" t="s">
        <v>11821</v>
      </c>
      <c r="C627" t="s">
        <v>74</v>
      </c>
      <c r="D627" t="s">
        <v>74</v>
      </c>
      <c r="E627" t="s">
        <v>74</v>
      </c>
      <c r="F627" t="s">
        <v>11822</v>
      </c>
      <c r="G627" t="s">
        <v>74</v>
      </c>
      <c r="H627" t="s">
        <v>74</v>
      </c>
      <c r="I627" t="s">
        <v>11823</v>
      </c>
      <c r="J627" t="s">
        <v>11824</v>
      </c>
      <c r="K627" t="s">
        <v>74</v>
      </c>
      <c r="L627" t="s">
        <v>74</v>
      </c>
      <c r="M627" t="s">
        <v>78</v>
      </c>
      <c r="N627" t="s">
        <v>810</v>
      </c>
      <c r="O627" t="s">
        <v>74</v>
      </c>
      <c r="P627" t="s">
        <v>74</v>
      </c>
      <c r="Q627" t="s">
        <v>74</v>
      </c>
      <c r="R627" t="s">
        <v>74</v>
      </c>
      <c r="S627" t="s">
        <v>74</v>
      </c>
      <c r="T627" t="s">
        <v>11825</v>
      </c>
      <c r="U627" t="s">
        <v>11826</v>
      </c>
      <c r="V627" t="s">
        <v>11827</v>
      </c>
      <c r="W627" t="s">
        <v>11828</v>
      </c>
      <c r="X627" t="s">
        <v>11829</v>
      </c>
      <c r="Y627" t="s">
        <v>11830</v>
      </c>
      <c r="Z627" t="s">
        <v>11831</v>
      </c>
      <c r="AA627" t="s">
        <v>11832</v>
      </c>
      <c r="AB627" t="s">
        <v>11833</v>
      </c>
      <c r="AC627" t="s">
        <v>74</v>
      </c>
      <c r="AD627" t="s">
        <v>74</v>
      </c>
      <c r="AE627" t="s">
        <v>74</v>
      </c>
      <c r="AF627" t="s">
        <v>74</v>
      </c>
      <c r="AG627">
        <v>9</v>
      </c>
      <c r="AH627">
        <v>3</v>
      </c>
      <c r="AI627">
        <v>4</v>
      </c>
      <c r="AJ627">
        <v>0</v>
      </c>
      <c r="AK627">
        <v>33</v>
      </c>
      <c r="AL627" t="s">
        <v>795</v>
      </c>
      <c r="AM627" t="s">
        <v>1468</v>
      </c>
      <c r="AN627" t="s">
        <v>1469</v>
      </c>
      <c r="AO627" t="s">
        <v>11834</v>
      </c>
      <c r="AP627" t="s">
        <v>74</v>
      </c>
      <c r="AQ627" t="s">
        <v>74</v>
      </c>
      <c r="AR627" t="s">
        <v>11835</v>
      </c>
      <c r="AS627" t="s">
        <v>11836</v>
      </c>
      <c r="AT627" t="s">
        <v>9913</v>
      </c>
      <c r="AU627">
        <v>2011</v>
      </c>
      <c r="AV627">
        <v>20</v>
      </c>
      <c r="AW627">
        <v>22</v>
      </c>
      <c r="AX627" t="s">
        <v>74</v>
      </c>
      <c r="AY627" t="s">
        <v>74</v>
      </c>
      <c r="AZ627" t="s">
        <v>74</v>
      </c>
      <c r="BA627" t="s">
        <v>74</v>
      </c>
      <c r="BB627">
        <v>4590</v>
      </c>
      <c r="BC627">
        <v>4591</v>
      </c>
      <c r="BD627" t="s">
        <v>74</v>
      </c>
      <c r="BE627" t="s">
        <v>11837</v>
      </c>
      <c r="BF627" t="str">
        <f>HYPERLINK("http://dx.doi.org/10.1111/j.1365-294X.2011.05321.x","http://dx.doi.org/10.1111/j.1365-294X.2011.05321.x")</f>
        <v>http://dx.doi.org/10.1111/j.1365-294X.2011.05321.x</v>
      </c>
      <c r="BG627" t="s">
        <v>74</v>
      </c>
      <c r="BH627" t="s">
        <v>74</v>
      </c>
      <c r="BI627">
        <v>2</v>
      </c>
      <c r="BJ627" t="s">
        <v>11838</v>
      </c>
      <c r="BK627" t="s">
        <v>100</v>
      </c>
      <c r="BL627" t="s">
        <v>11839</v>
      </c>
      <c r="BM627" t="s">
        <v>11840</v>
      </c>
      <c r="BN627">
        <v>22145162</v>
      </c>
      <c r="BO627" t="s">
        <v>74</v>
      </c>
      <c r="BP627" t="s">
        <v>74</v>
      </c>
      <c r="BQ627" t="s">
        <v>74</v>
      </c>
      <c r="BR627" t="s">
        <v>102</v>
      </c>
      <c r="BS627" t="s">
        <v>11841</v>
      </c>
      <c r="BT627" t="str">
        <f>HYPERLINK("https%3A%2F%2Fwww.webofscience.com%2Fwos%2Fwoscc%2Ffull-record%2FWOS:000297414200002","View Full Record in Web of Science")</f>
        <v>View Full Record in Web of Science</v>
      </c>
    </row>
    <row r="628" spans="1:72" x14ac:dyDescent="0.15">
      <c r="A628" t="s">
        <v>72</v>
      </c>
      <c r="B628" t="s">
        <v>11842</v>
      </c>
      <c r="C628" t="s">
        <v>74</v>
      </c>
      <c r="D628" t="s">
        <v>74</v>
      </c>
      <c r="E628" t="s">
        <v>74</v>
      </c>
      <c r="F628" t="s">
        <v>11843</v>
      </c>
      <c r="G628" t="s">
        <v>74</v>
      </c>
      <c r="H628" t="s">
        <v>74</v>
      </c>
      <c r="I628" t="s">
        <v>11844</v>
      </c>
      <c r="J628" t="s">
        <v>11824</v>
      </c>
      <c r="K628" t="s">
        <v>74</v>
      </c>
      <c r="L628" t="s">
        <v>74</v>
      </c>
      <c r="M628" t="s">
        <v>78</v>
      </c>
      <c r="N628" t="s">
        <v>79</v>
      </c>
      <c r="O628" t="s">
        <v>74</v>
      </c>
      <c r="P628" t="s">
        <v>74</v>
      </c>
      <c r="Q628" t="s">
        <v>74</v>
      </c>
      <c r="R628" t="s">
        <v>74</v>
      </c>
      <c r="S628" t="s">
        <v>74</v>
      </c>
      <c r="T628" t="s">
        <v>11845</v>
      </c>
      <c r="U628" t="s">
        <v>11846</v>
      </c>
      <c r="V628" t="s">
        <v>11847</v>
      </c>
      <c r="W628" t="s">
        <v>11848</v>
      </c>
      <c r="X628" t="s">
        <v>11849</v>
      </c>
      <c r="Y628" t="s">
        <v>11850</v>
      </c>
      <c r="Z628" t="s">
        <v>11851</v>
      </c>
      <c r="AA628" t="s">
        <v>11852</v>
      </c>
      <c r="AB628" t="s">
        <v>11853</v>
      </c>
      <c r="AC628" t="s">
        <v>11854</v>
      </c>
      <c r="AD628" t="s">
        <v>11855</v>
      </c>
      <c r="AE628" t="s">
        <v>11856</v>
      </c>
      <c r="AF628" t="s">
        <v>74</v>
      </c>
      <c r="AG628">
        <v>101</v>
      </c>
      <c r="AH628">
        <v>59</v>
      </c>
      <c r="AI628">
        <v>66</v>
      </c>
      <c r="AJ628">
        <v>1</v>
      </c>
      <c r="AK628">
        <v>44</v>
      </c>
      <c r="AL628" t="s">
        <v>2832</v>
      </c>
      <c r="AM628" t="s">
        <v>796</v>
      </c>
      <c r="AN628" t="s">
        <v>797</v>
      </c>
      <c r="AO628" t="s">
        <v>11834</v>
      </c>
      <c r="AP628" t="s">
        <v>11857</v>
      </c>
      <c r="AQ628" t="s">
        <v>74</v>
      </c>
      <c r="AR628" t="s">
        <v>11835</v>
      </c>
      <c r="AS628" t="s">
        <v>11836</v>
      </c>
      <c r="AT628" t="s">
        <v>9913</v>
      </c>
      <c r="AU628">
        <v>2011</v>
      </c>
      <c r="AV628">
        <v>20</v>
      </c>
      <c r="AW628">
        <v>22</v>
      </c>
      <c r="AX628" t="s">
        <v>74</v>
      </c>
      <c r="AY628" t="s">
        <v>74</v>
      </c>
      <c r="AZ628" t="s">
        <v>74</v>
      </c>
      <c r="BA628" t="s">
        <v>74</v>
      </c>
      <c r="BB628">
        <v>4707</v>
      </c>
      <c r="BC628">
        <v>4721</v>
      </c>
      <c r="BD628" t="s">
        <v>74</v>
      </c>
      <c r="BE628" t="s">
        <v>11858</v>
      </c>
      <c r="BF628" t="str">
        <f>HYPERLINK("http://dx.doi.org/10.1111/j.1365-294X.2011.05279.x","http://dx.doi.org/10.1111/j.1365-294X.2011.05279.x")</f>
        <v>http://dx.doi.org/10.1111/j.1365-294X.2011.05279.x</v>
      </c>
      <c r="BG628" t="s">
        <v>74</v>
      </c>
      <c r="BH628" t="s">
        <v>74</v>
      </c>
      <c r="BI628">
        <v>15</v>
      </c>
      <c r="BJ628" t="s">
        <v>11838</v>
      </c>
      <c r="BK628" t="s">
        <v>100</v>
      </c>
      <c r="BL628" t="s">
        <v>11839</v>
      </c>
      <c r="BM628" t="s">
        <v>11840</v>
      </c>
      <c r="BN628">
        <v>21951675</v>
      </c>
      <c r="BO628" t="s">
        <v>74</v>
      </c>
      <c r="BP628" t="s">
        <v>74</v>
      </c>
      <c r="BQ628" t="s">
        <v>74</v>
      </c>
      <c r="BR628" t="s">
        <v>102</v>
      </c>
      <c r="BS628" t="s">
        <v>11859</v>
      </c>
      <c r="BT628" t="str">
        <f>HYPERLINK("https%3A%2F%2Fwww.webofscience.com%2Fwos%2Fwoscc%2Ffull-record%2FWOS:000297414200012","View Full Record in Web of Science")</f>
        <v>View Full Record in Web of Science</v>
      </c>
    </row>
    <row r="629" spans="1:72" x14ac:dyDescent="0.15">
      <c r="A629" t="s">
        <v>72</v>
      </c>
      <c r="B629" t="s">
        <v>11860</v>
      </c>
      <c r="C629" t="s">
        <v>74</v>
      </c>
      <c r="D629" t="s">
        <v>74</v>
      </c>
      <c r="E629" t="s">
        <v>74</v>
      </c>
      <c r="F629" t="s">
        <v>11861</v>
      </c>
      <c r="G629" t="s">
        <v>74</v>
      </c>
      <c r="H629" t="s">
        <v>74</v>
      </c>
      <c r="I629" t="s">
        <v>11862</v>
      </c>
      <c r="J629" t="s">
        <v>11863</v>
      </c>
      <c r="K629" t="s">
        <v>74</v>
      </c>
      <c r="L629" t="s">
        <v>74</v>
      </c>
      <c r="M629" t="s">
        <v>78</v>
      </c>
      <c r="N629" t="s">
        <v>1513</v>
      </c>
      <c r="O629" t="s">
        <v>74</v>
      </c>
      <c r="P629" t="s">
        <v>74</v>
      </c>
      <c r="Q629" t="s">
        <v>74</v>
      </c>
      <c r="R629" t="s">
        <v>74</v>
      </c>
      <c r="S629" t="s">
        <v>74</v>
      </c>
      <c r="T629" t="s">
        <v>11864</v>
      </c>
      <c r="U629" t="s">
        <v>11865</v>
      </c>
      <c r="V629" t="s">
        <v>11866</v>
      </c>
      <c r="W629" t="s">
        <v>11867</v>
      </c>
      <c r="X629" t="s">
        <v>11868</v>
      </c>
      <c r="Y629" t="s">
        <v>11869</v>
      </c>
      <c r="Z629" t="s">
        <v>11870</v>
      </c>
      <c r="AA629" t="s">
        <v>11871</v>
      </c>
      <c r="AB629" t="s">
        <v>11872</v>
      </c>
      <c r="AC629" t="s">
        <v>11873</v>
      </c>
      <c r="AD629" t="s">
        <v>11874</v>
      </c>
      <c r="AE629" t="s">
        <v>11875</v>
      </c>
      <c r="AF629" t="s">
        <v>74</v>
      </c>
      <c r="AG629">
        <v>129</v>
      </c>
      <c r="AH629">
        <v>76</v>
      </c>
      <c r="AI629">
        <v>91</v>
      </c>
      <c r="AJ629">
        <v>1</v>
      </c>
      <c r="AK629">
        <v>57</v>
      </c>
      <c r="AL629" t="s">
        <v>713</v>
      </c>
      <c r="AM629" t="s">
        <v>714</v>
      </c>
      <c r="AN629" t="s">
        <v>5334</v>
      </c>
      <c r="AO629" t="s">
        <v>11876</v>
      </c>
      <c r="AP629" t="s">
        <v>11877</v>
      </c>
      <c r="AQ629" t="s">
        <v>74</v>
      </c>
      <c r="AR629" t="s">
        <v>11863</v>
      </c>
      <c r="AS629" t="s">
        <v>11878</v>
      </c>
      <c r="AT629" t="s">
        <v>10284</v>
      </c>
      <c r="AU629">
        <v>2011</v>
      </c>
      <c r="AV629">
        <v>103</v>
      </c>
      <c r="AW629">
        <v>6</v>
      </c>
      <c r="AX629" t="s">
        <v>74</v>
      </c>
      <c r="AY629" t="s">
        <v>74</v>
      </c>
      <c r="AZ629" t="s">
        <v>74</v>
      </c>
      <c r="BA629" t="s">
        <v>74</v>
      </c>
      <c r="BB629">
        <v>1161</v>
      </c>
      <c r="BC629">
        <v>1174</v>
      </c>
      <c r="BD629" t="s">
        <v>74</v>
      </c>
      <c r="BE629" t="s">
        <v>11879</v>
      </c>
      <c r="BF629" t="str">
        <f>HYPERLINK("http://dx.doi.org/10.3852/11-108","http://dx.doi.org/10.3852/11-108")</f>
        <v>http://dx.doi.org/10.3852/11-108</v>
      </c>
      <c r="BG629" t="s">
        <v>74</v>
      </c>
      <c r="BH629" t="s">
        <v>74</v>
      </c>
      <c r="BI629">
        <v>14</v>
      </c>
      <c r="BJ629" t="s">
        <v>11880</v>
      </c>
      <c r="BK629" t="s">
        <v>100</v>
      </c>
      <c r="BL629" t="s">
        <v>11880</v>
      </c>
      <c r="BM629" t="s">
        <v>11881</v>
      </c>
      <c r="BN629">
        <v>21700639</v>
      </c>
      <c r="BO629" t="s">
        <v>74</v>
      </c>
      <c r="BP629" t="s">
        <v>74</v>
      </c>
      <c r="BQ629" t="s">
        <v>74</v>
      </c>
      <c r="BR629" t="s">
        <v>102</v>
      </c>
      <c r="BS629" t="s">
        <v>11882</v>
      </c>
      <c r="BT629" t="str">
        <f>HYPERLINK("https%3A%2F%2Fwww.webofscience.com%2Fwos%2Fwoscc%2Ffull-record%2FWOS:000297387900001","View Full Record in Web of Science")</f>
        <v>View Full Record in Web of Science</v>
      </c>
    </row>
    <row r="630" spans="1:72" x14ac:dyDescent="0.15">
      <c r="A630" t="s">
        <v>72</v>
      </c>
      <c r="B630" t="s">
        <v>11883</v>
      </c>
      <c r="C630" t="s">
        <v>74</v>
      </c>
      <c r="D630" t="s">
        <v>74</v>
      </c>
      <c r="E630" t="s">
        <v>74</v>
      </c>
      <c r="F630" t="s">
        <v>11884</v>
      </c>
      <c r="G630" t="s">
        <v>74</v>
      </c>
      <c r="H630" t="s">
        <v>74</v>
      </c>
      <c r="I630" t="s">
        <v>11885</v>
      </c>
      <c r="J630" t="s">
        <v>11886</v>
      </c>
      <c r="K630" t="s">
        <v>74</v>
      </c>
      <c r="L630" t="s">
        <v>74</v>
      </c>
      <c r="M630" t="s">
        <v>78</v>
      </c>
      <c r="N630" t="s">
        <v>1513</v>
      </c>
      <c r="O630" t="s">
        <v>74</v>
      </c>
      <c r="P630" t="s">
        <v>74</v>
      </c>
      <c r="Q630" t="s">
        <v>74</v>
      </c>
      <c r="R630" t="s">
        <v>74</v>
      </c>
      <c r="S630" t="s">
        <v>74</v>
      </c>
      <c r="T630" t="s">
        <v>74</v>
      </c>
      <c r="U630" t="s">
        <v>11887</v>
      </c>
      <c r="V630" t="s">
        <v>11888</v>
      </c>
      <c r="W630" t="s">
        <v>11889</v>
      </c>
      <c r="X630" t="s">
        <v>11890</v>
      </c>
      <c r="Y630" t="s">
        <v>11891</v>
      </c>
      <c r="Z630" t="s">
        <v>9522</v>
      </c>
      <c r="AA630" t="s">
        <v>11892</v>
      </c>
      <c r="AB630" t="s">
        <v>11893</v>
      </c>
      <c r="AC630" t="s">
        <v>11894</v>
      </c>
      <c r="AD630" t="s">
        <v>11895</v>
      </c>
      <c r="AE630" t="s">
        <v>11896</v>
      </c>
      <c r="AF630" t="s">
        <v>74</v>
      </c>
      <c r="AG630">
        <v>109</v>
      </c>
      <c r="AH630">
        <v>693</v>
      </c>
      <c r="AI630">
        <v>759</v>
      </c>
      <c r="AJ630">
        <v>10</v>
      </c>
      <c r="AK630">
        <v>354</v>
      </c>
      <c r="AL630" t="s">
        <v>9403</v>
      </c>
      <c r="AM630" t="s">
        <v>413</v>
      </c>
      <c r="AN630" t="s">
        <v>11897</v>
      </c>
      <c r="AO630" t="s">
        <v>11898</v>
      </c>
      <c r="AP630" t="s">
        <v>11899</v>
      </c>
      <c r="AQ630" t="s">
        <v>74</v>
      </c>
      <c r="AR630" t="s">
        <v>11900</v>
      </c>
      <c r="AS630" t="s">
        <v>11901</v>
      </c>
      <c r="AT630" t="s">
        <v>9913</v>
      </c>
      <c r="AU630">
        <v>2011</v>
      </c>
      <c r="AV630">
        <v>4</v>
      </c>
      <c r="AW630">
        <v>11</v>
      </c>
      <c r="AX630" t="s">
        <v>74</v>
      </c>
      <c r="AY630" t="s">
        <v>74</v>
      </c>
      <c r="AZ630" t="s">
        <v>74</v>
      </c>
      <c r="BA630" t="s">
        <v>74</v>
      </c>
      <c r="BB630">
        <v>741</v>
      </c>
      <c r="BC630">
        <v>749</v>
      </c>
      <c r="BD630" t="s">
        <v>74</v>
      </c>
      <c r="BE630" t="s">
        <v>11902</v>
      </c>
      <c r="BF630" t="str">
        <f>HYPERLINK("http://dx.doi.org/10.1038/NGEO1296","http://dx.doi.org/10.1038/NGEO1296")</f>
        <v>http://dx.doi.org/10.1038/NGEO1296</v>
      </c>
      <c r="BG630" t="s">
        <v>74</v>
      </c>
      <c r="BH630" t="s">
        <v>74</v>
      </c>
      <c r="BI630">
        <v>9</v>
      </c>
      <c r="BJ630" t="s">
        <v>287</v>
      </c>
      <c r="BK630" t="s">
        <v>100</v>
      </c>
      <c r="BL630" t="s">
        <v>288</v>
      </c>
      <c r="BM630" t="s">
        <v>11903</v>
      </c>
      <c r="BN630" t="s">
        <v>74</v>
      </c>
      <c r="BO630" t="s">
        <v>74</v>
      </c>
      <c r="BP630" t="s">
        <v>74</v>
      </c>
      <c r="BQ630" t="s">
        <v>74</v>
      </c>
      <c r="BR630" t="s">
        <v>102</v>
      </c>
      <c r="BS630" t="s">
        <v>11904</v>
      </c>
      <c r="BT630" t="str">
        <f>HYPERLINK("https%3A%2F%2Fwww.webofscience.com%2Fwos%2Fwoscc%2Ffull-record%2FWOS:000296723500009","View Full Record in Web of Science")</f>
        <v>View Full Record in Web of Science</v>
      </c>
    </row>
    <row r="631" spans="1:72" x14ac:dyDescent="0.15">
      <c r="A631" t="s">
        <v>72</v>
      </c>
      <c r="B631" t="s">
        <v>11905</v>
      </c>
      <c r="C631" t="s">
        <v>74</v>
      </c>
      <c r="D631" t="s">
        <v>74</v>
      </c>
      <c r="E631" t="s">
        <v>74</v>
      </c>
      <c r="F631" t="s">
        <v>11906</v>
      </c>
      <c r="G631" t="s">
        <v>74</v>
      </c>
      <c r="H631" t="s">
        <v>74</v>
      </c>
      <c r="I631" t="s">
        <v>11907</v>
      </c>
      <c r="J631" t="s">
        <v>11908</v>
      </c>
      <c r="K631" t="s">
        <v>74</v>
      </c>
      <c r="L631" t="s">
        <v>74</v>
      </c>
      <c r="M631" t="s">
        <v>78</v>
      </c>
      <c r="N631" t="s">
        <v>79</v>
      </c>
      <c r="O631" t="s">
        <v>74</v>
      </c>
      <c r="P631" t="s">
        <v>74</v>
      </c>
      <c r="Q631" t="s">
        <v>74</v>
      </c>
      <c r="R631" t="s">
        <v>74</v>
      </c>
      <c r="S631" t="s">
        <v>74</v>
      </c>
      <c r="T631" t="s">
        <v>74</v>
      </c>
      <c r="U631" t="s">
        <v>11909</v>
      </c>
      <c r="V631" t="s">
        <v>11910</v>
      </c>
      <c r="W631" t="s">
        <v>11911</v>
      </c>
      <c r="X631" t="s">
        <v>11912</v>
      </c>
      <c r="Y631" t="s">
        <v>11913</v>
      </c>
      <c r="Z631" t="s">
        <v>11914</v>
      </c>
      <c r="AA631" t="s">
        <v>11915</v>
      </c>
      <c r="AB631" t="s">
        <v>11916</v>
      </c>
      <c r="AC631" t="s">
        <v>11917</v>
      </c>
      <c r="AD631" t="s">
        <v>11918</v>
      </c>
      <c r="AE631" t="s">
        <v>11919</v>
      </c>
      <c r="AF631" t="s">
        <v>74</v>
      </c>
      <c r="AG631">
        <v>82</v>
      </c>
      <c r="AH631">
        <v>46</v>
      </c>
      <c r="AI631">
        <v>51</v>
      </c>
      <c r="AJ631">
        <v>1</v>
      </c>
      <c r="AK631">
        <v>54</v>
      </c>
      <c r="AL631" t="s">
        <v>155</v>
      </c>
      <c r="AM631" t="s">
        <v>156</v>
      </c>
      <c r="AN631" t="s">
        <v>157</v>
      </c>
      <c r="AO631" t="s">
        <v>11920</v>
      </c>
      <c r="AP631" t="s">
        <v>74</v>
      </c>
      <c r="AQ631" t="s">
        <v>74</v>
      </c>
      <c r="AR631" t="s">
        <v>11921</v>
      </c>
      <c r="AS631" t="s">
        <v>11922</v>
      </c>
      <c r="AT631" t="s">
        <v>9913</v>
      </c>
      <c r="AU631">
        <v>2011</v>
      </c>
      <c r="AV631">
        <v>42</v>
      </c>
      <c r="AW631">
        <v>10</v>
      </c>
      <c r="AX631" t="s">
        <v>74</v>
      </c>
      <c r="AY631" t="s">
        <v>74</v>
      </c>
      <c r="AZ631" t="s">
        <v>74</v>
      </c>
      <c r="BA631" t="s">
        <v>74</v>
      </c>
      <c r="BB631">
        <v>1216</v>
      </c>
      <c r="BC631">
        <v>1225</v>
      </c>
      <c r="BD631" t="s">
        <v>74</v>
      </c>
      <c r="BE631" t="s">
        <v>11923</v>
      </c>
      <c r="BF631" t="str">
        <f>HYPERLINK("http://dx.doi.org/10.1016/j.orggeochem.2011.08.005","http://dx.doi.org/10.1016/j.orggeochem.2011.08.005")</f>
        <v>http://dx.doi.org/10.1016/j.orggeochem.2011.08.005</v>
      </c>
      <c r="BG631" t="s">
        <v>74</v>
      </c>
      <c r="BH631" t="s">
        <v>74</v>
      </c>
      <c r="BI631">
        <v>10</v>
      </c>
      <c r="BJ631" t="s">
        <v>164</v>
      </c>
      <c r="BK631" t="s">
        <v>100</v>
      </c>
      <c r="BL631" t="s">
        <v>164</v>
      </c>
      <c r="BM631" t="s">
        <v>11924</v>
      </c>
      <c r="BN631" t="s">
        <v>74</v>
      </c>
      <c r="BO631" t="s">
        <v>74</v>
      </c>
      <c r="BP631" t="s">
        <v>74</v>
      </c>
      <c r="BQ631" t="s">
        <v>74</v>
      </c>
      <c r="BR631" t="s">
        <v>102</v>
      </c>
      <c r="BS631" t="s">
        <v>11925</v>
      </c>
      <c r="BT631" t="str">
        <f>HYPERLINK("https%3A%2F%2Fwww.webofscience.com%2Fwos%2Fwoscc%2Ffull-record%2FWOS:000297926100006","View Full Record in Web of Science")</f>
        <v>View Full Record in Web of Science</v>
      </c>
    </row>
    <row r="632" spans="1:72" x14ac:dyDescent="0.15">
      <c r="A632" t="s">
        <v>72</v>
      </c>
      <c r="B632" t="s">
        <v>4231</v>
      </c>
      <c r="C632" t="s">
        <v>74</v>
      </c>
      <c r="D632" t="s">
        <v>74</v>
      </c>
      <c r="E632" t="s">
        <v>74</v>
      </c>
      <c r="F632" t="s">
        <v>4233</v>
      </c>
      <c r="G632" t="s">
        <v>74</v>
      </c>
      <c r="H632" t="s">
        <v>74</v>
      </c>
      <c r="I632" t="s">
        <v>11926</v>
      </c>
      <c r="J632" t="s">
        <v>5283</v>
      </c>
      <c r="K632" t="s">
        <v>74</v>
      </c>
      <c r="L632" t="s">
        <v>74</v>
      </c>
      <c r="M632" t="s">
        <v>78</v>
      </c>
      <c r="N632" t="s">
        <v>810</v>
      </c>
      <c r="O632" t="s">
        <v>74</v>
      </c>
      <c r="P632" t="s">
        <v>74</v>
      </c>
      <c r="Q632" t="s">
        <v>74</v>
      </c>
      <c r="R632" t="s">
        <v>74</v>
      </c>
      <c r="S632" t="s">
        <v>74</v>
      </c>
      <c r="T632" t="s">
        <v>74</v>
      </c>
      <c r="U632" t="s">
        <v>74</v>
      </c>
      <c r="V632" t="s">
        <v>74</v>
      </c>
      <c r="W632" t="s">
        <v>4237</v>
      </c>
      <c r="X632" t="s">
        <v>4238</v>
      </c>
      <c r="Y632" t="s">
        <v>4239</v>
      </c>
      <c r="Z632" t="s">
        <v>11927</v>
      </c>
      <c r="AA632" t="s">
        <v>4241</v>
      </c>
      <c r="AB632" t="s">
        <v>4242</v>
      </c>
      <c r="AC632" t="s">
        <v>74</v>
      </c>
      <c r="AD632" t="s">
        <v>74</v>
      </c>
      <c r="AE632" t="s">
        <v>74</v>
      </c>
      <c r="AF632" t="s">
        <v>74</v>
      </c>
      <c r="AG632">
        <v>13</v>
      </c>
      <c r="AH632">
        <v>15</v>
      </c>
      <c r="AI632">
        <v>17</v>
      </c>
      <c r="AJ632">
        <v>1</v>
      </c>
      <c r="AK632">
        <v>25</v>
      </c>
      <c r="AL632" t="s">
        <v>250</v>
      </c>
      <c r="AM632" t="s">
        <v>413</v>
      </c>
      <c r="AN632" t="s">
        <v>514</v>
      </c>
      <c r="AO632" t="s">
        <v>5295</v>
      </c>
      <c r="AP632" t="s">
        <v>74</v>
      </c>
      <c r="AQ632" t="s">
        <v>74</v>
      </c>
      <c r="AR632" t="s">
        <v>5297</v>
      </c>
      <c r="AS632" t="s">
        <v>5298</v>
      </c>
      <c r="AT632" t="s">
        <v>9913</v>
      </c>
      <c r="AU632">
        <v>2011</v>
      </c>
      <c r="AV632">
        <v>34</v>
      </c>
      <c r="AW632">
        <v>11</v>
      </c>
      <c r="AX632" t="s">
        <v>74</v>
      </c>
      <c r="AY632" t="s">
        <v>74</v>
      </c>
      <c r="AZ632" t="s">
        <v>74</v>
      </c>
      <c r="BA632" t="s">
        <v>74</v>
      </c>
      <c r="BB632">
        <v>1625</v>
      </c>
      <c r="BC632">
        <v>1627</v>
      </c>
      <c r="BD632" t="s">
        <v>74</v>
      </c>
      <c r="BE632" t="s">
        <v>11928</v>
      </c>
      <c r="BF632" t="str">
        <f>HYPERLINK("http://dx.doi.org/10.1007/s00300-011-1108-9","http://dx.doi.org/10.1007/s00300-011-1108-9")</f>
        <v>http://dx.doi.org/10.1007/s00300-011-1108-9</v>
      </c>
      <c r="BG632" t="s">
        <v>74</v>
      </c>
      <c r="BH632" t="s">
        <v>74</v>
      </c>
      <c r="BI632">
        <v>3</v>
      </c>
      <c r="BJ632" t="s">
        <v>5300</v>
      </c>
      <c r="BK632" t="s">
        <v>100</v>
      </c>
      <c r="BL632" t="s">
        <v>3505</v>
      </c>
      <c r="BM632" t="s">
        <v>10574</v>
      </c>
      <c r="BN632" t="s">
        <v>74</v>
      </c>
      <c r="BO632" t="s">
        <v>365</v>
      </c>
      <c r="BP632" t="s">
        <v>74</v>
      </c>
      <c r="BQ632" t="s">
        <v>74</v>
      </c>
      <c r="BR632" t="s">
        <v>102</v>
      </c>
      <c r="BS632" t="s">
        <v>11929</v>
      </c>
      <c r="BT632" t="str">
        <f>HYPERLINK("https%3A%2F%2Fwww.webofscience.com%2Fwos%2Fwoscc%2Ffull-record%2FWOS:000297202900001","View Full Record in Web of Science")</f>
        <v>View Full Record in Web of Science</v>
      </c>
    </row>
    <row r="633" spans="1:72" x14ac:dyDescent="0.15">
      <c r="A633" t="s">
        <v>72</v>
      </c>
      <c r="B633" t="s">
        <v>11930</v>
      </c>
      <c r="C633" t="s">
        <v>74</v>
      </c>
      <c r="D633" t="s">
        <v>74</v>
      </c>
      <c r="E633" t="s">
        <v>74</v>
      </c>
      <c r="F633" t="s">
        <v>11931</v>
      </c>
      <c r="G633" t="s">
        <v>74</v>
      </c>
      <c r="H633" t="s">
        <v>74</v>
      </c>
      <c r="I633" t="s">
        <v>11932</v>
      </c>
      <c r="J633" t="s">
        <v>5283</v>
      </c>
      <c r="K633" t="s">
        <v>74</v>
      </c>
      <c r="L633" t="s">
        <v>74</v>
      </c>
      <c r="M633" t="s">
        <v>78</v>
      </c>
      <c r="N633" t="s">
        <v>79</v>
      </c>
      <c r="O633" t="s">
        <v>74</v>
      </c>
      <c r="P633" t="s">
        <v>74</v>
      </c>
      <c r="Q633" t="s">
        <v>74</v>
      </c>
      <c r="R633" t="s">
        <v>74</v>
      </c>
      <c r="S633" t="s">
        <v>74</v>
      </c>
      <c r="T633" t="s">
        <v>11933</v>
      </c>
      <c r="U633" t="s">
        <v>11934</v>
      </c>
      <c r="V633" t="s">
        <v>11935</v>
      </c>
      <c r="W633" t="s">
        <v>1720</v>
      </c>
      <c r="X633" t="s">
        <v>527</v>
      </c>
      <c r="Y633" t="s">
        <v>11936</v>
      </c>
      <c r="Z633" t="s">
        <v>11937</v>
      </c>
      <c r="AA633" t="s">
        <v>11938</v>
      </c>
      <c r="AB633" t="s">
        <v>3862</v>
      </c>
      <c r="AC633" t="s">
        <v>585</v>
      </c>
      <c r="AD633" t="s">
        <v>586</v>
      </c>
      <c r="AE633" t="s">
        <v>74</v>
      </c>
      <c r="AF633" t="s">
        <v>74</v>
      </c>
      <c r="AG633">
        <v>159</v>
      </c>
      <c r="AH633">
        <v>119</v>
      </c>
      <c r="AI633">
        <v>130</v>
      </c>
      <c r="AJ633">
        <v>0</v>
      </c>
      <c r="AK633">
        <v>79</v>
      </c>
      <c r="AL633" t="s">
        <v>250</v>
      </c>
      <c r="AM633" t="s">
        <v>413</v>
      </c>
      <c r="AN633" t="s">
        <v>514</v>
      </c>
      <c r="AO633" t="s">
        <v>5295</v>
      </c>
      <c r="AP633" t="s">
        <v>5296</v>
      </c>
      <c r="AQ633" t="s">
        <v>74</v>
      </c>
      <c r="AR633" t="s">
        <v>5297</v>
      </c>
      <c r="AS633" t="s">
        <v>5298</v>
      </c>
      <c r="AT633" t="s">
        <v>9913</v>
      </c>
      <c r="AU633">
        <v>2011</v>
      </c>
      <c r="AV633">
        <v>34</v>
      </c>
      <c r="AW633">
        <v>11</v>
      </c>
      <c r="AX633" t="s">
        <v>74</v>
      </c>
      <c r="AY633" t="s">
        <v>74</v>
      </c>
      <c r="AZ633" t="s">
        <v>74</v>
      </c>
      <c r="BA633" t="s">
        <v>74</v>
      </c>
      <c r="BB633">
        <v>1629</v>
      </c>
      <c r="BC633">
        <v>1641</v>
      </c>
      <c r="BD633" t="s">
        <v>74</v>
      </c>
      <c r="BE633" t="s">
        <v>11939</v>
      </c>
      <c r="BF633" t="str">
        <f>HYPERLINK("http://dx.doi.org/10.1007/s00300-011-1068-0","http://dx.doi.org/10.1007/s00300-011-1068-0")</f>
        <v>http://dx.doi.org/10.1007/s00300-011-1068-0</v>
      </c>
      <c r="BG633" t="s">
        <v>74</v>
      </c>
      <c r="BH633" t="s">
        <v>74</v>
      </c>
      <c r="BI633">
        <v>13</v>
      </c>
      <c r="BJ633" t="s">
        <v>5300</v>
      </c>
      <c r="BK633" t="s">
        <v>100</v>
      </c>
      <c r="BL633" t="s">
        <v>3505</v>
      </c>
      <c r="BM633" t="s">
        <v>10574</v>
      </c>
      <c r="BN633" t="s">
        <v>74</v>
      </c>
      <c r="BO633" t="s">
        <v>74</v>
      </c>
      <c r="BP633" t="s">
        <v>74</v>
      </c>
      <c r="BQ633" t="s">
        <v>74</v>
      </c>
      <c r="BR633" t="s">
        <v>102</v>
      </c>
      <c r="BS633" t="s">
        <v>11940</v>
      </c>
      <c r="BT633" t="str">
        <f>HYPERLINK("https%3A%2F%2Fwww.webofscience.com%2Fwos%2Fwoscc%2Ffull-record%2FWOS:000297202900002","View Full Record in Web of Science")</f>
        <v>View Full Record in Web of Science</v>
      </c>
    </row>
    <row r="634" spans="1:72" x14ac:dyDescent="0.15">
      <c r="A634" t="s">
        <v>72</v>
      </c>
      <c r="B634" t="s">
        <v>11941</v>
      </c>
      <c r="C634" t="s">
        <v>74</v>
      </c>
      <c r="D634" t="s">
        <v>74</v>
      </c>
      <c r="E634" t="s">
        <v>74</v>
      </c>
      <c r="F634" t="s">
        <v>11942</v>
      </c>
      <c r="G634" t="s">
        <v>74</v>
      </c>
      <c r="H634" t="s">
        <v>74</v>
      </c>
      <c r="I634" t="s">
        <v>11943</v>
      </c>
      <c r="J634" t="s">
        <v>5283</v>
      </c>
      <c r="K634" t="s">
        <v>74</v>
      </c>
      <c r="L634" t="s">
        <v>74</v>
      </c>
      <c r="M634" t="s">
        <v>78</v>
      </c>
      <c r="N634" t="s">
        <v>79</v>
      </c>
      <c r="O634" t="s">
        <v>74</v>
      </c>
      <c r="P634" t="s">
        <v>74</v>
      </c>
      <c r="Q634" t="s">
        <v>74</v>
      </c>
      <c r="R634" t="s">
        <v>74</v>
      </c>
      <c r="S634" t="s">
        <v>74</v>
      </c>
      <c r="T634" t="s">
        <v>11944</v>
      </c>
      <c r="U634" t="s">
        <v>11945</v>
      </c>
      <c r="V634" t="s">
        <v>11946</v>
      </c>
      <c r="W634" t="s">
        <v>11947</v>
      </c>
      <c r="X634" t="s">
        <v>11948</v>
      </c>
      <c r="Y634" t="s">
        <v>11949</v>
      </c>
      <c r="Z634" t="s">
        <v>11950</v>
      </c>
      <c r="AA634" t="s">
        <v>11951</v>
      </c>
      <c r="AB634" t="s">
        <v>11952</v>
      </c>
      <c r="AC634" t="s">
        <v>11953</v>
      </c>
      <c r="AD634" t="s">
        <v>11954</v>
      </c>
      <c r="AE634" t="s">
        <v>11955</v>
      </c>
      <c r="AF634" t="s">
        <v>74</v>
      </c>
      <c r="AG634">
        <v>53</v>
      </c>
      <c r="AH634">
        <v>83</v>
      </c>
      <c r="AI634">
        <v>86</v>
      </c>
      <c r="AJ634">
        <v>3</v>
      </c>
      <c r="AK634">
        <v>37</v>
      </c>
      <c r="AL634" t="s">
        <v>250</v>
      </c>
      <c r="AM634" t="s">
        <v>413</v>
      </c>
      <c r="AN634" t="s">
        <v>514</v>
      </c>
      <c r="AO634" t="s">
        <v>5295</v>
      </c>
      <c r="AP634" t="s">
        <v>5296</v>
      </c>
      <c r="AQ634" t="s">
        <v>74</v>
      </c>
      <c r="AR634" t="s">
        <v>5297</v>
      </c>
      <c r="AS634" t="s">
        <v>5298</v>
      </c>
      <c r="AT634" t="s">
        <v>9913</v>
      </c>
      <c r="AU634">
        <v>2011</v>
      </c>
      <c r="AV634">
        <v>34</v>
      </c>
      <c r="AW634">
        <v>11</v>
      </c>
      <c r="AX634" t="s">
        <v>74</v>
      </c>
      <c r="AY634" t="s">
        <v>74</v>
      </c>
      <c r="AZ634" t="s">
        <v>74</v>
      </c>
      <c r="BA634" t="s">
        <v>74</v>
      </c>
      <c r="BB634">
        <v>1643</v>
      </c>
      <c r="BC634">
        <v>1656</v>
      </c>
      <c r="BD634" t="s">
        <v>74</v>
      </c>
      <c r="BE634" t="s">
        <v>11956</v>
      </c>
      <c r="BF634" t="str">
        <f>HYPERLINK("http://dx.doi.org/10.1007/s00300-011-1058-2","http://dx.doi.org/10.1007/s00300-011-1058-2")</f>
        <v>http://dx.doi.org/10.1007/s00300-011-1058-2</v>
      </c>
      <c r="BG634" t="s">
        <v>74</v>
      </c>
      <c r="BH634" t="s">
        <v>74</v>
      </c>
      <c r="BI634">
        <v>14</v>
      </c>
      <c r="BJ634" t="s">
        <v>5300</v>
      </c>
      <c r="BK634" t="s">
        <v>100</v>
      </c>
      <c r="BL634" t="s">
        <v>3505</v>
      </c>
      <c r="BM634" t="s">
        <v>10574</v>
      </c>
      <c r="BN634" t="s">
        <v>74</v>
      </c>
      <c r="BO634" t="s">
        <v>74</v>
      </c>
      <c r="BP634" t="s">
        <v>74</v>
      </c>
      <c r="BQ634" t="s">
        <v>74</v>
      </c>
      <c r="BR634" t="s">
        <v>102</v>
      </c>
      <c r="BS634" t="s">
        <v>11957</v>
      </c>
      <c r="BT634" t="str">
        <f>HYPERLINK("https%3A%2F%2Fwww.webofscience.com%2Fwos%2Fwoscc%2Ffull-record%2FWOS:000297202900003","View Full Record in Web of Science")</f>
        <v>View Full Record in Web of Science</v>
      </c>
    </row>
    <row r="635" spans="1:72" x14ac:dyDescent="0.15">
      <c r="A635" t="s">
        <v>72</v>
      </c>
      <c r="B635" t="s">
        <v>11958</v>
      </c>
      <c r="C635" t="s">
        <v>74</v>
      </c>
      <c r="D635" t="s">
        <v>74</v>
      </c>
      <c r="E635" t="s">
        <v>74</v>
      </c>
      <c r="F635" t="s">
        <v>11959</v>
      </c>
      <c r="G635" t="s">
        <v>74</v>
      </c>
      <c r="H635" t="s">
        <v>74</v>
      </c>
      <c r="I635" t="s">
        <v>11960</v>
      </c>
      <c r="J635" t="s">
        <v>5283</v>
      </c>
      <c r="K635" t="s">
        <v>74</v>
      </c>
      <c r="L635" t="s">
        <v>74</v>
      </c>
      <c r="M635" t="s">
        <v>78</v>
      </c>
      <c r="N635" t="s">
        <v>79</v>
      </c>
      <c r="O635" t="s">
        <v>74</v>
      </c>
      <c r="P635" t="s">
        <v>74</v>
      </c>
      <c r="Q635" t="s">
        <v>74</v>
      </c>
      <c r="R635" t="s">
        <v>74</v>
      </c>
      <c r="S635" t="s">
        <v>74</v>
      </c>
      <c r="T635" t="s">
        <v>11961</v>
      </c>
      <c r="U635" t="s">
        <v>11962</v>
      </c>
      <c r="V635" t="s">
        <v>11963</v>
      </c>
      <c r="W635" t="s">
        <v>11964</v>
      </c>
      <c r="X635" t="s">
        <v>11965</v>
      </c>
      <c r="Y635" t="s">
        <v>11966</v>
      </c>
      <c r="Z635" t="s">
        <v>86</v>
      </c>
      <c r="AA635" t="s">
        <v>11967</v>
      </c>
      <c r="AB635" t="s">
        <v>11968</v>
      </c>
      <c r="AC635" t="s">
        <v>11969</v>
      </c>
      <c r="AD635" t="s">
        <v>11970</v>
      </c>
      <c r="AE635" t="s">
        <v>11971</v>
      </c>
      <c r="AF635" t="s">
        <v>74</v>
      </c>
      <c r="AG635">
        <v>51</v>
      </c>
      <c r="AH635">
        <v>41</v>
      </c>
      <c r="AI635">
        <v>50</v>
      </c>
      <c r="AJ635">
        <v>3</v>
      </c>
      <c r="AK635">
        <v>38</v>
      </c>
      <c r="AL635" t="s">
        <v>250</v>
      </c>
      <c r="AM635" t="s">
        <v>413</v>
      </c>
      <c r="AN635" t="s">
        <v>490</v>
      </c>
      <c r="AO635" t="s">
        <v>5295</v>
      </c>
      <c r="AP635" t="s">
        <v>5296</v>
      </c>
      <c r="AQ635" t="s">
        <v>74</v>
      </c>
      <c r="AR635" t="s">
        <v>5297</v>
      </c>
      <c r="AS635" t="s">
        <v>5298</v>
      </c>
      <c r="AT635" t="s">
        <v>9913</v>
      </c>
      <c r="AU635">
        <v>2011</v>
      </c>
      <c r="AV635">
        <v>34</v>
      </c>
      <c r="AW635">
        <v>11</v>
      </c>
      <c r="AX635" t="s">
        <v>74</v>
      </c>
      <c r="AY635" t="s">
        <v>74</v>
      </c>
      <c r="AZ635" t="s">
        <v>74</v>
      </c>
      <c r="BA635" t="s">
        <v>74</v>
      </c>
      <c r="BB635">
        <v>1657</v>
      </c>
      <c r="BC635">
        <v>1668</v>
      </c>
      <c r="BD635" t="s">
        <v>74</v>
      </c>
      <c r="BE635" t="s">
        <v>11972</v>
      </c>
      <c r="BF635" t="str">
        <f>HYPERLINK("http://dx.doi.org/10.1007/s00300-011-1061-7","http://dx.doi.org/10.1007/s00300-011-1061-7")</f>
        <v>http://dx.doi.org/10.1007/s00300-011-1061-7</v>
      </c>
      <c r="BG635" t="s">
        <v>74</v>
      </c>
      <c r="BH635" t="s">
        <v>74</v>
      </c>
      <c r="BI635">
        <v>12</v>
      </c>
      <c r="BJ635" t="s">
        <v>5300</v>
      </c>
      <c r="BK635" t="s">
        <v>100</v>
      </c>
      <c r="BL635" t="s">
        <v>3505</v>
      </c>
      <c r="BM635" t="s">
        <v>10574</v>
      </c>
      <c r="BN635" t="s">
        <v>74</v>
      </c>
      <c r="BO635" t="s">
        <v>74</v>
      </c>
      <c r="BP635" t="s">
        <v>74</v>
      </c>
      <c r="BQ635" t="s">
        <v>74</v>
      </c>
      <c r="BR635" t="s">
        <v>102</v>
      </c>
      <c r="BS635" t="s">
        <v>11973</v>
      </c>
      <c r="BT635" t="str">
        <f>HYPERLINK("https%3A%2F%2Fwww.webofscience.com%2Fwos%2Fwoscc%2Ffull-record%2FWOS:000297202900004","View Full Record in Web of Science")</f>
        <v>View Full Record in Web of Science</v>
      </c>
    </row>
    <row r="636" spans="1:72" x14ac:dyDescent="0.15">
      <c r="A636" t="s">
        <v>72</v>
      </c>
      <c r="B636" t="s">
        <v>11974</v>
      </c>
      <c r="C636" t="s">
        <v>74</v>
      </c>
      <c r="D636" t="s">
        <v>74</v>
      </c>
      <c r="E636" t="s">
        <v>74</v>
      </c>
      <c r="F636" t="s">
        <v>11975</v>
      </c>
      <c r="G636" t="s">
        <v>74</v>
      </c>
      <c r="H636" t="s">
        <v>74</v>
      </c>
      <c r="I636" t="s">
        <v>11976</v>
      </c>
      <c r="J636" t="s">
        <v>5283</v>
      </c>
      <c r="K636" t="s">
        <v>74</v>
      </c>
      <c r="L636" t="s">
        <v>74</v>
      </c>
      <c r="M636" t="s">
        <v>78</v>
      </c>
      <c r="N636" t="s">
        <v>79</v>
      </c>
      <c r="O636" t="s">
        <v>74</v>
      </c>
      <c r="P636" t="s">
        <v>74</v>
      </c>
      <c r="Q636" t="s">
        <v>74</v>
      </c>
      <c r="R636" t="s">
        <v>74</v>
      </c>
      <c r="S636" t="s">
        <v>74</v>
      </c>
      <c r="T636" t="s">
        <v>11977</v>
      </c>
      <c r="U636" t="s">
        <v>11978</v>
      </c>
      <c r="V636" t="s">
        <v>11979</v>
      </c>
      <c r="W636" t="s">
        <v>11980</v>
      </c>
      <c r="X636" t="s">
        <v>1090</v>
      </c>
      <c r="Y636" t="s">
        <v>11981</v>
      </c>
      <c r="Z636" t="s">
        <v>11982</v>
      </c>
      <c r="AA636" t="s">
        <v>11983</v>
      </c>
      <c r="AB636" t="s">
        <v>11984</v>
      </c>
      <c r="AC636" t="s">
        <v>11985</v>
      </c>
      <c r="AD636" t="s">
        <v>11986</v>
      </c>
      <c r="AE636" t="s">
        <v>11987</v>
      </c>
      <c r="AF636" t="s">
        <v>74</v>
      </c>
      <c r="AG636">
        <v>41</v>
      </c>
      <c r="AH636">
        <v>47</v>
      </c>
      <c r="AI636">
        <v>48</v>
      </c>
      <c r="AJ636">
        <v>0</v>
      </c>
      <c r="AK636">
        <v>32</v>
      </c>
      <c r="AL636" t="s">
        <v>250</v>
      </c>
      <c r="AM636" t="s">
        <v>413</v>
      </c>
      <c r="AN636" t="s">
        <v>514</v>
      </c>
      <c r="AO636" t="s">
        <v>5295</v>
      </c>
      <c r="AP636" t="s">
        <v>74</v>
      </c>
      <c r="AQ636" t="s">
        <v>74</v>
      </c>
      <c r="AR636" t="s">
        <v>5297</v>
      </c>
      <c r="AS636" t="s">
        <v>5298</v>
      </c>
      <c r="AT636" t="s">
        <v>9913</v>
      </c>
      <c r="AU636">
        <v>2011</v>
      </c>
      <c r="AV636">
        <v>34</v>
      </c>
      <c r="AW636">
        <v>11</v>
      </c>
      <c r="AX636" t="s">
        <v>74</v>
      </c>
      <c r="AY636" t="s">
        <v>74</v>
      </c>
      <c r="AZ636" t="s">
        <v>74</v>
      </c>
      <c r="BA636" t="s">
        <v>74</v>
      </c>
      <c r="BB636">
        <v>1679</v>
      </c>
      <c r="BC636">
        <v>1688</v>
      </c>
      <c r="BD636" t="s">
        <v>74</v>
      </c>
      <c r="BE636" t="s">
        <v>11988</v>
      </c>
      <c r="BF636" t="str">
        <f>HYPERLINK("http://dx.doi.org/10.1007/s00300-011-1099-6","http://dx.doi.org/10.1007/s00300-011-1099-6")</f>
        <v>http://dx.doi.org/10.1007/s00300-011-1099-6</v>
      </c>
      <c r="BG636" t="s">
        <v>74</v>
      </c>
      <c r="BH636" t="s">
        <v>74</v>
      </c>
      <c r="BI636">
        <v>10</v>
      </c>
      <c r="BJ636" t="s">
        <v>5300</v>
      </c>
      <c r="BK636" t="s">
        <v>100</v>
      </c>
      <c r="BL636" t="s">
        <v>3505</v>
      </c>
      <c r="BM636" t="s">
        <v>10574</v>
      </c>
      <c r="BN636" t="s">
        <v>74</v>
      </c>
      <c r="BO636" t="s">
        <v>74</v>
      </c>
      <c r="BP636" t="s">
        <v>74</v>
      </c>
      <c r="BQ636" t="s">
        <v>74</v>
      </c>
      <c r="BR636" t="s">
        <v>102</v>
      </c>
      <c r="BS636" t="s">
        <v>11989</v>
      </c>
      <c r="BT636" t="str">
        <f>HYPERLINK("https%3A%2F%2Fwww.webofscience.com%2Fwos%2Fwoscc%2Ffull-record%2FWOS:000297202900006","View Full Record in Web of Science")</f>
        <v>View Full Record in Web of Science</v>
      </c>
    </row>
    <row r="637" spans="1:72" x14ac:dyDescent="0.15">
      <c r="A637" t="s">
        <v>72</v>
      </c>
      <c r="B637" t="s">
        <v>11990</v>
      </c>
      <c r="C637" t="s">
        <v>74</v>
      </c>
      <c r="D637" t="s">
        <v>74</v>
      </c>
      <c r="E637" t="s">
        <v>74</v>
      </c>
      <c r="F637" t="s">
        <v>11991</v>
      </c>
      <c r="G637" t="s">
        <v>74</v>
      </c>
      <c r="H637" t="s">
        <v>74</v>
      </c>
      <c r="I637" t="s">
        <v>11992</v>
      </c>
      <c r="J637" t="s">
        <v>5283</v>
      </c>
      <c r="K637" t="s">
        <v>74</v>
      </c>
      <c r="L637" t="s">
        <v>74</v>
      </c>
      <c r="M637" t="s">
        <v>78</v>
      </c>
      <c r="N637" t="s">
        <v>79</v>
      </c>
      <c r="O637" t="s">
        <v>74</v>
      </c>
      <c r="P637" t="s">
        <v>74</v>
      </c>
      <c r="Q637" t="s">
        <v>74</v>
      </c>
      <c r="R637" t="s">
        <v>74</v>
      </c>
      <c r="S637" t="s">
        <v>74</v>
      </c>
      <c r="T637" t="s">
        <v>11993</v>
      </c>
      <c r="U637" t="s">
        <v>11994</v>
      </c>
      <c r="V637" t="s">
        <v>11995</v>
      </c>
      <c r="W637" t="s">
        <v>11996</v>
      </c>
      <c r="X637" t="s">
        <v>11997</v>
      </c>
      <c r="Y637" t="s">
        <v>11998</v>
      </c>
      <c r="Z637" t="s">
        <v>11999</v>
      </c>
      <c r="AA637" t="s">
        <v>74</v>
      </c>
      <c r="AB637" t="s">
        <v>74</v>
      </c>
      <c r="AC637" t="s">
        <v>12000</v>
      </c>
      <c r="AD637" t="s">
        <v>12001</v>
      </c>
      <c r="AE637" t="s">
        <v>12002</v>
      </c>
      <c r="AF637" t="s">
        <v>74</v>
      </c>
      <c r="AG637">
        <v>54</v>
      </c>
      <c r="AH637">
        <v>22</v>
      </c>
      <c r="AI637">
        <v>23</v>
      </c>
      <c r="AJ637">
        <v>3</v>
      </c>
      <c r="AK637">
        <v>41</v>
      </c>
      <c r="AL637" t="s">
        <v>250</v>
      </c>
      <c r="AM637" t="s">
        <v>413</v>
      </c>
      <c r="AN637" t="s">
        <v>490</v>
      </c>
      <c r="AO637" t="s">
        <v>5295</v>
      </c>
      <c r="AP637" t="s">
        <v>5296</v>
      </c>
      <c r="AQ637" t="s">
        <v>74</v>
      </c>
      <c r="AR637" t="s">
        <v>5297</v>
      </c>
      <c r="AS637" t="s">
        <v>5298</v>
      </c>
      <c r="AT637" t="s">
        <v>9913</v>
      </c>
      <c r="AU637">
        <v>2011</v>
      </c>
      <c r="AV637">
        <v>34</v>
      </c>
      <c r="AW637">
        <v>11</v>
      </c>
      <c r="AX637" t="s">
        <v>74</v>
      </c>
      <c r="AY637" t="s">
        <v>74</v>
      </c>
      <c r="AZ637" t="s">
        <v>74</v>
      </c>
      <c r="BA637" t="s">
        <v>74</v>
      </c>
      <c r="BB637">
        <v>1689</v>
      </c>
      <c r="BC637">
        <v>1700</v>
      </c>
      <c r="BD637" t="s">
        <v>74</v>
      </c>
      <c r="BE637" t="s">
        <v>12003</v>
      </c>
      <c r="BF637" t="str">
        <f>HYPERLINK("http://dx.doi.org/10.1007/s00300-011-1069-z","http://dx.doi.org/10.1007/s00300-011-1069-z")</f>
        <v>http://dx.doi.org/10.1007/s00300-011-1069-z</v>
      </c>
      <c r="BG637" t="s">
        <v>74</v>
      </c>
      <c r="BH637" t="s">
        <v>74</v>
      </c>
      <c r="BI637">
        <v>12</v>
      </c>
      <c r="BJ637" t="s">
        <v>5300</v>
      </c>
      <c r="BK637" t="s">
        <v>100</v>
      </c>
      <c r="BL637" t="s">
        <v>3505</v>
      </c>
      <c r="BM637" t="s">
        <v>10574</v>
      </c>
      <c r="BN637" t="s">
        <v>74</v>
      </c>
      <c r="BO637" t="s">
        <v>74</v>
      </c>
      <c r="BP637" t="s">
        <v>74</v>
      </c>
      <c r="BQ637" t="s">
        <v>74</v>
      </c>
      <c r="BR637" t="s">
        <v>102</v>
      </c>
      <c r="BS637" t="s">
        <v>12004</v>
      </c>
      <c r="BT637" t="str">
        <f>HYPERLINK("https%3A%2F%2Fwww.webofscience.com%2Fwos%2Fwoscc%2Ffull-record%2FWOS:000297202900007","View Full Record in Web of Science")</f>
        <v>View Full Record in Web of Science</v>
      </c>
    </row>
    <row r="638" spans="1:72" x14ac:dyDescent="0.15">
      <c r="A638" t="s">
        <v>72</v>
      </c>
      <c r="B638" t="s">
        <v>12005</v>
      </c>
      <c r="C638" t="s">
        <v>74</v>
      </c>
      <c r="D638" t="s">
        <v>74</v>
      </c>
      <c r="E638" t="s">
        <v>74</v>
      </c>
      <c r="F638" t="s">
        <v>12006</v>
      </c>
      <c r="G638" t="s">
        <v>74</v>
      </c>
      <c r="H638" t="s">
        <v>74</v>
      </c>
      <c r="I638" t="s">
        <v>12007</v>
      </c>
      <c r="J638" t="s">
        <v>5283</v>
      </c>
      <c r="K638" t="s">
        <v>74</v>
      </c>
      <c r="L638" t="s">
        <v>74</v>
      </c>
      <c r="M638" t="s">
        <v>78</v>
      </c>
      <c r="N638" t="s">
        <v>79</v>
      </c>
      <c r="O638" t="s">
        <v>74</v>
      </c>
      <c r="P638" t="s">
        <v>74</v>
      </c>
      <c r="Q638" t="s">
        <v>74</v>
      </c>
      <c r="R638" t="s">
        <v>74</v>
      </c>
      <c r="S638" t="s">
        <v>74</v>
      </c>
      <c r="T638" t="s">
        <v>12008</v>
      </c>
      <c r="U638" t="s">
        <v>12009</v>
      </c>
      <c r="V638" t="s">
        <v>12010</v>
      </c>
      <c r="W638" t="s">
        <v>12011</v>
      </c>
      <c r="X638" t="s">
        <v>12012</v>
      </c>
      <c r="Y638" t="s">
        <v>12013</v>
      </c>
      <c r="Z638" t="s">
        <v>12014</v>
      </c>
      <c r="AA638" t="s">
        <v>12015</v>
      </c>
      <c r="AB638" t="s">
        <v>12016</v>
      </c>
      <c r="AC638" t="s">
        <v>12017</v>
      </c>
      <c r="AD638" t="s">
        <v>12018</v>
      </c>
      <c r="AE638" t="s">
        <v>12019</v>
      </c>
      <c r="AF638" t="s">
        <v>74</v>
      </c>
      <c r="AG638">
        <v>45</v>
      </c>
      <c r="AH638">
        <v>10</v>
      </c>
      <c r="AI638">
        <v>10</v>
      </c>
      <c r="AJ638">
        <v>0</v>
      </c>
      <c r="AK638">
        <v>16</v>
      </c>
      <c r="AL638" t="s">
        <v>250</v>
      </c>
      <c r="AM638" t="s">
        <v>413</v>
      </c>
      <c r="AN638" t="s">
        <v>514</v>
      </c>
      <c r="AO638" t="s">
        <v>5295</v>
      </c>
      <c r="AP638" t="s">
        <v>74</v>
      </c>
      <c r="AQ638" t="s">
        <v>74</v>
      </c>
      <c r="AR638" t="s">
        <v>5297</v>
      </c>
      <c r="AS638" t="s">
        <v>5298</v>
      </c>
      <c r="AT638" t="s">
        <v>9913</v>
      </c>
      <c r="AU638">
        <v>2011</v>
      </c>
      <c r="AV638">
        <v>34</v>
      </c>
      <c r="AW638">
        <v>11</v>
      </c>
      <c r="AX638" t="s">
        <v>74</v>
      </c>
      <c r="AY638" t="s">
        <v>74</v>
      </c>
      <c r="AZ638" t="s">
        <v>74</v>
      </c>
      <c r="BA638" t="s">
        <v>74</v>
      </c>
      <c r="BB638">
        <v>1713</v>
      </c>
      <c r="BC638">
        <v>1725</v>
      </c>
      <c r="BD638" t="s">
        <v>74</v>
      </c>
      <c r="BE638" t="s">
        <v>12020</v>
      </c>
      <c r="BF638" t="str">
        <f>HYPERLINK("http://dx.doi.org/10.1007/s00300-011-1001-6","http://dx.doi.org/10.1007/s00300-011-1001-6")</f>
        <v>http://dx.doi.org/10.1007/s00300-011-1001-6</v>
      </c>
      <c r="BG638" t="s">
        <v>74</v>
      </c>
      <c r="BH638" t="s">
        <v>74</v>
      </c>
      <c r="BI638">
        <v>13</v>
      </c>
      <c r="BJ638" t="s">
        <v>5300</v>
      </c>
      <c r="BK638" t="s">
        <v>100</v>
      </c>
      <c r="BL638" t="s">
        <v>3505</v>
      </c>
      <c r="BM638" t="s">
        <v>10574</v>
      </c>
      <c r="BN638" t="s">
        <v>74</v>
      </c>
      <c r="BO638" t="s">
        <v>74</v>
      </c>
      <c r="BP638" t="s">
        <v>74</v>
      </c>
      <c r="BQ638" t="s">
        <v>74</v>
      </c>
      <c r="BR638" t="s">
        <v>102</v>
      </c>
      <c r="BS638" t="s">
        <v>12021</v>
      </c>
      <c r="BT638" t="str">
        <f>HYPERLINK("https%3A%2F%2Fwww.webofscience.com%2Fwos%2Fwoscc%2Ffull-record%2FWOS:000297202900009","View Full Record in Web of Science")</f>
        <v>View Full Record in Web of Science</v>
      </c>
    </row>
    <row r="639" spans="1:72" x14ac:dyDescent="0.15">
      <c r="A639" t="s">
        <v>72</v>
      </c>
      <c r="B639" t="s">
        <v>12022</v>
      </c>
      <c r="C639" t="s">
        <v>74</v>
      </c>
      <c r="D639" t="s">
        <v>74</v>
      </c>
      <c r="E639" t="s">
        <v>74</v>
      </c>
      <c r="F639" t="s">
        <v>12023</v>
      </c>
      <c r="G639" t="s">
        <v>74</v>
      </c>
      <c r="H639" t="s">
        <v>74</v>
      </c>
      <c r="I639" t="s">
        <v>12024</v>
      </c>
      <c r="J639" t="s">
        <v>5283</v>
      </c>
      <c r="K639" t="s">
        <v>74</v>
      </c>
      <c r="L639" t="s">
        <v>74</v>
      </c>
      <c r="M639" t="s">
        <v>78</v>
      </c>
      <c r="N639" t="s">
        <v>79</v>
      </c>
      <c r="O639" t="s">
        <v>74</v>
      </c>
      <c r="P639" t="s">
        <v>74</v>
      </c>
      <c r="Q639" t="s">
        <v>74</v>
      </c>
      <c r="R639" t="s">
        <v>74</v>
      </c>
      <c r="S639" t="s">
        <v>74</v>
      </c>
      <c r="T639" t="s">
        <v>12025</v>
      </c>
      <c r="U639" t="s">
        <v>12026</v>
      </c>
      <c r="V639" t="s">
        <v>12027</v>
      </c>
      <c r="W639" t="s">
        <v>12028</v>
      </c>
      <c r="X639" t="s">
        <v>12029</v>
      </c>
      <c r="Y639" t="s">
        <v>12030</v>
      </c>
      <c r="Z639" t="s">
        <v>12031</v>
      </c>
      <c r="AA639" t="s">
        <v>12032</v>
      </c>
      <c r="AB639" t="s">
        <v>12033</v>
      </c>
      <c r="AC639" t="s">
        <v>12034</v>
      </c>
      <c r="AD639" t="s">
        <v>12035</v>
      </c>
      <c r="AE639" t="s">
        <v>12036</v>
      </c>
      <c r="AF639" t="s">
        <v>74</v>
      </c>
      <c r="AG639">
        <v>76</v>
      </c>
      <c r="AH639">
        <v>35</v>
      </c>
      <c r="AI639">
        <v>37</v>
      </c>
      <c r="AJ639">
        <v>0</v>
      </c>
      <c r="AK639">
        <v>42</v>
      </c>
      <c r="AL639" t="s">
        <v>250</v>
      </c>
      <c r="AM639" t="s">
        <v>413</v>
      </c>
      <c r="AN639" t="s">
        <v>514</v>
      </c>
      <c r="AO639" t="s">
        <v>5295</v>
      </c>
      <c r="AP639" t="s">
        <v>5296</v>
      </c>
      <c r="AQ639" t="s">
        <v>74</v>
      </c>
      <c r="AR639" t="s">
        <v>5297</v>
      </c>
      <c r="AS639" t="s">
        <v>5298</v>
      </c>
      <c r="AT639" t="s">
        <v>9913</v>
      </c>
      <c r="AU639">
        <v>2011</v>
      </c>
      <c r="AV639">
        <v>34</v>
      </c>
      <c r="AW639">
        <v>11</v>
      </c>
      <c r="AX639" t="s">
        <v>74</v>
      </c>
      <c r="AY639" t="s">
        <v>74</v>
      </c>
      <c r="AZ639" t="s">
        <v>74</v>
      </c>
      <c r="BA639" t="s">
        <v>74</v>
      </c>
      <c r="BB639">
        <v>1763</v>
      </c>
      <c r="BC639">
        <v>1773</v>
      </c>
      <c r="BD639" t="s">
        <v>74</v>
      </c>
      <c r="BE639" t="s">
        <v>12037</v>
      </c>
      <c r="BF639" t="str">
        <f>HYPERLINK("http://dx.doi.org/10.1007/s00300-011-1026-x","http://dx.doi.org/10.1007/s00300-011-1026-x")</f>
        <v>http://dx.doi.org/10.1007/s00300-011-1026-x</v>
      </c>
      <c r="BG639" t="s">
        <v>74</v>
      </c>
      <c r="BH639" t="s">
        <v>74</v>
      </c>
      <c r="BI639">
        <v>11</v>
      </c>
      <c r="BJ639" t="s">
        <v>5300</v>
      </c>
      <c r="BK639" t="s">
        <v>100</v>
      </c>
      <c r="BL639" t="s">
        <v>3505</v>
      </c>
      <c r="BM639" t="s">
        <v>10574</v>
      </c>
      <c r="BN639" t="s">
        <v>74</v>
      </c>
      <c r="BO639" t="s">
        <v>1796</v>
      </c>
      <c r="BP639" t="s">
        <v>74</v>
      </c>
      <c r="BQ639" t="s">
        <v>74</v>
      </c>
      <c r="BR639" t="s">
        <v>102</v>
      </c>
      <c r="BS639" t="s">
        <v>12038</v>
      </c>
      <c r="BT639" t="str">
        <f>HYPERLINK("https%3A%2F%2Fwww.webofscience.com%2Fwos%2Fwoscc%2Ffull-record%2FWOS:000297202900013","View Full Record in Web of Science")</f>
        <v>View Full Record in Web of Science</v>
      </c>
    </row>
    <row r="640" spans="1:72" x14ac:dyDescent="0.15">
      <c r="A640" t="s">
        <v>72</v>
      </c>
      <c r="B640" t="s">
        <v>12039</v>
      </c>
      <c r="C640" t="s">
        <v>74</v>
      </c>
      <c r="D640" t="s">
        <v>74</v>
      </c>
      <c r="E640" t="s">
        <v>74</v>
      </c>
      <c r="F640" t="s">
        <v>12040</v>
      </c>
      <c r="G640" t="s">
        <v>74</v>
      </c>
      <c r="H640" t="s">
        <v>74</v>
      </c>
      <c r="I640" t="s">
        <v>12041</v>
      </c>
      <c r="J640" t="s">
        <v>5283</v>
      </c>
      <c r="K640" t="s">
        <v>74</v>
      </c>
      <c r="L640" t="s">
        <v>74</v>
      </c>
      <c r="M640" t="s">
        <v>78</v>
      </c>
      <c r="N640" t="s">
        <v>79</v>
      </c>
      <c r="O640" t="s">
        <v>74</v>
      </c>
      <c r="P640" t="s">
        <v>74</v>
      </c>
      <c r="Q640" t="s">
        <v>74</v>
      </c>
      <c r="R640" t="s">
        <v>74</v>
      </c>
      <c r="S640" t="s">
        <v>74</v>
      </c>
      <c r="T640" t="s">
        <v>12042</v>
      </c>
      <c r="U640" t="s">
        <v>12043</v>
      </c>
      <c r="V640" t="s">
        <v>12044</v>
      </c>
      <c r="W640" t="s">
        <v>12045</v>
      </c>
      <c r="X640" t="s">
        <v>12046</v>
      </c>
      <c r="Y640" t="s">
        <v>12047</v>
      </c>
      <c r="Z640" t="s">
        <v>12048</v>
      </c>
      <c r="AA640" t="s">
        <v>74</v>
      </c>
      <c r="AB640" t="s">
        <v>74</v>
      </c>
      <c r="AC640" t="s">
        <v>12049</v>
      </c>
      <c r="AD640" t="s">
        <v>12050</v>
      </c>
      <c r="AE640" t="s">
        <v>12051</v>
      </c>
      <c r="AF640" t="s">
        <v>74</v>
      </c>
      <c r="AG640">
        <v>61</v>
      </c>
      <c r="AH640">
        <v>11</v>
      </c>
      <c r="AI640">
        <v>12</v>
      </c>
      <c r="AJ640">
        <v>0</v>
      </c>
      <c r="AK640">
        <v>33</v>
      </c>
      <c r="AL640" t="s">
        <v>250</v>
      </c>
      <c r="AM640" t="s">
        <v>413</v>
      </c>
      <c r="AN640" t="s">
        <v>514</v>
      </c>
      <c r="AO640" t="s">
        <v>5295</v>
      </c>
      <c r="AP640" t="s">
        <v>5296</v>
      </c>
      <c r="AQ640" t="s">
        <v>74</v>
      </c>
      <c r="AR640" t="s">
        <v>5297</v>
      </c>
      <c r="AS640" t="s">
        <v>5298</v>
      </c>
      <c r="AT640" t="s">
        <v>9913</v>
      </c>
      <c r="AU640">
        <v>2011</v>
      </c>
      <c r="AV640">
        <v>34</v>
      </c>
      <c r="AW640">
        <v>11</v>
      </c>
      <c r="AX640" t="s">
        <v>74</v>
      </c>
      <c r="AY640" t="s">
        <v>74</v>
      </c>
      <c r="AZ640" t="s">
        <v>74</v>
      </c>
      <c r="BA640" t="s">
        <v>74</v>
      </c>
      <c r="BB640">
        <v>1775</v>
      </c>
      <c r="BC640">
        <v>1782</v>
      </c>
      <c r="BD640" t="s">
        <v>74</v>
      </c>
      <c r="BE640" t="s">
        <v>12052</v>
      </c>
      <c r="BF640" t="str">
        <f>HYPERLINK("http://dx.doi.org/10.1007/s00300-011-1027-9","http://dx.doi.org/10.1007/s00300-011-1027-9")</f>
        <v>http://dx.doi.org/10.1007/s00300-011-1027-9</v>
      </c>
      <c r="BG640" t="s">
        <v>74</v>
      </c>
      <c r="BH640" t="s">
        <v>74</v>
      </c>
      <c r="BI640">
        <v>8</v>
      </c>
      <c r="BJ640" t="s">
        <v>5300</v>
      </c>
      <c r="BK640" t="s">
        <v>100</v>
      </c>
      <c r="BL640" t="s">
        <v>3505</v>
      </c>
      <c r="BM640" t="s">
        <v>10574</v>
      </c>
      <c r="BN640" t="s">
        <v>74</v>
      </c>
      <c r="BO640" t="s">
        <v>74</v>
      </c>
      <c r="BP640" t="s">
        <v>74</v>
      </c>
      <c r="BQ640" t="s">
        <v>74</v>
      </c>
      <c r="BR640" t="s">
        <v>102</v>
      </c>
      <c r="BS640" t="s">
        <v>12053</v>
      </c>
      <c r="BT640" t="str">
        <f>HYPERLINK("https%3A%2F%2Fwww.webofscience.com%2Fwos%2Fwoscc%2Ffull-record%2FWOS:000297202900014","View Full Record in Web of Science")</f>
        <v>View Full Record in Web of Science</v>
      </c>
    </row>
    <row r="641" spans="1:72" x14ac:dyDescent="0.15">
      <c r="A641" t="s">
        <v>72</v>
      </c>
      <c r="B641" t="s">
        <v>12054</v>
      </c>
      <c r="C641" t="s">
        <v>74</v>
      </c>
      <c r="D641" t="s">
        <v>74</v>
      </c>
      <c r="E641" t="s">
        <v>74</v>
      </c>
      <c r="F641" t="s">
        <v>12055</v>
      </c>
      <c r="G641" t="s">
        <v>74</v>
      </c>
      <c r="H641" t="s">
        <v>74</v>
      </c>
      <c r="I641" t="s">
        <v>12056</v>
      </c>
      <c r="J641" t="s">
        <v>12057</v>
      </c>
      <c r="K641" t="s">
        <v>74</v>
      </c>
      <c r="L641" t="s">
        <v>74</v>
      </c>
      <c r="M641" t="s">
        <v>78</v>
      </c>
      <c r="N641" t="s">
        <v>79</v>
      </c>
      <c r="O641" t="s">
        <v>74</v>
      </c>
      <c r="P641" t="s">
        <v>74</v>
      </c>
      <c r="Q641" t="s">
        <v>74</v>
      </c>
      <c r="R641" t="s">
        <v>74</v>
      </c>
      <c r="S641" t="s">
        <v>74</v>
      </c>
      <c r="T641" t="s">
        <v>12058</v>
      </c>
      <c r="U641" t="s">
        <v>74</v>
      </c>
      <c r="V641" t="s">
        <v>12059</v>
      </c>
      <c r="W641" t="s">
        <v>12060</v>
      </c>
      <c r="X641" t="s">
        <v>74</v>
      </c>
      <c r="Y641" t="s">
        <v>12061</v>
      </c>
      <c r="Z641" t="s">
        <v>74</v>
      </c>
      <c r="AA641" t="s">
        <v>74</v>
      </c>
      <c r="AB641" t="s">
        <v>74</v>
      </c>
      <c r="AC641" t="s">
        <v>74</v>
      </c>
      <c r="AD641" t="s">
        <v>74</v>
      </c>
      <c r="AE641" t="s">
        <v>74</v>
      </c>
      <c r="AF641" t="s">
        <v>74</v>
      </c>
      <c r="AG641">
        <v>43</v>
      </c>
      <c r="AH641">
        <v>7</v>
      </c>
      <c r="AI641">
        <v>9</v>
      </c>
      <c r="AJ641">
        <v>0</v>
      </c>
      <c r="AK641">
        <v>7</v>
      </c>
      <c r="AL641" t="s">
        <v>12062</v>
      </c>
      <c r="AM641" t="s">
        <v>5250</v>
      </c>
      <c r="AN641" t="s">
        <v>12063</v>
      </c>
      <c r="AO641" t="s">
        <v>12064</v>
      </c>
      <c r="AP641" t="s">
        <v>12065</v>
      </c>
      <c r="AQ641" t="s">
        <v>74</v>
      </c>
      <c r="AR641" t="s">
        <v>12066</v>
      </c>
      <c r="AS641" t="s">
        <v>12067</v>
      </c>
      <c r="AT641" t="s">
        <v>9913</v>
      </c>
      <c r="AU641">
        <v>2011</v>
      </c>
      <c r="AV641">
        <v>34</v>
      </c>
      <c r="AW641">
        <v>2</v>
      </c>
      <c r="AX641" t="s">
        <v>74</v>
      </c>
      <c r="AY641" t="s">
        <v>74</v>
      </c>
      <c r="AZ641" t="s">
        <v>74</v>
      </c>
      <c r="BA641" t="s">
        <v>74</v>
      </c>
      <c r="BB641">
        <v>214</v>
      </c>
      <c r="BC641">
        <v>232</v>
      </c>
      <c r="BD641" t="s">
        <v>74</v>
      </c>
      <c r="BE641" t="s">
        <v>12068</v>
      </c>
      <c r="BF641" t="str">
        <f>HYPERLINK("http://dx.doi.org/10.1111/j.1555-2934.2011.01163.x","http://dx.doi.org/10.1111/j.1555-2934.2011.01163.x")</f>
        <v>http://dx.doi.org/10.1111/j.1555-2934.2011.01163.x</v>
      </c>
      <c r="BG641" t="s">
        <v>74</v>
      </c>
      <c r="BH641" t="s">
        <v>74</v>
      </c>
      <c r="BI641">
        <v>19</v>
      </c>
      <c r="BJ641" t="s">
        <v>12069</v>
      </c>
      <c r="BK641" t="s">
        <v>6025</v>
      </c>
      <c r="BL641" t="s">
        <v>12069</v>
      </c>
      <c r="BM641" t="s">
        <v>12070</v>
      </c>
      <c r="BN641" t="s">
        <v>74</v>
      </c>
      <c r="BO641" t="s">
        <v>74</v>
      </c>
      <c r="BP641" t="s">
        <v>74</v>
      </c>
      <c r="BQ641" t="s">
        <v>74</v>
      </c>
      <c r="BR641" t="s">
        <v>102</v>
      </c>
      <c r="BS641" t="s">
        <v>12071</v>
      </c>
      <c r="BT641" t="str">
        <f>HYPERLINK("https%3A%2F%2Fwww.webofscience.com%2Fwos%2Fwoscc%2Ffull-record%2FWOS:000309885600002","View Full Record in Web of Science")</f>
        <v>View Full Record in Web of Science</v>
      </c>
    </row>
    <row r="642" spans="1:72" x14ac:dyDescent="0.15">
      <c r="A642" t="s">
        <v>72</v>
      </c>
      <c r="B642" t="s">
        <v>12072</v>
      </c>
      <c r="C642" t="s">
        <v>74</v>
      </c>
      <c r="D642" t="s">
        <v>74</v>
      </c>
      <c r="E642" t="s">
        <v>74</v>
      </c>
      <c r="F642" t="s">
        <v>12073</v>
      </c>
      <c r="G642" t="s">
        <v>74</v>
      </c>
      <c r="H642" t="s">
        <v>74</v>
      </c>
      <c r="I642" t="s">
        <v>12074</v>
      </c>
      <c r="J642" t="s">
        <v>8925</v>
      </c>
      <c r="K642" t="s">
        <v>74</v>
      </c>
      <c r="L642" t="s">
        <v>74</v>
      </c>
      <c r="M642" t="s">
        <v>78</v>
      </c>
      <c r="N642" t="s">
        <v>79</v>
      </c>
      <c r="O642" t="s">
        <v>74</v>
      </c>
      <c r="P642" t="s">
        <v>74</v>
      </c>
      <c r="Q642" t="s">
        <v>74</v>
      </c>
      <c r="R642" t="s">
        <v>74</v>
      </c>
      <c r="S642" t="s">
        <v>74</v>
      </c>
      <c r="T642" t="s">
        <v>12075</v>
      </c>
      <c r="U642" t="s">
        <v>12076</v>
      </c>
      <c r="V642" t="s">
        <v>12077</v>
      </c>
      <c r="W642" t="s">
        <v>12078</v>
      </c>
      <c r="X642" t="s">
        <v>12079</v>
      </c>
      <c r="Y642" t="s">
        <v>12080</v>
      </c>
      <c r="Z642" t="s">
        <v>12081</v>
      </c>
      <c r="AA642" t="s">
        <v>12082</v>
      </c>
      <c r="AB642" t="s">
        <v>12083</v>
      </c>
      <c r="AC642" t="s">
        <v>12084</v>
      </c>
      <c r="AD642" t="s">
        <v>12085</v>
      </c>
      <c r="AE642" t="s">
        <v>12086</v>
      </c>
      <c r="AF642" t="s">
        <v>74</v>
      </c>
      <c r="AG642">
        <v>116</v>
      </c>
      <c r="AH642">
        <v>41</v>
      </c>
      <c r="AI642">
        <v>43</v>
      </c>
      <c r="AJ642">
        <v>2</v>
      </c>
      <c r="AK642">
        <v>34</v>
      </c>
      <c r="AL642" t="s">
        <v>155</v>
      </c>
      <c r="AM642" t="s">
        <v>156</v>
      </c>
      <c r="AN642" t="s">
        <v>157</v>
      </c>
      <c r="AO642" t="s">
        <v>8938</v>
      </c>
      <c r="AP642" t="s">
        <v>74</v>
      </c>
      <c r="AQ642" t="s">
        <v>74</v>
      </c>
      <c r="AR642" t="s">
        <v>8939</v>
      </c>
      <c r="AS642" t="s">
        <v>8940</v>
      </c>
      <c r="AT642" t="s">
        <v>9913</v>
      </c>
      <c r="AU642">
        <v>2011</v>
      </c>
      <c r="AV642">
        <v>30</v>
      </c>
      <c r="AW642" t="s">
        <v>9128</v>
      </c>
      <c r="AX642" t="s">
        <v>74</v>
      </c>
      <c r="AY642" t="s">
        <v>74</v>
      </c>
      <c r="AZ642" t="s">
        <v>74</v>
      </c>
      <c r="BA642" t="s">
        <v>74</v>
      </c>
      <c r="BB642">
        <v>3234</v>
      </c>
      <c r="BC642">
        <v>3247</v>
      </c>
      <c r="BD642" t="s">
        <v>74</v>
      </c>
      <c r="BE642" t="s">
        <v>12087</v>
      </c>
      <c r="BF642" t="str">
        <f>HYPERLINK("http://dx.doi.org/10.1016/j.quascirev.2011.08.005","http://dx.doi.org/10.1016/j.quascirev.2011.08.005")</f>
        <v>http://dx.doi.org/10.1016/j.quascirev.2011.08.005</v>
      </c>
      <c r="BG642" t="s">
        <v>74</v>
      </c>
      <c r="BH642" t="s">
        <v>74</v>
      </c>
      <c r="BI642">
        <v>14</v>
      </c>
      <c r="BJ642" t="s">
        <v>226</v>
      </c>
      <c r="BK642" t="s">
        <v>100</v>
      </c>
      <c r="BL642" t="s">
        <v>227</v>
      </c>
      <c r="BM642" t="s">
        <v>10626</v>
      </c>
      <c r="BN642" t="s">
        <v>74</v>
      </c>
      <c r="BO642" t="s">
        <v>74</v>
      </c>
      <c r="BP642" t="s">
        <v>74</v>
      </c>
      <c r="BQ642" t="s">
        <v>74</v>
      </c>
      <c r="BR642" t="s">
        <v>102</v>
      </c>
      <c r="BS642" t="s">
        <v>12088</v>
      </c>
      <c r="BT642" t="str">
        <f>HYPERLINK("https%3A%2F%2Fwww.webofscience.com%2Fwos%2Fwoscc%2Ffull-record%2FWOS:000297187900002","View Full Record in Web of Science")</f>
        <v>View Full Record in Web of Science</v>
      </c>
    </row>
    <row r="643" spans="1:72" x14ac:dyDescent="0.15">
      <c r="A643" t="s">
        <v>72</v>
      </c>
      <c r="B643" t="s">
        <v>12089</v>
      </c>
      <c r="C643" t="s">
        <v>74</v>
      </c>
      <c r="D643" t="s">
        <v>74</v>
      </c>
      <c r="E643" t="s">
        <v>74</v>
      </c>
      <c r="F643" t="s">
        <v>12090</v>
      </c>
      <c r="G643" t="s">
        <v>74</v>
      </c>
      <c r="H643" t="s">
        <v>74</v>
      </c>
      <c r="I643" t="s">
        <v>12091</v>
      </c>
      <c r="J643" t="s">
        <v>8925</v>
      </c>
      <c r="K643" t="s">
        <v>74</v>
      </c>
      <c r="L643" t="s">
        <v>74</v>
      </c>
      <c r="M643" t="s">
        <v>78</v>
      </c>
      <c r="N643" t="s">
        <v>79</v>
      </c>
      <c r="O643" t="s">
        <v>74</v>
      </c>
      <c r="P643" t="s">
        <v>74</v>
      </c>
      <c r="Q643" t="s">
        <v>74</v>
      </c>
      <c r="R643" t="s">
        <v>74</v>
      </c>
      <c r="S643" t="s">
        <v>74</v>
      </c>
      <c r="T643" t="s">
        <v>12092</v>
      </c>
      <c r="U643" t="s">
        <v>12093</v>
      </c>
      <c r="V643" t="s">
        <v>12094</v>
      </c>
      <c r="W643" t="s">
        <v>12095</v>
      </c>
      <c r="X643" t="s">
        <v>12096</v>
      </c>
      <c r="Y643" t="s">
        <v>12097</v>
      </c>
      <c r="Z643" t="s">
        <v>12098</v>
      </c>
      <c r="AA643" t="s">
        <v>12099</v>
      </c>
      <c r="AB643" t="s">
        <v>12100</v>
      </c>
      <c r="AC643" t="s">
        <v>12101</v>
      </c>
      <c r="AD643" t="s">
        <v>12102</v>
      </c>
      <c r="AE643" t="s">
        <v>12103</v>
      </c>
      <c r="AF643" t="s">
        <v>74</v>
      </c>
      <c r="AG643">
        <v>54</v>
      </c>
      <c r="AH643">
        <v>42</v>
      </c>
      <c r="AI643">
        <v>46</v>
      </c>
      <c r="AJ643">
        <v>0</v>
      </c>
      <c r="AK643">
        <v>17</v>
      </c>
      <c r="AL643" t="s">
        <v>155</v>
      </c>
      <c r="AM643" t="s">
        <v>156</v>
      </c>
      <c r="AN643" t="s">
        <v>157</v>
      </c>
      <c r="AO643" t="s">
        <v>8938</v>
      </c>
      <c r="AP643" t="s">
        <v>74</v>
      </c>
      <c r="AQ643" t="s">
        <v>74</v>
      </c>
      <c r="AR643" t="s">
        <v>8939</v>
      </c>
      <c r="AS643" t="s">
        <v>8940</v>
      </c>
      <c r="AT643" t="s">
        <v>9913</v>
      </c>
      <c r="AU643">
        <v>2011</v>
      </c>
      <c r="AV643">
        <v>30</v>
      </c>
      <c r="AW643" t="s">
        <v>9128</v>
      </c>
      <c r="AX643" t="s">
        <v>74</v>
      </c>
      <c r="AY643" t="s">
        <v>74</v>
      </c>
      <c r="AZ643" t="s">
        <v>74</v>
      </c>
      <c r="BA643" t="s">
        <v>74</v>
      </c>
      <c r="BB643">
        <v>3338</v>
      </c>
      <c r="BC643">
        <v>3349</v>
      </c>
      <c r="BD643" t="s">
        <v>74</v>
      </c>
      <c r="BE643" t="s">
        <v>12104</v>
      </c>
      <c r="BF643" t="str">
        <f>HYPERLINK("http://dx.doi.org/10.1016/j.quascirev.2011.09.002","http://dx.doi.org/10.1016/j.quascirev.2011.09.002")</f>
        <v>http://dx.doi.org/10.1016/j.quascirev.2011.09.002</v>
      </c>
      <c r="BG643" t="s">
        <v>74</v>
      </c>
      <c r="BH643" t="s">
        <v>74</v>
      </c>
      <c r="BI643">
        <v>12</v>
      </c>
      <c r="BJ643" t="s">
        <v>226</v>
      </c>
      <c r="BK643" t="s">
        <v>100</v>
      </c>
      <c r="BL643" t="s">
        <v>227</v>
      </c>
      <c r="BM643" t="s">
        <v>10626</v>
      </c>
      <c r="BN643" t="s">
        <v>74</v>
      </c>
      <c r="BO643" t="s">
        <v>74</v>
      </c>
      <c r="BP643" t="s">
        <v>74</v>
      </c>
      <c r="BQ643" t="s">
        <v>74</v>
      </c>
      <c r="BR643" t="s">
        <v>102</v>
      </c>
      <c r="BS643" t="s">
        <v>12105</v>
      </c>
      <c r="BT643" t="str">
        <f>HYPERLINK("https%3A%2F%2Fwww.webofscience.com%2Fwos%2Fwoscc%2Ffull-record%2FWOS:000297187900010","View Full Record in Web of Science")</f>
        <v>View Full Record in Web of Science</v>
      </c>
    </row>
    <row r="644" spans="1:72" x14ac:dyDescent="0.15">
      <c r="A644" t="s">
        <v>72</v>
      </c>
      <c r="B644" t="s">
        <v>12106</v>
      </c>
      <c r="C644" t="s">
        <v>74</v>
      </c>
      <c r="D644" t="s">
        <v>74</v>
      </c>
      <c r="E644" t="s">
        <v>74</v>
      </c>
      <c r="F644" t="s">
        <v>12107</v>
      </c>
      <c r="G644" t="s">
        <v>74</v>
      </c>
      <c r="H644" t="s">
        <v>74</v>
      </c>
      <c r="I644" t="s">
        <v>12108</v>
      </c>
      <c r="J644" t="s">
        <v>8925</v>
      </c>
      <c r="K644" t="s">
        <v>74</v>
      </c>
      <c r="L644" t="s">
        <v>74</v>
      </c>
      <c r="M644" t="s">
        <v>78</v>
      </c>
      <c r="N644" t="s">
        <v>79</v>
      </c>
      <c r="O644" t="s">
        <v>74</v>
      </c>
      <c r="P644" t="s">
        <v>74</v>
      </c>
      <c r="Q644" t="s">
        <v>74</v>
      </c>
      <c r="R644" t="s">
        <v>74</v>
      </c>
      <c r="S644" t="s">
        <v>74</v>
      </c>
      <c r="T644" t="s">
        <v>12109</v>
      </c>
      <c r="U644" t="s">
        <v>12110</v>
      </c>
      <c r="V644" t="s">
        <v>12111</v>
      </c>
      <c r="W644" t="s">
        <v>12112</v>
      </c>
      <c r="X644" t="s">
        <v>12113</v>
      </c>
      <c r="Y644" t="s">
        <v>12114</v>
      </c>
      <c r="Z644" t="s">
        <v>12115</v>
      </c>
      <c r="AA644" t="s">
        <v>12116</v>
      </c>
      <c r="AB644" t="s">
        <v>12117</v>
      </c>
      <c r="AC644" t="s">
        <v>12118</v>
      </c>
      <c r="AD644" t="s">
        <v>12119</v>
      </c>
      <c r="AE644" t="s">
        <v>12120</v>
      </c>
      <c r="AF644" t="s">
        <v>74</v>
      </c>
      <c r="AG644">
        <v>156</v>
      </c>
      <c r="AH644">
        <v>65</v>
      </c>
      <c r="AI644">
        <v>74</v>
      </c>
      <c r="AJ644">
        <v>3</v>
      </c>
      <c r="AK644">
        <v>50</v>
      </c>
      <c r="AL644" t="s">
        <v>155</v>
      </c>
      <c r="AM644" t="s">
        <v>156</v>
      </c>
      <c r="AN644" t="s">
        <v>157</v>
      </c>
      <c r="AO644" t="s">
        <v>8938</v>
      </c>
      <c r="AP644" t="s">
        <v>74</v>
      </c>
      <c r="AQ644" t="s">
        <v>74</v>
      </c>
      <c r="AR644" t="s">
        <v>8939</v>
      </c>
      <c r="AS644" t="s">
        <v>8940</v>
      </c>
      <c r="AT644" t="s">
        <v>9913</v>
      </c>
      <c r="AU644">
        <v>2011</v>
      </c>
      <c r="AV644">
        <v>30</v>
      </c>
      <c r="AW644" t="s">
        <v>9128</v>
      </c>
      <c r="AX644" t="s">
        <v>74</v>
      </c>
      <c r="AY644" t="s">
        <v>74</v>
      </c>
      <c r="AZ644" t="s">
        <v>74</v>
      </c>
      <c r="BA644" t="s">
        <v>74</v>
      </c>
      <c r="BB644">
        <v>3350</v>
      </c>
      <c r="BC644">
        <v>3363</v>
      </c>
      <c r="BD644" t="s">
        <v>74</v>
      </c>
      <c r="BE644" t="s">
        <v>12121</v>
      </c>
      <c r="BF644" t="str">
        <f>HYPERLINK("http://dx.doi.org/10.1016/j.quascirev.2011.08.007","http://dx.doi.org/10.1016/j.quascirev.2011.08.007")</f>
        <v>http://dx.doi.org/10.1016/j.quascirev.2011.08.007</v>
      </c>
      <c r="BG644" t="s">
        <v>74</v>
      </c>
      <c r="BH644" t="s">
        <v>74</v>
      </c>
      <c r="BI644">
        <v>14</v>
      </c>
      <c r="BJ644" t="s">
        <v>226</v>
      </c>
      <c r="BK644" t="s">
        <v>100</v>
      </c>
      <c r="BL644" t="s">
        <v>227</v>
      </c>
      <c r="BM644" t="s">
        <v>10626</v>
      </c>
      <c r="BN644" t="s">
        <v>74</v>
      </c>
      <c r="BO644" t="s">
        <v>74</v>
      </c>
      <c r="BP644" t="s">
        <v>74</v>
      </c>
      <c r="BQ644" t="s">
        <v>74</v>
      </c>
      <c r="BR644" t="s">
        <v>102</v>
      </c>
      <c r="BS644" t="s">
        <v>12122</v>
      </c>
      <c r="BT644" t="str">
        <f>HYPERLINK("https%3A%2F%2Fwww.webofscience.com%2Fwos%2Fwoscc%2Ffull-record%2FWOS:000297187900011","View Full Record in Web of Science")</f>
        <v>View Full Record in Web of Science</v>
      </c>
    </row>
    <row r="645" spans="1:72" x14ac:dyDescent="0.15">
      <c r="A645" t="s">
        <v>72</v>
      </c>
      <c r="B645" t="s">
        <v>12123</v>
      </c>
      <c r="C645" t="s">
        <v>74</v>
      </c>
      <c r="D645" t="s">
        <v>74</v>
      </c>
      <c r="E645" t="s">
        <v>74</v>
      </c>
      <c r="F645" t="s">
        <v>12124</v>
      </c>
      <c r="G645" t="s">
        <v>74</v>
      </c>
      <c r="H645" t="s">
        <v>74</v>
      </c>
      <c r="I645" t="s">
        <v>12125</v>
      </c>
      <c r="J645" t="s">
        <v>12126</v>
      </c>
      <c r="K645" t="s">
        <v>74</v>
      </c>
      <c r="L645" t="s">
        <v>74</v>
      </c>
      <c r="M645" t="s">
        <v>78</v>
      </c>
      <c r="N645" t="s">
        <v>810</v>
      </c>
      <c r="O645" t="s">
        <v>74</v>
      </c>
      <c r="P645" t="s">
        <v>74</v>
      </c>
      <c r="Q645" t="s">
        <v>74</v>
      </c>
      <c r="R645" t="s">
        <v>74</v>
      </c>
      <c r="S645" t="s">
        <v>74</v>
      </c>
      <c r="T645" t="s">
        <v>74</v>
      </c>
      <c r="U645" t="s">
        <v>74</v>
      </c>
      <c r="V645" t="s">
        <v>74</v>
      </c>
      <c r="W645" t="s">
        <v>74</v>
      </c>
      <c r="X645" t="s">
        <v>74</v>
      </c>
      <c r="Y645" t="s">
        <v>74</v>
      </c>
      <c r="Z645" t="s">
        <v>74</v>
      </c>
      <c r="AA645" t="s">
        <v>74</v>
      </c>
      <c r="AB645" t="s">
        <v>74</v>
      </c>
      <c r="AC645" t="s">
        <v>74</v>
      </c>
      <c r="AD645" t="s">
        <v>74</v>
      </c>
      <c r="AE645" t="s">
        <v>74</v>
      </c>
      <c r="AF645" t="s">
        <v>74</v>
      </c>
      <c r="AG645">
        <v>1</v>
      </c>
      <c r="AH645">
        <v>0</v>
      </c>
      <c r="AI645">
        <v>0</v>
      </c>
      <c r="AJ645">
        <v>0</v>
      </c>
      <c r="AK645">
        <v>1</v>
      </c>
      <c r="AL645" t="s">
        <v>9403</v>
      </c>
      <c r="AM645" t="s">
        <v>413</v>
      </c>
      <c r="AN645" t="s">
        <v>11897</v>
      </c>
      <c r="AO645" t="s">
        <v>12127</v>
      </c>
      <c r="AP645" t="s">
        <v>74</v>
      </c>
      <c r="AQ645" t="s">
        <v>74</v>
      </c>
      <c r="AR645" t="s">
        <v>12128</v>
      </c>
      <c r="AS645" t="s">
        <v>12129</v>
      </c>
      <c r="AT645" t="s">
        <v>9913</v>
      </c>
      <c r="AU645">
        <v>2011</v>
      </c>
      <c r="AV645">
        <v>305</v>
      </c>
      <c r="AW645">
        <v>5</v>
      </c>
      <c r="AX645" t="s">
        <v>74</v>
      </c>
      <c r="AY645" t="s">
        <v>74</v>
      </c>
      <c r="AZ645" t="s">
        <v>74</v>
      </c>
      <c r="BA645" t="s">
        <v>74</v>
      </c>
      <c r="BB645">
        <v>92</v>
      </c>
      <c r="BC645">
        <v>92</v>
      </c>
      <c r="BD645" t="s">
        <v>74</v>
      </c>
      <c r="BE645" t="s">
        <v>12130</v>
      </c>
      <c r="BF645" t="str">
        <f>HYPERLINK("http://dx.doi.org/10.1038/scientificamerican1111-92","http://dx.doi.org/10.1038/scientificamerican1111-92")</f>
        <v>http://dx.doi.org/10.1038/scientificamerican1111-92</v>
      </c>
      <c r="BG645" t="s">
        <v>74</v>
      </c>
      <c r="BH645" t="s">
        <v>74</v>
      </c>
      <c r="BI645">
        <v>1</v>
      </c>
      <c r="BJ645" t="s">
        <v>6182</v>
      </c>
      <c r="BK645" t="s">
        <v>100</v>
      </c>
      <c r="BL645" t="s">
        <v>6183</v>
      </c>
      <c r="BM645" t="s">
        <v>12131</v>
      </c>
      <c r="BN645" t="s">
        <v>74</v>
      </c>
      <c r="BO645" t="s">
        <v>74</v>
      </c>
      <c r="BP645" t="s">
        <v>74</v>
      </c>
      <c r="BQ645" t="s">
        <v>74</v>
      </c>
      <c r="BR645" t="s">
        <v>102</v>
      </c>
      <c r="BS645" t="s">
        <v>12132</v>
      </c>
      <c r="BT645" t="str">
        <f>HYPERLINK("https%3A%2F%2Fwww.webofscience.com%2Fwos%2Fwoscc%2Ffull-record%2FWOS:000296329100035","View Full Record in Web of Science")</f>
        <v>View Full Record in Web of Science</v>
      </c>
    </row>
    <row r="646" spans="1:72" x14ac:dyDescent="0.15">
      <c r="A646" t="s">
        <v>72</v>
      </c>
      <c r="B646" t="s">
        <v>12133</v>
      </c>
      <c r="C646" t="s">
        <v>74</v>
      </c>
      <c r="D646" t="s">
        <v>74</v>
      </c>
      <c r="E646" t="s">
        <v>74</v>
      </c>
      <c r="F646" t="s">
        <v>12134</v>
      </c>
      <c r="G646" t="s">
        <v>74</v>
      </c>
      <c r="H646" t="s">
        <v>74</v>
      </c>
      <c r="I646" t="s">
        <v>12135</v>
      </c>
      <c r="J646" t="s">
        <v>12136</v>
      </c>
      <c r="K646" t="s">
        <v>74</v>
      </c>
      <c r="L646" t="s">
        <v>74</v>
      </c>
      <c r="M646" t="s">
        <v>78</v>
      </c>
      <c r="N646" t="s">
        <v>79</v>
      </c>
      <c r="O646" t="s">
        <v>74</v>
      </c>
      <c r="P646" t="s">
        <v>74</v>
      </c>
      <c r="Q646" t="s">
        <v>74</v>
      </c>
      <c r="R646" t="s">
        <v>74</v>
      </c>
      <c r="S646" t="s">
        <v>74</v>
      </c>
      <c r="T646" t="s">
        <v>74</v>
      </c>
      <c r="U646" t="s">
        <v>12137</v>
      </c>
      <c r="V646" t="s">
        <v>12138</v>
      </c>
      <c r="W646" t="s">
        <v>12139</v>
      </c>
      <c r="X646" t="s">
        <v>12140</v>
      </c>
      <c r="Y646" t="s">
        <v>12141</v>
      </c>
      <c r="Z646" t="s">
        <v>12142</v>
      </c>
      <c r="AA646" t="s">
        <v>12143</v>
      </c>
      <c r="AB646" t="s">
        <v>12144</v>
      </c>
      <c r="AC646" t="s">
        <v>12145</v>
      </c>
      <c r="AD646" t="s">
        <v>12146</v>
      </c>
      <c r="AE646" t="s">
        <v>12147</v>
      </c>
      <c r="AF646" t="s">
        <v>74</v>
      </c>
      <c r="AG646">
        <v>21</v>
      </c>
      <c r="AH646">
        <v>14</v>
      </c>
      <c r="AI646">
        <v>15</v>
      </c>
      <c r="AJ646">
        <v>0</v>
      </c>
      <c r="AK646">
        <v>28</v>
      </c>
      <c r="AL646" t="s">
        <v>12148</v>
      </c>
      <c r="AM646" t="s">
        <v>12149</v>
      </c>
      <c r="AN646" t="s">
        <v>12150</v>
      </c>
      <c r="AO646" t="s">
        <v>12151</v>
      </c>
      <c r="AP646" t="s">
        <v>74</v>
      </c>
      <c r="AQ646" t="s">
        <v>74</v>
      </c>
      <c r="AR646" t="s">
        <v>12152</v>
      </c>
      <c r="AS646" t="s">
        <v>12153</v>
      </c>
      <c r="AT646" t="s">
        <v>9913</v>
      </c>
      <c r="AU646">
        <v>2011</v>
      </c>
      <c r="AV646">
        <v>75</v>
      </c>
      <c r="AW646">
        <v>6</v>
      </c>
      <c r="AX646" t="s">
        <v>74</v>
      </c>
      <c r="AY646" t="s">
        <v>74</v>
      </c>
      <c r="AZ646" t="s">
        <v>74</v>
      </c>
      <c r="BA646" t="s">
        <v>74</v>
      </c>
      <c r="BB646">
        <v>2188</v>
      </c>
      <c r="BC646">
        <v>2197</v>
      </c>
      <c r="BD646" t="s">
        <v>74</v>
      </c>
      <c r="BE646" t="s">
        <v>12154</v>
      </c>
      <c r="BF646" t="str">
        <f>HYPERLINK("http://dx.doi.org/10.2136/sssaj2010.0303","http://dx.doi.org/10.2136/sssaj2010.0303")</f>
        <v>http://dx.doi.org/10.2136/sssaj2010.0303</v>
      </c>
      <c r="BG646" t="s">
        <v>74</v>
      </c>
      <c r="BH646" t="s">
        <v>74</v>
      </c>
      <c r="BI646">
        <v>10</v>
      </c>
      <c r="BJ646" t="s">
        <v>9065</v>
      </c>
      <c r="BK646" t="s">
        <v>100</v>
      </c>
      <c r="BL646" t="s">
        <v>803</v>
      </c>
      <c r="BM646" t="s">
        <v>12155</v>
      </c>
      <c r="BN646" t="s">
        <v>74</v>
      </c>
      <c r="BO646" t="s">
        <v>74</v>
      </c>
      <c r="BP646" t="s">
        <v>74</v>
      </c>
      <c r="BQ646" t="s">
        <v>74</v>
      </c>
      <c r="BR646" t="s">
        <v>102</v>
      </c>
      <c r="BS646" t="s">
        <v>12156</v>
      </c>
      <c r="BT646" t="str">
        <f>HYPERLINK("https%3A%2F%2Fwww.webofscience.com%2Fwos%2Fwoscc%2Ffull-record%2FWOS:000296553600017","View Full Record in Web of Science")</f>
        <v>View Full Record in Web of Science</v>
      </c>
    </row>
    <row r="647" spans="1:72" x14ac:dyDescent="0.15">
      <c r="A647" t="s">
        <v>72</v>
      </c>
      <c r="B647" t="s">
        <v>12157</v>
      </c>
      <c r="C647" t="s">
        <v>74</v>
      </c>
      <c r="D647" t="s">
        <v>74</v>
      </c>
      <c r="E647" t="s">
        <v>74</v>
      </c>
      <c r="F647" t="s">
        <v>12158</v>
      </c>
      <c r="G647" t="s">
        <v>74</v>
      </c>
      <c r="H647" t="s">
        <v>74</v>
      </c>
      <c r="I647" t="s">
        <v>12159</v>
      </c>
      <c r="J647" t="s">
        <v>12160</v>
      </c>
      <c r="K647" t="s">
        <v>74</v>
      </c>
      <c r="L647" t="s">
        <v>74</v>
      </c>
      <c r="M647" t="s">
        <v>78</v>
      </c>
      <c r="N647" t="s">
        <v>79</v>
      </c>
      <c r="O647" t="s">
        <v>74</v>
      </c>
      <c r="P647" t="s">
        <v>74</v>
      </c>
      <c r="Q647" t="s">
        <v>74</v>
      </c>
      <c r="R647" t="s">
        <v>74</v>
      </c>
      <c r="S647" t="s">
        <v>74</v>
      </c>
      <c r="T647" t="s">
        <v>74</v>
      </c>
      <c r="U647" t="s">
        <v>12161</v>
      </c>
      <c r="V647" t="s">
        <v>12162</v>
      </c>
      <c r="W647" t="s">
        <v>12163</v>
      </c>
      <c r="X647" t="s">
        <v>12164</v>
      </c>
      <c r="Y647" t="s">
        <v>12165</v>
      </c>
      <c r="Z647" t="s">
        <v>12166</v>
      </c>
      <c r="AA647" t="s">
        <v>12167</v>
      </c>
      <c r="AB647" t="s">
        <v>74</v>
      </c>
      <c r="AC647" t="s">
        <v>12168</v>
      </c>
      <c r="AD647" t="s">
        <v>12169</v>
      </c>
      <c r="AE647" t="s">
        <v>12170</v>
      </c>
      <c r="AF647" t="s">
        <v>74</v>
      </c>
      <c r="AG647">
        <v>28</v>
      </c>
      <c r="AH647">
        <v>12</v>
      </c>
      <c r="AI647">
        <v>12</v>
      </c>
      <c r="AJ647">
        <v>0</v>
      </c>
      <c r="AK647">
        <v>6</v>
      </c>
      <c r="AL647" t="s">
        <v>12171</v>
      </c>
      <c r="AM647" t="s">
        <v>12172</v>
      </c>
      <c r="AN647" t="s">
        <v>12173</v>
      </c>
      <c r="AO647" t="s">
        <v>12174</v>
      </c>
      <c r="AP647" t="s">
        <v>74</v>
      </c>
      <c r="AQ647" t="s">
        <v>74</v>
      </c>
      <c r="AR647" t="s">
        <v>12175</v>
      </c>
      <c r="AS647" t="s">
        <v>12176</v>
      </c>
      <c r="AT647" t="s">
        <v>10284</v>
      </c>
      <c r="AU647">
        <v>2011</v>
      </c>
      <c r="AV647">
        <v>107</v>
      </c>
      <c r="AW647" t="s">
        <v>8435</v>
      </c>
      <c r="AX647" t="s">
        <v>74</v>
      </c>
      <c r="AY647" t="s">
        <v>74</v>
      </c>
      <c r="AZ647" t="s">
        <v>74</v>
      </c>
      <c r="BA647" t="s">
        <v>74</v>
      </c>
      <c r="BB647">
        <v>14</v>
      </c>
      <c r="BC647">
        <v>23</v>
      </c>
      <c r="BD647" t="s">
        <v>74</v>
      </c>
      <c r="BE647" t="s">
        <v>12177</v>
      </c>
      <c r="BF647" t="str">
        <f>HYPERLINK("http://dx.doi.org/10.4102/sajs.v107i11/12.673","http://dx.doi.org/10.4102/sajs.v107i11/12.673")</f>
        <v>http://dx.doi.org/10.4102/sajs.v107i11/12.673</v>
      </c>
      <c r="BG647" t="s">
        <v>74</v>
      </c>
      <c r="BH647" t="s">
        <v>74</v>
      </c>
      <c r="BI647">
        <v>10</v>
      </c>
      <c r="BJ647" t="s">
        <v>6182</v>
      </c>
      <c r="BK647" t="s">
        <v>100</v>
      </c>
      <c r="BL647" t="s">
        <v>6183</v>
      </c>
      <c r="BM647" t="s">
        <v>12178</v>
      </c>
      <c r="BN647" t="s">
        <v>74</v>
      </c>
      <c r="BO647" t="s">
        <v>1272</v>
      </c>
      <c r="BP647" t="s">
        <v>74</v>
      </c>
      <c r="BQ647" t="s">
        <v>74</v>
      </c>
      <c r="BR647" t="s">
        <v>102</v>
      </c>
      <c r="BS647" t="s">
        <v>12179</v>
      </c>
      <c r="BT647" t="str">
        <f>HYPERLINK("https%3A%2F%2Fwww.webofscience.com%2Fwos%2Fwoscc%2Ffull-record%2FWOS:000298534800006","View Full Record in Web of Science")</f>
        <v>View Full Record in Web of Science</v>
      </c>
    </row>
    <row r="648" spans="1:72" x14ac:dyDescent="0.15">
      <c r="A648" t="s">
        <v>72</v>
      </c>
      <c r="B648" t="s">
        <v>12180</v>
      </c>
      <c r="C648" t="s">
        <v>74</v>
      </c>
      <c r="D648" t="s">
        <v>74</v>
      </c>
      <c r="E648" t="s">
        <v>74</v>
      </c>
      <c r="F648" t="s">
        <v>12181</v>
      </c>
      <c r="G648" t="s">
        <v>74</v>
      </c>
      <c r="H648" t="s">
        <v>74</v>
      </c>
      <c r="I648" t="s">
        <v>12182</v>
      </c>
      <c r="J648" t="s">
        <v>5695</v>
      </c>
      <c r="K648" t="s">
        <v>74</v>
      </c>
      <c r="L648" t="s">
        <v>74</v>
      </c>
      <c r="M648" t="s">
        <v>78</v>
      </c>
      <c r="N648" t="s">
        <v>79</v>
      </c>
      <c r="O648" t="s">
        <v>74</v>
      </c>
      <c r="P648" t="s">
        <v>74</v>
      </c>
      <c r="Q648" t="s">
        <v>74</v>
      </c>
      <c r="R648" t="s">
        <v>74</v>
      </c>
      <c r="S648" t="s">
        <v>74</v>
      </c>
      <c r="T648" t="s">
        <v>74</v>
      </c>
      <c r="U648" t="s">
        <v>12183</v>
      </c>
      <c r="V648" t="s">
        <v>12184</v>
      </c>
      <c r="W648" t="s">
        <v>12185</v>
      </c>
      <c r="X648" t="s">
        <v>12186</v>
      </c>
      <c r="Y648" t="s">
        <v>12187</v>
      </c>
      <c r="Z648" t="s">
        <v>12188</v>
      </c>
      <c r="AA648" t="s">
        <v>12189</v>
      </c>
      <c r="AB648" t="s">
        <v>12190</v>
      </c>
      <c r="AC648" t="s">
        <v>12191</v>
      </c>
      <c r="AD648" t="s">
        <v>12192</v>
      </c>
      <c r="AE648" t="s">
        <v>12193</v>
      </c>
      <c r="AF648" t="s">
        <v>74</v>
      </c>
      <c r="AG648">
        <v>42</v>
      </c>
      <c r="AH648">
        <v>9</v>
      </c>
      <c r="AI648">
        <v>10</v>
      </c>
      <c r="AJ648">
        <v>0</v>
      </c>
      <c r="AK648">
        <v>12</v>
      </c>
      <c r="AL648" t="s">
        <v>1150</v>
      </c>
      <c r="AM648" t="s">
        <v>1151</v>
      </c>
      <c r="AN648" t="s">
        <v>1152</v>
      </c>
      <c r="AO648" t="s">
        <v>5707</v>
      </c>
      <c r="AP648" t="s">
        <v>74</v>
      </c>
      <c r="AQ648" t="s">
        <v>74</v>
      </c>
      <c r="AR648" t="s">
        <v>5708</v>
      </c>
      <c r="AS648" t="s">
        <v>5709</v>
      </c>
      <c r="AT648" t="s">
        <v>9913</v>
      </c>
      <c r="AU648">
        <v>2011</v>
      </c>
      <c r="AV648">
        <v>63</v>
      </c>
      <c r="AW648">
        <v>5</v>
      </c>
      <c r="AX648" t="s">
        <v>74</v>
      </c>
      <c r="AY648" t="s">
        <v>74</v>
      </c>
      <c r="AZ648" t="s">
        <v>74</v>
      </c>
      <c r="BA648" t="s">
        <v>74</v>
      </c>
      <c r="BB648">
        <v>831</v>
      </c>
      <c r="BC648">
        <v>842</v>
      </c>
      <c r="BD648" t="s">
        <v>74</v>
      </c>
      <c r="BE648" t="s">
        <v>12194</v>
      </c>
      <c r="BF648" t="str">
        <f>HYPERLINK("http://dx.doi.org/10.1111/j.1600-0889.2011.00576.x","http://dx.doi.org/10.1111/j.1600-0889.2011.00576.x")</f>
        <v>http://dx.doi.org/10.1111/j.1600-0889.2011.00576.x</v>
      </c>
      <c r="BG648" t="s">
        <v>74</v>
      </c>
      <c r="BH648" t="s">
        <v>74</v>
      </c>
      <c r="BI648">
        <v>12</v>
      </c>
      <c r="BJ648" t="s">
        <v>463</v>
      </c>
      <c r="BK648" t="s">
        <v>100</v>
      </c>
      <c r="BL648" t="s">
        <v>463</v>
      </c>
      <c r="BM648" t="s">
        <v>12195</v>
      </c>
      <c r="BN648" t="s">
        <v>74</v>
      </c>
      <c r="BO648" t="s">
        <v>5302</v>
      </c>
      <c r="BP648" t="s">
        <v>74</v>
      </c>
      <c r="BQ648" t="s">
        <v>74</v>
      </c>
      <c r="BR648" t="s">
        <v>102</v>
      </c>
      <c r="BS648" t="s">
        <v>12196</v>
      </c>
      <c r="BT648" t="str">
        <f>HYPERLINK("https%3A%2F%2Fwww.webofscience.com%2Fwos%2Fwoscc%2Ffull-record%2FWOS:000296030800003","View Full Record in Web of Science")</f>
        <v>View Full Record in Web of Science</v>
      </c>
    </row>
    <row r="649" spans="1:72" x14ac:dyDescent="0.15">
      <c r="A649" t="s">
        <v>72</v>
      </c>
      <c r="B649" t="s">
        <v>12197</v>
      </c>
      <c r="C649" t="s">
        <v>74</v>
      </c>
      <c r="D649" t="s">
        <v>74</v>
      </c>
      <c r="E649" t="s">
        <v>74</v>
      </c>
      <c r="F649" t="s">
        <v>12198</v>
      </c>
      <c r="G649" t="s">
        <v>74</v>
      </c>
      <c r="H649" t="s">
        <v>74</v>
      </c>
      <c r="I649" t="s">
        <v>12199</v>
      </c>
      <c r="J649" t="s">
        <v>5695</v>
      </c>
      <c r="K649" t="s">
        <v>74</v>
      </c>
      <c r="L649" t="s">
        <v>74</v>
      </c>
      <c r="M649" t="s">
        <v>78</v>
      </c>
      <c r="N649" t="s">
        <v>79</v>
      </c>
      <c r="O649" t="s">
        <v>74</v>
      </c>
      <c r="P649" t="s">
        <v>74</v>
      </c>
      <c r="Q649" t="s">
        <v>74</v>
      </c>
      <c r="R649" t="s">
        <v>74</v>
      </c>
      <c r="S649" t="s">
        <v>74</v>
      </c>
      <c r="T649" t="s">
        <v>74</v>
      </c>
      <c r="U649" t="s">
        <v>12200</v>
      </c>
      <c r="V649" t="s">
        <v>12201</v>
      </c>
      <c r="W649" t="s">
        <v>12202</v>
      </c>
      <c r="X649" t="s">
        <v>12203</v>
      </c>
      <c r="Y649" t="s">
        <v>12204</v>
      </c>
      <c r="Z649" t="s">
        <v>12205</v>
      </c>
      <c r="AA649" t="s">
        <v>12206</v>
      </c>
      <c r="AB649" t="s">
        <v>12207</v>
      </c>
      <c r="AC649" t="s">
        <v>12208</v>
      </c>
      <c r="AD649" t="s">
        <v>12209</v>
      </c>
      <c r="AE649" t="s">
        <v>12210</v>
      </c>
      <c r="AF649" t="s">
        <v>74</v>
      </c>
      <c r="AG649">
        <v>90</v>
      </c>
      <c r="AH649">
        <v>40</v>
      </c>
      <c r="AI649">
        <v>43</v>
      </c>
      <c r="AJ649">
        <v>2</v>
      </c>
      <c r="AK649">
        <v>41</v>
      </c>
      <c r="AL649" t="s">
        <v>1150</v>
      </c>
      <c r="AM649" t="s">
        <v>1151</v>
      </c>
      <c r="AN649" t="s">
        <v>1152</v>
      </c>
      <c r="AO649" t="s">
        <v>5707</v>
      </c>
      <c r="AP649" t="s">
        <v>74</v>
      </c>
      <c r="AQ649" t="s">
        <v>74</v>
      </c>
      <c r="AR649" t="s">
        <v>5708</v>
      </c>
      <c r="AS649" t="s">
        <v>5709</v>
      </c>
      <c r="AT649" t="s">
        <v>9913</v>
      </c>
      <c r="AU649">
        <v>2011</v>
      </c>
      <c r="AV649">
        <v>63</v>
      </c>
      <c r="AW649">
        <v>5</v>
      </c>
      <c r="AX649" t="s">
        <v>74</v>
      </c>
      <c r="AY649" t="s">
        <v>74</v>
      </c>
      <c r="AZ649" t="s">
        <v>74</v>
      </c>
      <c r="BA649" t="s">
        <v>74</v>
      </c>
      <c r="BB649">
        <v>901</v>
      </c>
      <c r="BC649">
        <v>919</v>
      </c>
      <c r="BD649" t="s">
        <v>74</v>
      </c>
      <c r="BE649" t="s">
        <v>12211</v>
      </c>
      <c r="BF649" t="str">
        <f>HYPERLINK("http://dx.doi.org/10.1111/j.1600-0889.2011.00542.x","http://dx.doi.org/10.1111/j.1600-0889.2011.00542.x")</f>
        <v>http://dx.doi.org/10.1111/j.1600-0889.2011.00542.x</v>
      </c>
      <c r="BG649" t="s">
        <v>74</v>
      </c>
      <c r="BH649" t="s">
        <v>74</v>
      </c>
      <c r="BI649">
        <v>19</v>
      </c>
      <c r="BJ649" t="s">
        <v>463</v>
      </c>
      <c r="BK649" t="s">
        <v>100</v>
      </c>
      <c r="BL649" t="s">
        <v>463</v>
      </c>
      <c r="BM649" t="s">
        <v>12195</v>
      </c>
      <c r="BN649" t="s">
        <v>74</v>
      </c>
      <c r="BO649" t="s">
        <v>11655</v>
      </c>
      <c r="BP649" t="s">
        <v>74</v>
      </c>
      <c r="BQ649" t="s">
        <v>74</v>
      </c>
      <c r="BR649" t="s">
        <v>102</v>
      </c>
      <c r="BS649" t="s">
        <v>12212</v>
      </c>
      <c r="BT649" t="str">
        <f>HYPERLINK("https%3A%2F%2Fwww.webofscience.com%2Fwos%2Fwoscc%2Ffull-record%2FWOS:000296030800008","View Full Record in Web of Science")</f>
        <v>View Full Record in Web of Science</v>
      </c>
    </row>
    <row r="650" spans="1:72" x14ac:dyDescent="0.15">
      <c r="A650" t="s">
        <v>72</v>
      </c>
      <c r="B650" t="s">
        <v>12213</v>
      </c>
      <c r="C650" t="s">
        <v>74</v>
      </c>
      <c r="D650" t="s">
        <v>74</v>
      </c>
      <c r="E650" t="s">
        <v>74</v>
      </c>
      <c r="F650" t="s">
        <v>12214</v>
      </c>
      <c r="G650" t="s">
        <v>74</v>
      </c>
      <c r="H650" t="s">
        <v>74</v>
      </c>
      <c r="I650" t="s">
        <v>12215</v>
      </c>
      <c r="J650" t="s">
        <v>5695</v>
      </c>
      <c r="K650" t="s">
        <v>74</v>
      </c>
      <c r="L650" t="s">
        <v>74</v>
      </c>
      <c r="M650" t="s">
        <v>78</v>
      </c>
      <c r="N650" t="s">
        <v>79</v>
      </c>
      <c r="O650" t="s">
        <v>74</v>
      </c>
      <c r="P650" t="s">
        <v>74</v>
      </c>
      <c r="Q650" t="s">
        <v>74</v>
      </c>
      <c r="R650" t="s">
        <v>74</v>
      </c>
      <c r="S650" t="s">
        <v>74</v>
      </c>
      <c r="T650" t="s">
        <v>74</v>
      </c>
      <c r="U650" t="s">
        <v>12216</v>
      </c>
      <c r="V650" t="s">
        <v>12217</v>
      </c>
      <c r="W650" t="s">
        <v>12218</v>
      </c>
      <c r="X650" t="s">
        <v>12219</v>
      </c>
      <c r="Y650" t="s">
        <v>12220</v>
      </c>
      <c r="Z650" t="s">
        <v>12221</v>
      </c>
      <c r="AA650" t="s">
        <v>12222</v>
      </c>
      <c r="AB650" t="s">
        <v>12223</v>
      </c>
      <c r="AC650" t="s">
        <v>12224</v>
      </c>
      <c r="AD650" t="s">
        <v>12225</v>
      </c>
      <c r="AE650" t="s">
        <v>12226</v>
      </c>
      <c r="AF650" t="s">
        <v>74</v>
      </c>
      <c r="AG650">
        <v>75</v>
      </c>
      <c r="AH650">
        <v>32</v>
      </c>
      <c r="AI650">
        <v>35</v>
      </c>
      <c r="AJ650">
        <v>2</v>
      </c>
      <c r="AK650">
        <v>26</v>
      </c>
      <c r="AL650" t="s">
        <v>1150</v>
      </c>
      <c r="AM650" t="s">
        <v>1151</v>
      </c>
      <c r="AN650" t="s">
        <v>1152</v>
      </c>
      <c r="AO650" t="s">
        <v>5707</v>
      </c>
      <c r="AP650" t="s">
        <v>74</v>
      </c>
      <c r="AQ650" t="s">
        <v>74</v>
      </c>
      <c r="AR650" t="s">
        <v>5708</v>
      </c>
      <c r="AS650" t="s">
        <v>5709</v>
      </c>
      <c r="AT650" t="s">
        <v>9913</v>
      </c>
      <c r="AU650">
        <v>2011</v>
      </c>
      <c r="AV650">
        <v>63</v>
      </c>
      <c r="AW650">
        <v>5</v>
      </c>
      <c r="AX650" t="s">
        <v>74</v>
      </c>
      <c r="AY650" t="s">
        <v>74</v>
      </c>
      <c r="AZ650" t="s">
        <v>74</v>
      </c>
      <c r="BA650" t="s">
        <v>74</v>
      </c>
      <c r="BB650">
        <v>920</v>
      </c>
      <c r="BC650">
        <v>934</v>
      </c>
      <c r="BD650" t="s">
        <v>74</v>
      </c>
      <c r="BE650" t="s">
        <v>12227</v>
      </c>
      <c r="BF650" t="str">
        <f>HYPERLINK("http://dx.doi.org/10.1111/j.1600-0889.2011.00543.x","http://dx.doi.org/10.1111/j.1600-0889.2011.00543.x")</f>
        <v>http://dx.doi.org/10.1111/j.1600-0889.2011.00543.x</v>
      </c>
      <c r="BG650" t="s">
        <v>74</v>
      </c>
      <c r="BH650" t="s">
        <v>74</v>
      </c>
      <c r="BI650">
        <v>15</v>
      </c>
      <c r="BJ650" t="s">
        <v>463</v>
      </c>
      <c r="BK650" t="s">
        <v>100</v>
      </c>
      <c r="BL650" t="s">
        <v>463</v>
      </c>
      <c r="BM650" t="s">
        <v>12195</v>
      </c>
      <c r="BN650" t="s">
        <v>74</v>
      </c>
      <c r="BO650" t="s">
        <v>12228</v>
      </c>
      <c r="BP650" t="s">
        <v>74</v>
      </c>
      <c r="BQ650" t="s">
        <v>74</v>
      </c>
      <c r="BR650" t="s">
        <v>102</v>
      </c>
      <c r="BS650" t="s">
        <v>12229</v>
      </c>
      <c r="BT650" t="str">
        <f>HYPERLINK("https%3A%2F%2Fwww.webofscience.com%2Fwos%2Fwoscc%2Ffull-record%2FWOS:000296030800009","View Full Record in Web of Science")</f>
        <v>View Full Record in Web of Science</v>
      </c>
    </row>
    <row r="651" spans="1:72" x14ac:dyDescent="0.15">
      <c r="A651" t="s">
        <v>72</v>
      </c>
      <c r="B651" t="s">
        <v>12230</v>
      </c>
      <c r="C651" t="s">
        <v>74</v>
      </c>
      <c r="D651" t="s">
        <v>74</v>
      </c>
      <c r="E651" t="s">
        <v>74</v>
      </c>
      <c r="F651" t="s">
        <v>12231</v>
      </c>
      <c r="G651" t="s">
        <v>74</v>
      </c>
      <c r="H651" t="s">
        <v>74</v>
      </c>
      <c r="I651" t="s">
        <v>12232</v>
      </c>
      <c r="J651" t="s">
        <v>12233</v>
      </c>
      <c r="K651" t="s">
        <v>74</v>
      </c>
      <c r="L651" t="s">
        <v>74</v>
      </c>
      <c r="M651" t="s">
        <v>78</v>
      </c>
      <c r="N651" t="s">
        <v>1513</v>
      </c>
      <c r="O651" t="s">
        <v>74</v>
      </c>
      <c r="P651" t="s">
        <v>74</v>
      </c>
      <c r="Q651" t="s">
        <v>74</v>
      </c>
      <c r="R651" t="s">
        <v>74</v>
      </c>
      <c r="S651" t="s">
        <v>74</v>
      </c>
      <c r="T651" t="s">
        <v>74</v>
      </c>
      <c r="U651" t="s">
        <v>12234</v>
      </c>
      <c r="V651" t="s">
        <v>12235</v>
      </c>
      <c r="W651" t="s">
        <v>12236</v>
      </c>
      <c r="X651" t="s">
        <v>12237</v>
      </c>
      <c r="Y651" t="s">
        <v>12238</v>
      </c>
      <c r="Z651" t="s">
        <v>86</v>
      </c>
      <c r="AA651" t="s">
        <v>12239</v>
      </c>
      <c r="AB651" t="s">
        <v>12240</v>
      </c>
      <c r="AC651" t="s">
        <v>1686</v>
      </c>
      <c r="AD651" t="s">
        <v>1007</v>
      </c>
      <c r="AE651" t="s">
        <v>74</v>
      </c>
      <c r="AF651" t="s">
        <v>74</v>
      </c>
      <c r="AG651">
        <v>83</v>
      </c>
      <c r="AH651">
        <v>96</v>
      </c>
      <c r="AI651">
        <v>108</v>
      </c>
      <c r="AJ651">
        <v>0</v>
      </c>
      <c r="AK651">
        <v>60</v>
      </c>
      <c r="AL651" t="s">
        <v>12241</v>
      </c>
      <c r="AM651" t="s">
        <v>814</v>
      </c>
      <c r="AN651" t="s">
        <v>12242</v>
      </c>
      <c r="AO651" t="s">
        <v>12243</v>
      </c>
      <c r="AP651" t="s">
        <v>12244</v>
      </c>
      <c r="AQ651" t="s">
        <v>74</v>
      </c>
      <c r="AR651" t="s">
        <v>12245</v>
      </c>
      <c r="AS651" t="s">
        <v>12246</v>
      </c>
      <c r="AT651" t="s">
        <v>9913</v>
      </c>
      <c r="AU651">
        <v>2011</v>
      </c>
      <c r="AV651">
        <v>19</v>
      </c>
      <c r="AW651">
        <v>11</v>
      </c>
      <c r="AX651" t="s">
        <v>74</v>
      </c>
      <c r="AY651" t="s">
        <v>74</v>
      </c>
      <c r="AZ651" t="s">
        <v>74</v>
      </c>
      <c r="BA651" t="s">
        <v>74</v>
      </c>
      <c r="BB651">
        <v>540</v>
      </c>
      <c r="BC651">
        <v>548</v>
      </c>
      <c r="BD651" t="s">
        <v>74</v>
      </c>
      <c r="BE651" t="s">
        <v>12247</v>
      </c>
      <c r="BF651" t="str">
        <f>HYPERLINK("http://dx.doi.org/10.1016/j.tim.2011.07.008","http://dx.doi.org/10.1016/j.tim.2011.07.008")</f>
        <v>http://dx.doi.org/10.1016/j.tim.2011.07.008</v>
      </c>
      <c r="BG651" t="s">
        <v>74</v>
      </c>
      <c r="BH651" t="s">
        <v>74</v>
      </c>
      <c r="BI651">
        <v>9</v>
      </c>
      <c r="BJ651" t="s">
        <v>99</v>
      </c>
      <c r="BK651" t="s">
        <v>100</v>
      </c>
      <c r="BL651" t="s">
        <v>99</v>
      </c>
      <c r="BM651" t="s">
        <v>12248</v>
      </c>
      <c r="BN651">
        <v>21893414</v>
      </c>
      <c r="BO651" t="s">
        <v>74</v>
      </c>
      <c r="BP651" t="s">
        <v>74</v>
      </c>
      <c r="BQ651" t="s">
        <v>74</v>
      </c>
      <c r="BR651" t="s">
        <v>102</v>
      </c>
      <c r="BS651" t="s">
        <v>12249</v>
      </c>
      <c r="BT651" t="str">
        <f>HYPERLINK("https%3A%2F%2Fwww.webofscience.com%2Fwos%2Fwoscc%2Ffull-record%2FWOS:000296997600003","View Full Record in Web of Science")</f>
        <v>View Full Record in Web of Science</v>
      </c>
    </row>
    <row r="652" spans="1:72" x14ac:dyDescent="0.15">
      <c r="A652" t="s">
        <v>72</v>
      </c>
      <c r="B652" t="s">
        <v>12250</v>
      </c>
      <c r="C652" t="s">
        <v>74</v>
      </c>
      <c r="D652" t="s">
        <v>74</v>
      </c>
      <c r="E652" t="s">
        <v>74</v>
      </c>
      <c r="F652" t="s">
        <v>12251</v>
      </c>
      <c r="G652" t="s">
        <v>74</v>
      </c>
      <c r="H652" t="s">
        <v>74</v>
      </c>
      <c r="I652" t="s">
        <v>12252</v>
      </c>
      <c r="J652" t="s">
        <v>12253</v>
      </c>
      <c r="K652" t="s">
        <v>74</v>
      </c>
      <c r="L652" t="s">
        <v>74</v>
      </c>
      <c r="M652" t="s">
        <v>78</v>
      </c>
      <c r="N652" t="s">
        <v>79</v>
      </c>
      <c r="O652" t="s">
        <v>74</v>
      </c>
      <c r="P652" t="s">
        <v>74</v>
      </c>
      <c r="Q652" t="s">
        <v>74</v>
      </c>
      <c r="R652" t="s">
        <v>74</v>
      </c>
      <c r="S652" t="s">
        <v>74</v>
      </c>
      <c r="T652" t="s">
        <v>12254</v>
      </c>
      <c r="U652" t="s">
        <v>12255</v>
      </c>
      <c r="V652" t="s">
        <v>12256</v>
      </c>
      <c r="W652" t="s">
        <v>12257</v>
      </c>
      <c r="X652" t="s">
        <v>12258</v>
      </c>
      <c r="Y652" t="s">
        <v>12259</v>
      </c>
      <c r="Z652" t="s">
        <v>12260</v>
      </c>
      <c r="AA652" t="s">
        <v>12261</v>
      </c>
      <c r="AB652" t="s">
        <v>12262</v>
      </c>
      <c r="AC652" t="s">
        <v>12263</v>
      </c>
      <c r="AD652" t="s">
        <v>12264</v>
      </c>
      <c r="AE652" t="s">
        <v>12265</v>
      </c>
      <c r="AF652" t="s">
        <v>74</v>
      </c>
      <c r="AG652">
        <v>28</v>
      </c>
      <c r="AH652">
        <v>29</v>
      </c>
      <c r="AI652">
        <v>30</v>
      </c>
      <c r="AJ652">
        <v>4</v>
      </c>
      <c r="AK652">
        <v>30</v>
      </c>
      <c r="AL652" t="s">
        <v>250</v>
      </c>
      <c r="AM652" t="s">
        <v>251</v>
      </c>
      <c r="AN652" t="s">
        <v>252</v>
      </c>
      <c r="AO652" t="s">
        <v>12266</v>
      </c>
      <c r="AP652" t="s">
        <v>74</v>
      </c>
      <c r="AQ652" t="s">
        <v>74</v>
      </c>
      <c r="AR652" t="s">
        <v>12267</v>
      </c>
      <c r="AS652" t="s">
        <v>12268</v>
      </c>
      <c r="AT652" t="s">
        <v>9913</v>
      </c>
      <c r="AU652">
        <v>2011</v>
      </c>
      <c r="AV652">
        <v>222</v>
      </c>
      <c r="AW652" t="s">
        <v>6483</v>
      </c>
      <c r="AX652" t="s">
        <v>74</v>
      </c>
      <c r="AY652" t="s">
        <v>74</v>
      </c>
      <c r="AZ652" t="s">
        <v>74</v>
      </c>
      <c r="BA652" t="s">
        <v>74</v>
      </c>
      <c r="BB652">
        <v>91</v>
      </c>
      <c r="BC652">
        <v>102</v>
      </c>
      <c r="BD652" t="s">
        <v>74</v>
      </c>
      <c r="BE652" t="s">
        <v>12269</v>
      </c>
      <c r="BF652" t="str">
        <f>HYPERLINK("http://dx.doi.org/10.1007/s11270-011-0811-z","http://dx.doi.org/10.1007/s11270-011-0811-z")</f>
        <v>http://dx.doi.org/10.1007/s11270-011-0811-z</v>
      </c>
      <c r="BG652" t="s">
        <v>74</v>
      </c>
      <c r="BH652" t="s">
        <v>74</v>
      </c>
      <c r="BI652">
        <v>12</v>
      </c>
      <c r="BJ652" t="s">
        <v>12270</v>
      </c>
      <c r="BK652" t="s">
        <v>100</v>
      </c>
      <c r="BL652" t="s">
        <v>12271</v>
      </c>
      <c r="BM652" t="s">
        <v>12272</v>
      </c>
      <c r="BN652" t="s">
        <v>74</v>
      </c>
      <c r="BO652" t="s">
        <v>74</v>
      </c>
      <c r="BP652" t="s">
        <v>74</v>
      </c>
      <c r="BQ652" t="s">
        <v>74</v>
      </c>
      <c r="BR652" t="s">
        <v>102</v>
      </c>
      <c r="BS652" t="s">
        <v>12273</v>
      </c>
      <c r="BT652" t="str">
        <f>HYPERLINK("https%3A%2F%2Fwww.webofscience.com%2Fwos%2Fwoscc%2Ffull-record%2FWOS:000296632900008","View Full Record in Web of Science")</f>
        <v>View Full Record in Web of Science</v>
      </c>
    </row>
    <row r="653" spans="1:72" x14ac:dyDescent="0.15">
      <c r="A653" t="s">
        <v>72</v>
      </c>
      <c r="B653" t="s">
        <v>12274</v>
      </c>
      <c r="C653" t="s">
        <v>74</v>
      </c>
      <c r="D653" t="s">
        <v>74</v>
      </c>
      <c r="E653" t="s">
        <v>74</v>
      </c>
      <c r="F653" t="s">
        <v>12275</v>
      </c>
      <c r="G653" t="s">
        <v>74</v>
      </c>
      <c r="H653" t="s">
        <v>74</v>
      </c>
      <c r="I653" t="s">
        <v>12276</v>
      </c>
      <c r="J653" t="s">
        <v>12277</v>
      </c>
      <c r="K653" t="s">
        <v>74</v>
      </c>
      <c r="L653" t="s">
        <v>74</v>
      </c>
      <c r="M653" t="s">
        <v>78</v>
      </c>
      <c r="N653" t="s">
        <v>79</v>
      </c>
      <c r="O653" t="s">
        <v>74</v>
      </c>
      <c r="P653" t="s">
        <v>74</v>
      </c>
      <c r="Q653" t="s">
        <v>74</v>
      </c>
      <c r="R653" t="s">
        <v>74</v>
      </c>
      <c r="S653" t="s">
        <v>74</v>
      </c>
      <c r="T653" t="s">
        <v>12278</v>
      </c>
      <c r="U653" t="s">
        <v>12279</v>
      </c>
      <c r="V653" t="s">
        <v>12280</v>
      </c>
      <c r="W653" t="s">
        <v>12281</v>
      </c>
      <c r="X653" t="s">
        <v>12282</v>
      </c>
      <c r="Y653" t="s">
        <v>12283</v>
      </c>
      <c r="Z653" t="s">
        <v>12284</v>
      </c>
      <c r="AA653" t="s">
        <v>12285</v>
      </c>
      <c r="AB653" t="s">
        <v>12286</v>
      </c>
      <c r="AC653" t="s">
        <v>12287</v>
      </c>
      <c r="AD653" t="s">
        <v>12288</v>
      </c>
      <c r="AE653" t="s">
        <v>12289</v>
      </c>
      <c r="AF653" t="s">
        <v>74</v>
      </c>
      <c r="AG653">
        <v>30</v>
      </c>
      <c r="AH653">
        <v>18</v>
      </c>
      <c r="AI653">
        <v>20</v>
      </c>
      <c r="AJ653">
        <v>0</v>
      </c>
      <c r="AK653">
        <v>18</v>
      </c>
      <c r="AL653" t="s">
        <v>250</v>
      </c>
      <c r="AM653" t="s">
        <v>251</v>
      </c>
      <c r="AN653" t="s">
        <v>252</v>
      </c>
      <c r="AO653" t="s">
        <v>12290</v>
      </c>
      <c r="AP653" t="s">
        <v>12291</v>
      </c>
      <c r="AQ653" t="s">
        <v>74</v>
      </c>
      <c r="AR653" t="s">
        <v>12292</v>
      </c>
      <c r="AS653" t="s">
        <v>12293</v>
      </c>
      <c r="AT653" t="s">
        <v>9913</v>
      </c>
      <c r="AU653">
        <v>2011</v>
      </c>
      <c r="AV653">
        <v>100</v>
      </c>
      <c r="AW653">
        <v>4</v>
      </c>
      <c r="AX653" t="s">
        <v>74</v>
      </c>
      <c r="AY653" t="s">
        <v>74</v>
      </c>
      <c r="AZ653" t="s">
        <v>74</v>
      </c>
      <c r="BA653" t="s">
        <v>74</v>
      </c>
      <c r="BB653">
        <v>537</v>
      </c>
      <c r="BC653">
        <v>543</v>
      </c>
      <c r="BD653" t="s">
        <v>74</v>
      </c>
      <c r="BE653" t="s">
        <v>12294</v>
      </c>
      <c r="BF653" t="str">
        <f>HYPERLINK("http://dx.doi.org/10.1007/s10482-011-9609-7","http://dx.doi.org/10.1007/s10482-011-9609-7")</f>
        <v>http://dx.doi.org/10.1007/s10482-011-9609-7</v>
      </c>
      <c r="BG653" t="s">
        <v>74</v>
      </c>
      <c r="BH653" t="s">
        <v>74</v>
      </c>
      <c r="BI653">
        <v>7</v>
      </c>
      <c r="BJ653" t="s">
        <v>3089</v>
      </c>
      <c r="BK653" t="s">
        <v>100</v>
      </c>
      <c r="BL653" t="s">
        <v>3089</v>
      </c>
      <c r="BM653" t="s">
        <v>12295</v>
      </c>
      <c r="BN653">
        <v>21691776</v>
      </c>
      <c r="BO653" t="s">
        <v>74</v>
      </c>
      <c r="BP653" t="s">
        <v>74</v>
      </c>
      <c r="BQ653" t="s">
        <v>74</v>
      </c>
      <c r="BR653" t="s">
        <v>102</v>
      </c>
      <c r="BS653" t="s">
        <v>12296</v>
      </c>
      <c r="BT653" t="str">
        <f>HYPERLINK("https%3A%2F%2Fwww.webofscience.com%2Fwos%2Fwoscc%2Ffull-record%2FWOS:000295736900006","View Full Record in Web of Science")</f>
        <v>View Full Record in Web of Science</v>
      </c>
    </row>
    <row r="654" spans="1:72" x14ac:dyDescent="0.15">
      <c r="A654" t="s">
        <v>72</v>
      </c>
      <c r="B654" t="s">
        <v>12297</v>
      </c>
      <c r="C654" t="s">
        <v>74</v>
      </c>
      <c r="D654" t="s">
        <v>74</v>
      </c>
      <c r="E654" t="s">
        <v>74</v>
      </c>
      <c r="F654" t="s">
        <v>12298</v>
      </c>
      <c r="G654" t="s">
        <v>74</v>
      </c>
      <c r="H654" t="s">
        <v>12299</v>
      </c>
      <c r="I654" t="s">
        <v>12300</v>
      </c>
      <c r="J654" t="s">
        <v>11563</v>
      </c>
      <c r="K654" t="s">
        <v>74</v>
      </c>
      <c r="L654" t="s">
        <v>74</v>
      </c>
      <c r="M654" t="s">
        <v>78</v>
      </c>
      <c r="N654" t="s">
        <v>79</v>
      </c>
      <c r="O654" t="s">
        <v>74</v>
      </c>
      <c r="P654" t="s">
        <v>74</v>
      </c>
      <c r="Q654" t="s">
        <v>74</v>
      </c>
      <c r="R654" t="s">
        <v>74</v>
      </c>
      <c r="S654" t="s">
        <v>74</v>
      </c>
      <c r="T654" t="s">
        <v>74</v>
      </c>
      <c r="U654" t="s">
        <v>12301</v>
      </c>
      <c r="V654" t="s">
        <v>12302</v>
      </c>
      <c r="W654" t="s">
        <v>12303</v>
      </c>
      <c r="X654" t="s">
        <v>12304</v>
      </c>
      <c r="Y654" t="s">
        <v>12305</v>
      </c>
      <c r="Z654" t="s">
        <v>12306</v>
      </c>
      <c r="AA654" t="s">
        <v>12307</v>
      </c>
      <c r="AB654" t="s">
        <v>12308</v>
      </c>
      <c r="AC654" t="s">
        <v>12309</v>
      </c>
      <c r="AD654" t="s">
        <v>12310</v>
      </c>
      <c r="AE654" t="s">
        <v>12311</v>
      </c>
      <c r="AF654" t="s">
        <v>74</v>
      </c>
      <c r="AG654">
        <v>79</v>
      </c>
      <c r="AH654">
        <v>67</v>
      </c>
      <c r="AI654">
        <v>71</v>
      </c>
      <c r="AJ654">
        <v>2</v>
      </c>
      <c r="AK654">
        <v>40</v>
      </c>
      <c r="AL654" t="s">
        <v>7665</v>
      </c>
      <c r="AM654" t="s">
        <v>7666</v>
      </c>
      <c r="AN654" t="s">
        <v>7667</v>
      </c>
      <c r="AO654" t="s">
        <v>11575</v>
      </c>
      <c r="AP654" t="s">
        <v>11576</v>
      </c>
      <c r="AQ654" t="s">
        <v>74</v>
      </c>
      <c r="AR654" t="s">
        <v>11577</v>
      </c>
      <c r="AS654" t="s">
        <v>11578</v>
      </c>
      <c r="AT654" t="s">
        <v>10284</v>
      </c>
      <c r="AU654">
        <v>2011</v>
      </c>
      <c r="AV654">
        <v>123</v>
      </c>
      <c r="AW654" t="s">
        <v>8435</v>
      </c>
      <c r="AX654" t="s">
        <v>74</v>
      </c>
      <c r="AY654" t="s">
        <v>74</v>
      </c>
      <c r="AZ654" t="s">
        <v>74</v>
      </c>
      <c r="BA654" t="s">
        <v>74</v>
      </c>
      <c r="BB654">
        <v>2352</v>
      </c>
      <c r="BC654">
        <v>2365</v>
      </c>
      <c r="BD654" t="s">
        <v>74</v>
      </c>
      <c r="BE654" t="s">
        <v>12312</v>
      </c>
      <c r="BF654" t="str">
        <f>HYPERLINK("http://dx.doi.org/10.1130/B30334.1","http://dx.doi.org/10.1130/B30334.1")</f>
        <v>http://dx.doi.org/10.1130/B30334.1</v>
      </c>
      <c r="BG654" t="s">
        <v>74</v>
      </c>
      <c r="BH654" t="s">
        <v>74</v>
      </c>
      <c r="BI654">
        <v>14</v>
      </c>
      <c r="BJ654" t="s">
        <v>287</v>
      </c>
      <c r="BK654" t="s">
        <v>100</v>
      </c>
      <c r="BL654" t="s">
        <v>288</v>
      </c>
      <c r="BM654" t="s">
        <v>11580</v>
      </c>
      <c r="BN654" t="s">
        <v>74</v>
      </c>
      <c r="BO654" t="s">
        <v>74</v>
      </c>
      <c r="BP654" t="s">
        <v>74</v>
      </c>
      <c r="BQ654" t="s">
        <v>74</v>
      </c>
      <c r="BR654" t="s">
        <v>102</v>
      </c>
      <c r="BS654" t="s">
        <v>12313</v>
      </c>
      <c r="BT654" t="str">
        <f>HYPERLINK("https%3A%2F%2Fwww.webofscience.com%2Fwos%2Fwoscc%2Ffull-record%2FWOS:000295402600015","View Full Record in Web of Science")</f>
        <v>View Full Record in Web of Science</v>
      </c>
    </row>
    <row r="655" spans="1:72" x14ac:dyDescent="0.15">
      <c r="A655" t="s">
        <v>72</v>
      </c>
      <c r="B655" t="s">
        <v>12314</v>
      </c>
      <c r="C655" t="s">
        <v>74</v>
      </c>
      <c r="D655" t="s">
        <v>74</v>
      </c>
      <c r="E655" t="s">
        <v>74</v>
      </c>
      <c r="F655" t="s">
        <v>12315</v>
      </c>
      <c r="G655" t="s">
        <v>74</v>
      </c>
      <c r="H655" t="s">
        <v>74</v>
      </c>
      <c r="I655" t="s">
        <v>12316</v>
      </c>
      <c r="J655" t="s">
        <v>3511</v>
      </c>
      <c r="K655" t="s">
        <v>74</v>
      </c>
      <c r="L655" t="s">
        <v>74</v>
      </c>
      <c r="M655" t="s">
        <v>78</v>
      </c>
      <c r="N655" t="s">
        <v>79</v>
      </c>
      <c r="O655" t="s">
        <v>74</v>
      </c>
      <c r="P655" t="s">
        <v>74</v>
      </c>
      <c r="Q655" t="s">
        <v>74</v>
      </c>
      <c r="R655" t="s">
        <v>74</v>
      </c>
      <c r="S655" t="s">
        <v>74</v>
      </c>
      <c r="T655" t="s">
        <v>12317</v>
      </c>
      <c r="U655" t="s">
        <v>12318</v>
      </c>
      <c r="V655" t="s">
        <v>12319</v>
      </c>
      <c r="W655" t="s">
        <v>12320</v>
      </c>
      <c r="X655" t="s">
        <v>9400</v>
      </c>
      <c r="Y655" t="s">
        <v>12321</v>
      </c>
      <c r="Z655" t="s">
        <v>9402</v>
      </c>
      <c r="AA655" t="s">
        <v>12322</v>
      </c>
      <c r="AB655" t="s">
        <v>74</v>
      </c>
      <c r="AC655" t="s">
        <v>12323</v>
      </c>
      <c r="AD655" t="s">
        <v>12324</v>
      </c>
      <c r="AE655" t="s">
        <v>12325</v>
      </c>
      <c r="AF655" t="s">
        <v>74</v>
      </c>
      <c r="AG655">
        <v>144</v>
      </c>
      <c r="AH655">
        <v>51</v>
      </c>
      <c r="AI655">
        <v>59</v>
      </c>
      <c r="AJ655">
        <v>0</v>
      </c>
      <c r="AK655">
        <v>20</v>
      </c>
      <c r="AL655" t="s">
        <v>333</v>
      </c>
      <c r="AM655" t="s">
        <v>334</v>
      </c>
      <c r="AN655" t="s">
        <v>335</v>
      </c>
      <c r="AO655" t="s">
        <v>3519</v>
      </c>
      <c r="AP655" t="s">
        <v>3520</v>
      </c>
      <c r="AQ655" t="s">
        <v>74</v>
      </c>
      <c r="AR655" t="s">
        <v>3521</v>
      </c>
      <c r="AS655" t="s">
        <v>3522</v>
      </c>
      <c r="AT655" t="s">
        <v>9913</v>
      </c>
      <c r="AU655">
        <v>2011</v>
      </c>
      <c r="AV655">
        <v>20</v>
      </c>
      <c r="AW655">
        <v>4</v>
      </c>
      <c r="AX655" t="s">
        <v>74</v>
      </c>
      <c r="AY655" t="s">
        <v>74</v>
      </c>
      <c r="AZ655" t="s">
        <v>74</v>
      </c>
      <c r="BA655" t="s">
        <v>74</v>
      </c>
      <c r="BB655">
        <v>710</v>
      </c>
      <c r="BC655">
        <v>738</v>
      </c>
      <c r="BD655" t="s">
        <v>74</v>
      </c>
      <c r="BE655" t="s">
        <v>12326</v>
      </c>
      <c r="BF655" t="str">
        <f>HYPERLINK("http://dx.doi.org/10.1016/j.gr.2011.03.007","http://dx.doi.org/10.1016/j.gr.2011.03.007")</f>
        <v>http://dx.doi.org/10.1016/j.gr.2011.03.007</v>
      </c>
      <c r="BG655" t="s">
        <v>74</v>
      </c>
      <c r="BH655" t="s">
        <v>74</v>
      </c>
      <c r="BI655">
        <v>29</v>
      </c>
      <c r="BJ655" t="s">
        <v>287</v>
      </c>
      <c r="BK655" t="s">
        <v>100</v>
      </c>
      <c r="BL655" t="s">
        <v>288</v>
      </c>
      <c r="BM655" t="s">
        <v>12327</v>
      </c>
      <c r="BN655" t="s">
        <v>74</v>
      </c>
      <c r="BO655" t="s">
        <v>74</v>
      </c>
      <c r="BP655" t="s">
        <v>74</v>
      </c>
      <c r="BQ655" t="s">
        <v>74</v>
      </c>
      <c r="BR655" t="s">
        <v>102</v>
      </c>
      <c r="BS655" t="s">
        <v>12328</v>
      </c>
      <c r="BT655" t="str">
        <f>HYPERLINK("https%3A%2F%2Fwww.webofscience.com%2Fwos%2Fwoscc%2Ffull-record%2FWOS:000295754700004","View Full Record in Web of Science")</f>
        <v>View Full Record in Web of Science</v>
      </c>
    </row>
    <row r="656" spans="1:72" x14ac:dyDescent="0.15">
      <c r="A656" t="s">
        <v>72</v>
      </c>
      <c r="B656" t="s">
        <v>12329</v>
      </c>
      <c r="C656" t="s">
        <v>74</v>
      </c>
      <c r="D656" t="s">
        <v>74</v>
      </c>
      <c r="E656" t="s">
        <v>74</v>
      </c>
      <c r="F656" t="s">
        <v>12330</v>
      </c>
      <c r="G656" t="s">
        <v>74</v>
      </c>
      <c r="H656" t="s">
        <v>74</v>
      </c>
      <c r="I656" t="s">
        <v>12331</v>
      </c>
      <c r="J656" t="s">
        <v>12332</v>
      </c>
      <c r="K656" t="s">
        <v>74</v>
      </c>
      <c r="L656" t="s">
        <v>74</v>
      </c>
      <c r="M656" t="s">
        <v>78</v>
      </c>
      <c r="N656" t="s">
        <v>79</v>
      </c>
      <c r="O656" t="s">
        <v>74</v>
      </c>
      <c r="P656" t="s">
        <v>74</v>
      </c>
      <c r="Q656" t="s">
        <v>74</v>
      </c>
      <c r="R656" t="s">
        <v>74</v>
      </c>
      <c r="S656" t="s">
        <v>74</v>
      </c>
      <c r="T656" t="s">
        <v>12333</v>
      </c>
      <c r="U656" t="s">
        <v>12334</v>
      </c>
      <c r="V656" t="s">
        <v>12335</v>
      </c>
      <c r="W656" t="s">
        <v>12336</v>
      </c>
      <c r="X656" t="s">
        <v>12337</v>
      </c>
      <c r="Y656" t="s">
        <v>12338</v>
      </c>
      <c r="Z656" t="s">
        <v>12339</v>
      </c>
      <c r="AA656" t="s">
        <v>12340</v>
      </c>
      <c r="AB656" t="s">
        <v>12341</v>
      </c>
      <c r="AC656" t="s">
        <v>12342</v>
      </c>
      <c r="AD656" t="s">
        <v>12343</v>
      </c>
      <c r="AE656" t="s">
        <v>12344</v>
      </c>
      <c r="AF656" t="s">
        <v>74</v>
      </c>
      <c r="AG656">
        <v>52</v>
      </c>
      <c r="AH656">
        <v>64</v>
      </c>
      <c r="AI656">
        <v>70</v>
      </c>
      <c r="AJ656">
        <v>0</v>
      </c>
      <c r="AK656">
        <v>66</v>
      </c>
      <c r="AL656" t="s">
        <v>155</v>
      </c>
      <c r="AM656" t="s">
        <v>156</v>
      </c>
      <c r="AN656" t="s">
        <v>157</v>
      </c>
      <c r="AO656" t="s">
        <v>12345</v>
      </c>
      <c r="AP656" t="s">
        <v>12346</v>
      </c>
      <c r="AQ656" t="s">
        <v>74</v>
      </c>
      <c r="AR656" t="s">
        <v>12347</v>
      </c>
      <c r="AS656" t="s">
        <v>12348</v>
      </c>
      <c r="AT656" t="s">
        <v>9913</v>
      </c>
      <c r="AU656">
        <v>2011</v>
      </c>
      <c r="AV656">
        <v>37</v>
      </c>
      <c r="AW656">
        <v>8</v>
      </c>
      <c r="AX656" t="s">
        <v>74</v>
      </c>
      <c r="AY656" t="s">
        <v>74</v>
      </c>
      <c r="AZ656" t="s">
        <v>74</v>
      </c>
      <c r="BA656" t="s">
        <v>74</v>
      </c>
      <c r="BB656">
        <v>1329</v>
      </c>
      <c r="BC656">
        <v>1335</v>
      </c>
      <c r="BD656" t="s">
        <v>74</v>
      </c>
      <c r="BE656" t="s">
        <v>12349</v>
      </c>
      <c r="BF656" t="str">
        <f>HYPERLINK("http://dx.doi.org/10.1016/j.envint.2011.05.017","http://dx.doi.org/10.1016/j.envint.2011.05.017")</f>
        <v>http://dx.doi.org/10.1016/j.envint.2011.05.017</v>
      </c>
      <c r="BG656" t="s">
        <v>74</v>
      </c>
      <c r="BH656" t="s">
        <v>74</v>
      </c>
      <c r="BI656">
        <v>7</v>
      </c>
      <c r="BJ656" t="s">
        <v>2924</v>
      </c>
      <c r="BK656" t="s">
        <v>100</v>
      </c>
      <c r="BL656" t="s">
        <v>2837</v>
      </c>
      <c r="BM656" t="s">
        <v>12350</v>
      </c>
      <c r="BN656">
        <v>21704375</v>
      </c>
      <c r="BO656" t="s">
        <v>74</v>
      </c>
      <c r="BP656" t="s">
        <v>74</v>
      </c>
      <c r="BQ656" t="s">
        <v>74</v>
      </c>
      <c r="BR656" t="s">
        <v>102</v>
      </c>
      <c r="BS656" t="s">
        <v>12351</v>
      </c>
      <c r="BT656" t="str">
        <f>HYPERLINK("https%3A%2F%2Fwww.webofscience.com%2Fwos%2Fwoscc%2Ffull-record%2FWOS:000294582400004","View Full Record in Web of Science")</f>
        <v>View Full Record in Web of Science</v>
      </c>
    </row>
    <row r="657" spans="1:72" x14ac:dyDescent="0.15">
      <c r="A657" t="s">
        <v>72</v>
      </c>
      <c r="B657" t="s">
        <v>12352</v>
      </c>
      <c r="C657" t="s">
        <v>74</v>
      </c>
      <c r="D657" t="s">
        <v>74</v>
      </c>
      <c r="E657" t="s">
        <v>74</v>
      </c>
      <c r="F657" t="s">
        <v>12353</v>
      </c>
      <c r="G657" t="s">
        <v>74</v>
      </c>
      <c r="H657" t="s">
        <v>74</v>
      </c>
      <c r="I657" t="s">
        <v>12354</v>
      </c>
      <c r="J657" t="s">
        <v>7726</v>
      </c>
      <c r="K657" t="s">
        <v>74</v>
      </c>
      <c r="L657" t="s">
        <v>74</v>
      </c>
      <c r="M657" t="s">
        <v>78</v>
      </c>
      <c r="N657" t="s">
        <v>79</v>
      </c>
      <c r="O657" t="s">
        <v>74</v>
      </c>
      <c r="P657" t="s">
        <v>74</v>
      </c>
      <c r="Q657" t="s">
        <v>74</v>
      </c>
      <c r="R657" t="s">
        <v>74</v>
      </c>
      <c r="S657" t="s">
        <v>74</v>
      </c>
      <c r="T657" t="s">
        <v>12355</v>
      </c>
      <c r="U657" t="s">
        <v>12356</v>
      </c>
      <c r="V657" t="s">
        <v>12357</v>
      </c>
      <c r="W657" t="s">
        <v>12358</v>
      </c>
      <c r="X657" t="s">
        <v>12359</v>
      </c>
      <c r="Y657" t="s">
        <v>12360</v>
      </c>
      <c r="Z657" t="s">
        <v>12361</v>
      </c>
      <c r="AA657" t="s">
        <v>12362</v>
      </c>
      <c r="AB657" t="s">
        <v>12363</v>
      </c>
      <c r="AC657" t="s">
        <v>12364</v>
      </c>
      <c r="AD657" t="s">
        <v>12365</v>
      </c>
      <c r="AE657" t="s">
        <v>12366</v>
      </c>
      <c r="AF657" t="s">
        <v>74</v>
      </c>
      <c r="AG657">
        <v>37</v>
      </c>
      <c r="AH657">
        <v>12</v>
      </c>
      <c r="AI657">
        <v>14</v>
      </c>
      <c r="AJ657">
        <v>1</v>
      </c>
      <c r="AK657">
        <v>21</v>
      </c>
      <c r="AL657" t="s">
        <v>333</v>
      </c>
      <c r="AM657" t="s">
        <v>334</v>
      </c>
      <c r="AN657" t="s">
        <v>335</v>
      </c>
      <c r="AO657" t="s">
        <v>7739</v>
      </c>
      <c r="AP657" t="s">
        <v>7740</v>
      </c>
      <c r="AQ657" t="s">
        <v>74</v>
      </c>
      <c r="AR657" t="s">
        <v>7741</v>
      </c>
      <c r="AS657" t="s">
        <v>7742</v>
      </c>
      <c r="AT657" t="s">
        <v>12367</v>
      </c>
      <c r="AU657">
        <v>2011</v>
      </c>
      <c r="AV657">
        <v>407</v>
      </c>
      <c r="AW657">
        <v>2</v>
      </c>
      <c r="AX657" t="s">
        <v>74</v>
      </c>
      <c r="AY657" t="s">
        <v>74</v>
      </c>
      <c r="AZ657" t="s">
        <v>74</v>
      </c>
      <c r="BA657" t="s">
        <v>74</v>
      </c>
      <c r="BB657">
        <v>323</v>
      </c>
      <c r="BC657">
        <v>329</v>
      </c>
      <c r="BD657" t="s">
        <v>74</v>
      </c>
      <c r="BE657" t="s">
        <v>12368</v>
      </c>
      <c r="BF657" t="str">
        <f>HYPERLINK("http://dx.doi.org/10.1016/j.jembe.2011.07.001","http://dx.doi.org/10.1016/j.jembe.2011.07.001")</f>
        <v>http://dx.doi.org/10.1016/j.jembe.2011.07.001</v>
      </c>
      <c r="BG657" t="s">
        <v>74</v>
      </c>
      <c r="BH657" t="s">
        <v>74</v>
      </c>
      <c r="BI657">
        <v>7</v>
      </c>
      <c r="BJ657" t="s">
        <v>4394</v>
      </c>
      <c r="BK657" t="s">
        <v>100</v>
      </c>
      <c r="BL657" t="s">
        <v>4395</v>
      </c>
      <c r="BM657" t="s">
        <v>12369</v>
      </c>
      <c r="BN657" t="s">
        <v>74</v>
      </c>
      <c r="BO657" t="s">
        <v>74</v>
      </c>
      <c r="BP657" t="s">
        <v>74</v>
      </c>
      <c r="BQ657" t="s">
        <v>74</v>
      </c>
      <c r="BR657" t="s">
        <v>102</v>
      </c>
      <c r="BS657" t="s">
        <v>12370</v>
      </c>
      <c r="BT657" t="str">
        <f>HYPERLINK("https%3A%2F%2Fwww.webofscience.com%2Fwos%2Fwoscc%2Ffull-record%2FWOS:000295707900024","View Full Record in Web of Science")</f>
        <v>View Full Record in Web of Science</v>
      </c>
    </row>
    <row r="658" spans="1:72" x14ac:dyDescent="0.15">
      <c r="A658" t="s">
        <v>72</v>
      </c>
      <c r="B658" t="s">
        <v>12371</v>
      </c>
      <c r="C658" t="s">
        <v>74</v>
      </c>
      <c r="D658" t="s">
        <v>74</v>
      </c>
      <c r="E658" t="s">
        <v>74</v>
      </c>
      <c r="F658" t="s">
        <v>12372</v>
      </c>
      <c r="G658" t="s">
        <v>74</v>
      </c>
      <c r="H658" t="s">
        <v>74</v>
      </c>
      <c r="I658" t="s">
        <v>12373</v>
      </c>
      <c r="J658" t="s">
        <v>7726</v>
      </c>
      <c r="K658" t="s">
        <v>74</v>
      </c>
      <c r="L658" t="s">
        <v>74</v>
      </c>
      <c r="M658" t="s">
        <v>78</v>
      </c>
      <c r="N658" t="s">
        <v>79</v>
      </c>
      <c r="O658" t="s">
        <v>74</v>
      </c>
      <c r="P658" t="s">
        <v>74</v>
      </c>
      <c r="Q658" t="s">
        <v>74</v>
      </c>
      <c r="R658" t="s">
        <v>74</v>
      </c>
      <c r="S658" t="s">
        <v>74</v>
      </c>
      <c r="T658" t="s">
        <v>12374</v>
      </c>
      <c r="U658" t="s">
        <v>12375</v>
      </c>
      <c r="V658" t="s">
        <v>12376</v>
      </c>
      <c r="W658" t="s">
        <v>12377</v>
      </c>
      <c r="X658" t="s">
        <v>527</v>
      </c>
      <c r="Y658" t="s">
        <v>12378</v>
      </c>
      <c r="Z658" t="s">
        <v>12379</v>
      </c>
      <c r="AA658" t="s">
        <v>12380</v>
      </c>
      <c r="AB658" t="s">
        <v>12381</v>
      </c>
      <c r="AC658" t="s">
        <v>12382</v>
      </c>
      <c r="AD658" t="s">
        <v>12383</v>
      </c>
      <c r="AE658" t="s">
        <v>12384</v>
      </c>
      <c r="AF658" t="s">
        <v>74</v>
      </c>
      <c r="AG658">
        <v>67</v>
      </c>
      <c r="AH658">
        <v>26</v>
      </c>
      <c r="AI658">
        <v>26</v>
      </c>
      <c r="AJ658">
        <v>0</v>
      </c>
      <c r="AK658">
        <v>23</v>
      </c>
      <c r="AL658" t="s">
        <v>333</v>
      </c>
      <c r="AM658" t="s">
        <v>334</v>
      </c>
      <c r="AN658" t="s">
        <v>335</v>
      </c>
      <c r="AO658" t="s">
        <v>7739</v>
      </c>
      <c r="AP658" t="s">
        <v>7740</v>
      </c>
      <c r="AQ658" t="s">
        <v>74</v>
      </c>
      <c r="AR658" t="s">
        <v>7741</v>
      </c>
      <c r="AS658" t="s">
        <v>7742</v>
      </c>
      <c r="AT658" t="s">
        <v>12367</v>
      </c>
      <c r="AU658">
        <v>2011</v>
      </c>
      <c r="AV658">
        <v>407</v>
      </c>
      <c r="AW658">
        <v>2</v>
      </c>
      <c r="AX658" t="s">
        <v>74</v>
      </c>
      <c r="AY658" t="s">
        <v>74</v>
      </c>
      <c r="AZ658" t="s">
        <v>74</v>
      </c>
      <c r="BA658" t="s">
        <v>74</v>
      </c>
      <c r="BB658">
        <v>315</v>
      </c>
      <c r="BC658">
        <v>322</v>
      </c>
      <c r="BD658" t="s">
        <v>74</v>
      </c>
      <c r="BE658" t="s">
        <v>12385</v>
      </c>
      <c r="BF658" t="str">
        <f>HYPERLINK("http://dx.doi.org/10.1016/j.jembe.2011.06.032","http://dx.doi.org/10.1016/j.jembe.2011.06.032")</f>
        <v>http://dx.doi.org/10.1016/j.jembe.2011.06.032</v>
      </c>
      <c r="BG658" t="s">
        <v>74</v>
      </c>
      <c r="BH658" t="s">
        <v>74</v>
      </c>
      <c r="BI658">
        <v>8</v>
      </c>
      <c r="BJ658" t="s">
        <v>4394</v>
      </c>
      <c r="BK658" t="s">
        <v>100</v>
      </c>
      <c r="BL658" t="s">
        <v>4395</v>
      </c>
      <c r="BM658" t="s">
        <v>12369</v>
      </c>
      <c r="BN658" t="s">
        <v>74</v>
      </c>
      <c r="BO658" t="s">
        <v>74</v>
      </c>
      <c r="BP658" t="s">
        <v>74</v>
      </c>
      <c r="BQ658" t="s">
        <v>74</v>
      </c>
      <c r="BR658" t="s">
        <v>102</v>
      </c>
      <c r="BS658" t="s">
        <v>12386</v>
      </c>
      <c r="BT658" t="str">
        <f>HYPERLINK("https%3A%2F%2Fwww.webofscience.com%2Fwos%2Fwoscc%2Ffull-record%2FWOS:000295707900023","View Full Record in Web of Science")</f>
        <v>View Full Record in Web of Science</v>
      </c>
    </row>
    <row r="659" spans="1:72" x14ac:dyDescent="0.15">
      <c r="A659" t="s">
        <v>72</v>
      </c>
      <c r="B659" t="s">
        <v>12387</v>
      </c>
      <c r="C659" t="s">
        <v>74</v>
      </c>
      <c r="D659" t="s">
        <v>74</v>
      </c>
      <c r="E659" t="s">
        <v>74</v>
      </c>
      <c r="F659" t="s">
        <v>12388</v>
      </c>
      <c r="G659" t="s">
        <v>74</v>
      </c>
      <c r="H659" t="s">
        <v>74</v>
      </c>
      <c r="I659" t="s">
        <v>12389</v>
      </c>
      <c r="J659" t="s">
        <v>7084</v>
      </c>
      <c r="K659" t="s">
        <v>74</v>
      </c>
      <c r="L659" t="s">
        <v>74</v>
      </c>
      <c r="M659" t="s">
        <v>78</v>
      </c>
      <c r="N659" t="s">
        <v>79</v>
      </c>
      <c r="O659" t="s">
        <v>74</v>
      </c>
      <c r="P659" t="s">
        <v>74</v>
      </c>
      <c r="Q659" t="s">
        <v>74</v>
      </c>
      <c r="R659" t="s">
        <v>74</v>
      </c>
      <c r="S659" t="s">
        <v>74</v>
      </c>
      <c r="T659" t="s">
        <v>12390</v>
      </c>
      <c r="U659" t="s">
        <v>12391</v>
      </c>
      <c r="V659" t="s">
        <v>12392</v>
      </c>
      <c r="W659" t="s">
        <v>12393</v>
      </c>
      <c r="X659" t="s">
        <v>12394</v>
      </c>
      <c r="Y659" t="s">
        <v>12395</v>
      </c>
      <c r="Z659" t="s">
        <v>12396</v>
      </c>
      <c r="AA659" t="s">
        <v>12397</v>
      </c>
      <c r="AB659" t="s">
        <v>12398</v>
      </c>
      <c r="AC659" t="s">
        <v>12399</v>
      </c>
      <c r="AD659" t="s">
        <v>12400</v>
      </c>
      <c r="AE659" t="s">
        <v>12401</v>
      </c>
      <c r="AF659" t="s">
        <v>74</v>
      </c>
      <c r="AG659">
        <v>34</v>
      </c>
      <c r="AH659">
        <v>11</v>
      </c>
      <c r="AI659">
        <v>13</v>
      </c>
      <c r="AJ659">
        <v>0</v>
      </c>
      <c r="AK659">
        <v>8</v>
      </c>
      <c r="AL659" t="s">
        <v>7095</v>
      </c>
      <c r="AM659" t="s">
        <v>7096</v>
      </c>
      <c r="AN659" t="s">
        <v>7097</v>
      </c>
      <c r="AO659" t="s">
        <v>7098</v>
      </c>
      <c r="AP659" t="s">
        <v>7099</v>
      </c>
      <c r="AQ659" t="s">
        <v>74</v>
      </c>
      <c r="AR659" t="s">
        <v>7084</v>
      </c>
      <c r="AS659" t="s">
        <v>7100</v>
      </c>
      <c r="AT659" t="s">
        <v>12367</v>
      </c>
      <c r="AU659">
        <v>2011</v>
      </c>
      <c r="AV659" t="s">
        <v>74</v>
      </c>
      <c r="AW659">
        <v>3085</v>
      </c>
      <c r="AX659" t="s">
        <v>74</v>
      </c>
      <c r="AY659" t="s">
        <v>74</v>
      </c>
      <c r="AZ659" t="s">
        <v>74</v>
      </c>
      <c r="BA659" t="s">
        <v>74</v>
      </c>
      <c r="BB659">
        <v>41</v>
      </c>
      <c r="BC659">
        <v>54</v>
      </c>
      <c r="BD659" t="s">
        <v>74</v>
      </c>
      <c r="BE659" t="s">
        <v>74</v>
      </c>
      <c r="BF659" t="s">
        <v>74</v>
      </c>
      <c r="BG659" t="s">
        <v>74</v>
      </c>
      <c r="BH659" t="s">
        <v>74</v>
      </c>
      <c r="BI659">
        <v>14</v>
      </c>
      <c r="BJ659" t="s">
        <v>2881</v>
      </c>
      <c r="BK659" t="s">
        <v>100</v>
      </c>
      <c r="BL659" t="s">
        <v>2881</v>
      </c>
      <c r="BM659" t="s">
        <v>12402</v>
      </c>
      <c r="BN659" t="s">
        <v>74</v>
      </c>
      <c r="BO659" t="s">
        <v>74</v>
      </c>
      <c r="BP659" t="s">
        <v>74</v>
      </c>
      <c r="BQ659" t="s">
        <v>74</v>
      </c>
      <c r="BR659" t="s">
        <v>102</v>
      </c>
      <c r="BS659" t="s">
        <v>12403</v>
      </c>
      <c r="BT659" t="str">
        <f>HYPERLINK("https%3A%2F%2Fwww.webofscience.com%2Fwos%2Fwoscc%2Ffull-record%2FWOS:000296876900003","View Full Record in Web of Science")</f>
        <v>View Full Record in Web of Science</v>
      </c>
    </row>
    <row r="660" spans="1:72" x14ac:dyDescent="0.15">
      <c r="A660" t="s">
        <v>72</v>
      </c>
      <c r="B660" t="s">
        <v>12404</v>
      </c>
      <c r="C660" t="s">
        <v>74</v>
      </c>
      <c r="D660" t="s">
        <v>74</v>
      </c>
      <c r="E660" t="s">
        <v>74</v>
      </c>
      <c r="F660" t="s">
        <v>12405</v>
      </c>
      <c r="G660" t="s">
        <v>74</v>
      </c>
      <c r="H660" t="s">
        <v>74</v>
      </c>
      <c r="I660" t="s">
        <v>12406</v>
      </c>
      <c r="J660" t="s">
        <v>6165</v>
      </c>
      <c r="K660" t="s">
        <v>74</v>
      </c>
      <c r="L660" t="s">
        <v>74</v>
      </c>
      <c r="M660" t="s">
        <v>78</v>
      </c>
      <c r="N660" t="s">
        <v>79</v>
      </c>
      <c r="O660" t="s">
        <v>74</v>
      </c>
      <c r="P660" t="s">
        <v>74</v>
      </c>
      <c r="Q660" t="s">
        <v>74</v>
      </c>
      <c r="R660" t="s">
        <v>74</v>
      </c>
      <c r="S660" t="s">
        <v>74</v>
      </c>
      <c r="T660" t="s">
        <v>74</v>
      </c>
      <c r="U660" t="s">
        <v>12407</v>
      </c>
      <c r="V660" t="s">
        <v>12408</v>
      </c>
      <c r="W660" t="s">
        <v>12409</v>
      </c>
      <c r="X660" t="s">
        <v>12410</v>
      </c>
      <c r="Y660" t="s">
        <v>12411</v>
      </c>
      <c r="Z660" t="s">
        <v>12412</v>
      </c>
      <c r="AA660" t="s">
        <v>12413</v>
      </c>
      <c r="AB660" t="s">
        <v>12414</v>
      </c>
      <c r="AC660" t="s">
        <v>12415</v>
      </c>
      <c r="AD660" t="s">
        <v>12416</v>
      </c>
      <c r="AE660" t="s">
        <v>12417</v>
      </c>
      <c r="AF660" t="s">
        <v>74</v>
      </c>
      <c r="AG660">
        <v>50</v>
      </c>
      <c r="AH660">
        <v>115</v>
      </c>
      <c r="AI660">
        <v>136</v>
      </c>
      <c r="AJ660">
        <v>1</v>
      </c>
      <c r="AK660">
        <v>74</v>
      </c>
      <c r="AL660" t="s">
        <v>5249</v>
      </c>
      <c r="AM660" t="s">
        <v>5250</v>
      </c>
      <c r="AN660" t="s">
        <v>5251</v>
      </c>
      <c r="AO660" t="s">
        <v>6177</v>
      </c>
      <c r="AP660" t="s">
        <v>74</v>
      </c>
      <c r="AQ660" t="s">
        <v>74</v>
      </c>
      <c r="AR660" t="s">
        <v>6165</v>
      </c>
      <c r="AS660" t="s">
        <v>6178</v>
      </c>
      <c r="AT660" t="s">
        <v>12418</v>
      </c>
      <c r="AU660">
        <v>2011</v>
      </c>
      <c r="AV660">
        <v>6</v>
      </c>
      <c r="AW660">
        <v>10</v>
      </c>
      <c r="AX660" t="s">
        <v>74</v>
      </c>
      <c r="AY660" t="s">
        <v>74</v>
      </c>
      <c r="AZ660" t="s">
        <v>74</v>
      </c>
      <c r="BA660" t="s">
        <v>74</v>
      </c>
      <c r="BB660" t="s">
        <v>74</v>
      </c>
      <c r="BC660" t="s">
        <v>74</v>
      </c>
      <c r="BD660" t="s">
        <v>12419</v>
      </c>
      <c r="BE660" t="s">
        <v>12420</v>
      </c>
      <c r="BF660" t="str">
        <f>HYPERLINK("http://dx.doi.org/10.1371/journal.pone.0026642","http://dx.doi.org/10.1371/journal.pone.0026642")</f>
        <v>http://dx.doi.org/10.1371/journal.pone.0026642</v>
      </c>
      <c r="BG660" t="s">
        <v>74</v>
      </c>
      <c r="BH660" t="s">
        <v>74</v>
      </c>
      <c r="BI660">
        <v>10</v>
      </c>
      <c r="BJ660" t="s">
        <v>6182</v>
      </c>
      <c r="BK660" t="s">
        <v>100</v>
      </c>
      <c r="BL660" t="s">
        <v>6183</v>
      </c>
      <c r="BM660" t="s">
        <v>12421</v>
      </c>
      <c r="BN660">
        <v>22053199</v>
      </c>
      <c r="BO660" t="s">
        <v>5046</v>
      </c>
      <c r="BP660" t="s">
        <v>74</v>
      </c>
      <c r="BQ660" t="s">
        <v>74</v>
      </c>
      <c r="BR660" t="s">
        <v>102</v>
      </c>
      <c r="BS660" t="s">
        <v>12422</v>
      </c>
      <c r="BT660" t="str">
        <f>HYPERLINK("https%3A%2F%2Fwww.webofscience.com%2Fwos%2Fwoscc%2Ffull-record%2FWOS:000299081800025","View Full Record in Web of Science")</f>
        <v>View Full Record in Web of Science</v>
      </c>
    </row>
    <row r="661" spans="1:72" x14ac:dyDescent="0.15">
      <c r="A661" t="s">
        <v>72</v>
      </c>
      <c r="B661" t="s">
        <v>12423</v>
      </c>
      <c r="C661" t="s">
        <v>74</v>
      </c>
      <c r="D661" t="s">
        <v>74</v>
      </c>
      <c r="E661" t="s">
        <v>74</v>
      </c>
      <c r="F661" t="s">
        <v>12424</v>
      </c>
      <c r="G661" t="s">
        <v>74</v>
      </c>
      <c r="H661" t="s">
        <v>74</v>
      </c>
      <c r="I661" t="s">
        <v>12425</v>
      </c>
      <c r="J661" t="s">
        <v>9397</v>
      </c>
      <c r="K661" t="s">
        <v>74</v>
      </c>
      <c r="L661" t="s">
        <v>74</v>
      </c>
      <c r="M661" t="s">
        <v>78</v>
      </c>
      <c r="N661" t="s">
        <v>79</v>
      </c>
      <c r="O661" t="s">
        <v>74</v>
      </c>
      <c r="P661" t="s">
        <v>74</v>
      </c>
      <c r="Q661" t="s">
        <v>74</v>
      </c>
      <c r="R661" t="s">
        <v>74</v>
      </c>
      <c r="S661" t="s">
        <v>74</v>
      </c>
      <c r="T661" t="s">
        <v>74</v>
      </c>
      <c r="U661" t="s">
        <v>12426</v>
      </c>
      <c r="V661" t="s">
        <v>12427</v>
      </c>
      <c r="W661" t="s">
        <v>12428</v>
      </c>
      <c r="X661" t="s">
        <v>12429</v>
      </c>
      <c r="Y661" t="s">
        <v>12430</v>
      </c>
      <c r="Z661" t="s">
        <v>12431</v>
      </c>
      <c r="AA661" t="s">
        <v>12432</v>
      </c>
      <c r="AB661" t="s">
        <v>12433</v>
      </c>
      <c r="AC661" t="s">
        <v>12434</v>
      </c>
      <c r="AD661" t="s">
        <v>12435</v>
      </c>
      <c r="AE661" t="s">
        <v>12436</v>
      </c>
      <c r="AF661" t="s">
        <v>74</v>
      </c>
      <c r="AG661">
        <v>59</v>
      </c>
      <c r="AH661">
        <v>470</v>
      </c>
      <c r="AI661">
        <v>540</v>
      </c>
      <c r="AJ661">
        <v>6</v>
      </c>
      <c r="AK661">
        <v>280</v>
      </c>
      <c r="AL661" t="s">
        <v>9403</v>
      </c>
      <c r="AM661" t="s">
        <v>221</v>
      </c>
      <c r="AN661" t="s">
        <v>9404</v>
      </c>
      <c r="AO661" t="s">
        <v>9405</v>
      </c>
      <c r="AP661" t="s">
        <v>9424</v>
      </c>
      <c r="AQ661" t="s">
        <v>74</v>
      </c>
      <c r="AR661" t="s">
        <v>9397</v>
      </c>
      <c r="AS661" t="s">
        <v>9406</v>
      </c>
      <c r="AT661" t="s">
        <v>12437</v>
      </c>
      <c r="AU661">
        <v>2011</v>
      </c>
      <c r="AV661">
        <v>478</v>
      </c>
      <c r="AW661">
        <v>7370</v>
      </c>
      <c r="AX661" t="s">
        <v>74</v>
      </c>
      <c r="AY661" t="s">
        <v>74</v>
      </c>
      <c r="AZ661" t="s">
        <v>74</v>
      </c>
      <c r="BA661" t="s">
        <v>74</v>
      </c>
      <c r="BB661">
        <v>469</v>
      </c>
      <c r="BC661" t="s">
        <v>12438</v>
      </c>
      <c r="BD661" t="s">
        <v>74</v>
      </c>
      <c r="BE661" t="s">
        <v>12439</v>
      </c>
      <c r="BF661" t="str">
        <f>HYPERLINK("http://dx.doi.org/10.1038/nature10556","http://dx.doi.org/10.1038/nature10556")</f>
        <v>http://dx.doi.org/10.1038/nature10556</v>
      </c>
      <c r="BG661" t="s">
        <v>74</v>
      </c>
      <c r="BH661" t="s">
        <v>74</v>
      </c>
      <c r="BI661">
        <v>9</v>
      </c>
      <c r="BJ661" t="s">
        <v>6182</v>
      </c>
      <c r="BK661" t="s">
        <v>100</v>
      </c>
      <c r="BL661" t="s">
        <v>6183</v>
      </c>
      <c r="BM661" t="s">
        <v>12440</v>
      </c>
      <c r="BN661">
        <v>21964337</v>
      </c>
      <c r="BO661" t="s">
        <v>74</v>
      </c>
      <c r="BP661" t="s">
        <v>74</v>
      </c>
      <c r="BQ661" t="s">
        <v>74</v>
      </c>
      <c r="BR661" t="s">
        <v>102</v>
      </c>
      <c r="BS661" t="s">
        <v>12441</v>
      </c>
      <c r="BT661" t="str">
        <f>HYPERLINK("https%3A%2F%2Fwww.webofscience.com%2Fwos%2Fwoscc%2Ffull-record%2FWOS:000296194200034","View Full Record in Web of Science")</f>
        <v>View Full Record in Web of Science</v>
      </c>
    </row>
    <row r="662" spans="1:72" x14ac:dyDescent="0.15">
      <c r="A662" t="s">
        <v>72</v>
      </c>
      <c r="B662" t="s">
        <v>12442</v>
      </c>
      <c r="C662" t="s">
        <v>74</v>
      </c>
      <c r="D662" t="s">
        <v>74</v>
      </c>
      <c r="E662" t="s">
        <v>74</v>
      </c>
      <c r="F662" t="s">
        <v>12443</v>
      </c>
      <c r="G662" t="s">
        <v>74</v>
      </c>
      <c r="H662" t="s">
        <v>74</v>
      </c>
      <c r="I662" t="s">
        <v>12444</v>
      </c>
      <c r="J662" t="s">
        <v>6055</v>
      </c>
      <c r="K662" t="s">
        <v>74</v>
      </c>
      <c r="L662" t="s">
        <v>74</v>
      </c>
      <c r="M662" t="s">
        <v>78</v>
      </c>
      <c r="N662" t="s">
        <v>79</v>
      </c>
      <c r="O662" t="s">
        <v>74</v>
      </c>
      <c r="P662" t="s">
        <v>74</v>
      </c>
      <c r="Q662" t="s">
        <v>74</v>
      </c>
      <c r="R662" t="s">
        <v>74</v>
      </c>
      <c r="S662" t="s">
        <v>74</v>
      </c>
      <c r="T662" t="s">
        <v>74</v>
      </c>
      <c r="U662" t="s">
        <v>12445</v>
      </c>
      <c r="V662" t="s">
        <v>12446</v>
      </c>
      <c r="W662" t="s">
        <v>12447</v>
      </c>
      <c r="X662" t="s">
        <v>12448</v>
      </c>
      <c r="Y662" t="s">
        <v>12449</v>
      </c>
      <c r="Z662" t="s">
        <v>12450</v>
      </c>
      <c r="AA662" t="s">
        <v>74</v>
      </c>
      <c r="AB662" t="s">
        <v>74</v>
      </c>
      <c r="AC662" t="s">
        <v>74</v>
      </c>
      <c r="AD662" t="s">
        <v>74</v>
      </c>
      <c r="AE662" t="s">
        <v>74</v>
      </c>
      <c r="AF662" t="s">
        <v>74</v>
      </c>
      <c r="AG662">
        <v>28</v>
      </c>
      <c r="AH662">
        <v>74</v>
      </c>
      <c r="AI662">
        <v>81</v>
      </c>
      <c r="AJ662">
        <v>0</v>
      </c>
      <c r="AK662">
        <v>15</v>
      </c>
      <c r="AL662" t="s">
        <v>1498</v>
      </c>
      <c r="AM662" t="s">
        <v>985</v>
      </c>
      <c r="AN662" t="s">
        <v>1499</v>
      </c>
      <c r="AO662" t="s">
        <v>6066</v>
      </c>
      <c r="AP662" t="s">
        <v>6067</v>
      </c>
      <c r="AQ662" t="s">
        <v>74</v>
      </c>
      <c r="AR662" t="s">
        <v>6068</v>
      </c>
      <c r="AS662" t="s">
        <v>6069</v>
      </c>
      <c r="AT662" t="s">
        <v>12451</v>
      </c>
      <c r="AU662">
        <v>2011</v>
      </c>
      <c r="AV662">
        <v>38</v>
      </c>
      <c r="AW662" t="s">
        <v>74</v>
      </c>
      <c r="AX662" t="s">
        <v>74</v>
      </c>
      <c r="AY662" t="s">
        <v>74</v>
      </c>
      <c r="AZ662" t="s">
        <v>74</v>
      </c>
      <c r="BA662" t="s">
        <v>74</v>
      </c>
      <c r="BB662" t="s">
        <v>74</v>
      </c>
      <c r="BC662" t="s">
        <v>74</v>
      </c>
      <c r="BD662" t="s">
        <v>12452</v>
      </c>
      <c r="BE662" t="s">
        <v>12453</v>
      </c>
      <c r="BF662" t="str">
        <f>HYPERLINK("http://dx.doi.org/10.1029/2011GL049026","http://dx.doi.org/10.1029/2011GL049026")</f>
        <v>http://dx.doi.org/10.1029/2011GL049026</v>
      </c>
      <c r="BG662" t="s">
        <v>74</v>
      </c>
      <c r="BH662" t="s">
        <v>74</v>
      </c>
      <c r="BI662">
        <v>6</v>
      </c>
      <c r="BJ662" t="s">
        <v>287</v>
      </c>
      <c r="BK662" t="s">
        <v>100</v>
      </c>
      <c r="BL662" t="s">
        <v>288</v>
      </c>
      <c r="BM662" t="s">
        <v>12454</v>
      </c>
      <c r="BN662" t="s">
        <v>74</v>
      </c>
      <c r="BO662" t="s">
        <v>365</v>
      </c>
      <c r="BP662" t="s">
        <v>74</v>
      </c>
      <c r="BQ662" t="s">
        <v>74</v>
      </c>
      <c r="BR662" t="s">
        <v>102</v>
      </c>
      <c r="BS662" t="s">
        <v>12455</v>
      </c>
      <c r="BT662" t="str">
        <f>HYPERLINK("https%3A%2F%2Fwww.webofscience.com%2Fwos%2Fwoscc%2Ffull-record%2FWOS:000296343000001","View Full Record in Web of Science")</f>
        <v>View Full Record in Web of Science</v>
      </c>
    </row>
    <row r="663" spans="1:72" x14ac:dyDescent="0.15">
      <c r="A663" t="s">
        <v>72</v>
      </c>
      <c r="B663" t="s">
        <v>12456</v>
      </c>
      <c r="C663" t="s">
        <v>74</v>
      </c>
      <c r="D663" t="s">
        <v>74</v>
      </c>
      <c r="E663" t="s">
        <v>74</v>
      </c>
      <c r="F663" t="s">
        <v>12457</v>
      </c>
      <c r="G663" t="s">
        <v>74</v>
      </c>
      <c r="H663" t="s">
        <v>74</v>
      </c>
      <c r="I663" t="s">
        <v>12458</v>
      </c>
      <c r="J663" t="s">
        <v>12459</v>
      </c>
      <c r="K663" t="s">
        <v>74</v>
      </c>
      <c r="L663" t="s">
        <v>74</v>
      </c>
      <c r="M663" t="s">
        <v>78</v>
      </c>
      <c r="N663" t="s">
        <v>79</v>
      </c>
      <c r="O663" t="s">
        <v>74</v>
      </c>
      <c r="P663" t="s">
        <v>74</v>
      </c>
      <c r="Q663" t="s">
        <v>74</v>
      </c>
      <c r="R663" t="s">
        <v>74</v>
      </c>
      <c r="S663" t="s">
        <v>74</v>
      </c>
      <c r="T663" t="s">
        <v>12460</v>
      </c>
      <c r="U663" t="s">
        <v>12461</v>
      </c>
      <c r="V663" t="s">
        <v>12462</v>
      </c>
      <c r="W663" t="s">
        <v>12463</v>
      </c>
      <c r="X663" t="s">
        <v>12464</v>
      </c>
      <c r="Y663" t="s">
        <v>12465</v>
      </c>
      <c r="Z663" t="s">
        <v>12466</v>
      </c>
      <c r="AA663" t="s">
        <v>12467</v>
      </c>
      <c r="AB663" t="s">
        <v>12468</v>
      </c>
      <c r="AC663" t="s">
        <v>74</v>
      </c>
      <c r="AD663" t="s">
        <v>74</v>
      </c>
      <c r="AE663" t="s">
        <v>74</v>
      </c>
      <c r="AF663" t="s">
        <v>74</v>
      </c>
      <c r="AG663">
        <v>30</v>
      </c>
      <c r="AH663">
        <v>6</v>
      </c>
      <c r="AI663">
        <v>6</v>
      </c>
      <c r="AJ663">
        <v>0</v>
      </c>
      <c r="AK663">
        <v>5</v>
      </c>
      <c r="AL663" t="s">
        <v>12469</v>
      </c>
      <c r="AM663" t="s">
        <v>12470</v>
      </c>
      <c r="AN663" t="s">
        <v>12471</v>
      </c>
      <c r="AO663" t="s">
        <v>12472</v>
      </c>
      <c r="AP663" t="s">
        <v>74</v>
      </c>
      <c r="AQ663" t="s">
        <v>74</v>
      </c>
      <c r="AR663" t="s">
        <v>12473</v>
      </c>
      <c r="AS663" t="s">
        <v>12474</v>
      </c>
      <c r="AT663" t="s">
        <v>12475</v>
      </c>
      <c r="AU663">
        <v>2011</v>
      </c>
      <c r="AV663">
        <v>101</v>
      </c>
      <c r="AW663">
        <v>8</v>
      </c>
      <c r="AX663" t="s">
        <v>74</v>
      </c>
      <c r="AY663" t="s">
        <v>74</v>
      </c>
      <c r="AZ663" t="s">
        <v>74</v>
      </c>
      <c r="BA663" t="s">
        <v>74</v>
      </c>
      <c r="BB663">
        <v>1073</v>
      </c>
      <c r="BC663">
        <v>1078</v>
      </c>
      <c r="BD663" t="s">
        <v>74</v>
      </c>
      <c r="BE663" t="s">
        <v>74</v>
      </c>
      <c r="BF663" t="s">
        <v>74</v>
      </c>
      <c r="BG663" t="s">
        <v>74</v>
      </c>
      <c r="BH663" t="s">
        <v>74</v>
      </c>
      <c r="BI663">
        <v>6</v>
      </c>
      <c r="BJ663" t="s">
        <v>6182</v>
      </c>
      <c r="BK663" t="s">
        <v>100</v>
      </c>
      <c r="BL663" t="s">
        <v>6183</v>
      </c>
      <c r="BM663" t="s">
        <v>12476</v>
      </c>
      <c r="BN663" t="s">
        <v>74</v>
      </c>
      <c r="BO663" t="s">
        <v>74</v>
      </c>
      <c r="BP663" t="s">
        <v>74</v>
      </c>
      <c r="BQ663" t="s">
        <v>74</v>
      </c>
      <c r="BR663" t="s">
        <v>102</v>
      </c>
      <c r="BS663" t="s">
        <v>12477</v>
      </c>
      <c r="BT663" t="str">
        <f>HYPERLINK("https%3A%2F%2Fwww.webofscience.com%2Fwos%2Fwoscc%2Ffull-record%2FWOS:000296053600022","View Full Record in Web of Science")</f>
        <v>View Full Record in Web of Science</v>
      </c>
    </row>
    <row r="664" spans="1:72" x14ac:dyDescent="0.15">
      <c r="A664" t="s">
        <v>72</v>
      </c>
      <c r="B664" t="s">
        <v>12478</v>
      </c>
      <c r="C664" t="s">
        <v>74</v>
      </c>
      <c r="D664" t="s">
        <v>74</v>
      </c>
      <c r="E664" t="s">
        <v>74</v>
      </c>
      <c r="F664" t="s">
        <v>12479</v>
      </c>
      <c r="G664" t="s">
        <v>74</v>
      </c>
      <c r="H664" t="s">
        <v>74</v>
      </c>
      <c r="I664" t="s">
        <v>12480</v>
      </c>
      <c r="J664" t="s">
        <v>6395</v>
      </c>
      <c r="K664" t="s">
        <v>74</v>
      </c>
      <c r="L664" t="s">
        <v>74</v>
      </c>
      <c r="M664" t="s">
        <v>78</v>
      </c>
      <c r="N664" t="s">
        <v>79</v>
      </c>
      <c r="O664" t="s">
        <v>74</v>
      </c>
      <c r="P664" t="s">
        <v>74</v>
      </c>
      <c r="Q664" t="s">
        <v>74</v>
      </c>
      <c r="R664" t="s">
        <v>74</v>
      </c>
      <c r="S664" t="s">
        <v>74</v>
      </c>
      <c r="T664" t="s">
        <v>74</v>
      </c>
      <c r="U664" t="s">
        <v>12481</v>
      </c>
      <c r="V664" t="s">
        <v>12482</v>
      </c>
      <c r="W664" t="s">
        <v>12483</v>
      </c>
      <c r="X664" t="s">
        <v>12484</v>
      </c>
      <c r="Y664" t="s">
        <v>12485</v>
      </c>
      <c r="Z664" t="s">
        <v>12486</v>
      </c>
      <c r="AA664" t="s">
        <v>12487</v>
      </c>
      <c r="AB664" t="s">
        <v>12488</v>
      </c>
      <c r="AC664" t="s">
        <v>12489</v>
      </c>
      <c r="AD664" t="s">
        <v>12490</v>
      </c>
      <c r="AE664" t="s">
        <v>12491</v>
      </c>
      <c r="AF664" t="s">
        <v>74</v>
      </c>
      <c r="AG664">
        <v>62</v>
      </c>
      <c r="AH664">
        <v>82</v>
      </c>
      <c r="AI664">
        <v>84</v>
      </c>
      <c r="AJ664">
        <v>3</v>
      </c>
      <c r="AK664">
        <v>41</v>
      </c>
      <c r="AL664" t="s">
        <v>1498</v>
      </c>
      <c r="AM664" t="s">
        <v>985</v>
      </c>
      <c r="AN664" t="s">
        <v>1499</v>
      </c>
      <c r="AO664" t="s">
        <v>6407</v>
      </c>
      <c r="AP664" t="s">
        <v>6408</v>
      </c>
      <c r="AQ664" t="s">
        <v>74</v>
      </c>
      <c r="AR664" t="s">
        <v>6395</v>
      </c>
      <c r="AS664" t="s">
        <v>6409</v>
      </c>
      <c r="AT664" t="s">
        <v>12475</v>
      </c>
      <c r="AU664">
        <v>2011</v>
      </c>
      <c r="AV664">
        <v>26</v>
      </c>
      <c r="AW664" t="s">
        <v>74</v>
      </c>
      <c r="AX664" t="s">
        <v>74</v>
      </c>
      <c r="AY664" t="s">
        <v>74</v>
      </c>
      <c r="AZ664" t="s">
        <v>74</v>
      </c>
      <c r="BA664" t="s">
        <v>74</v>
      </c>
      <c r="BB664" t="s">
        <v>74</v>
      </c>
      <c r="BC664" t="s">
        <v>74</v>
      </c>
      <c r="BD664" t="s">
        <v>12492</v>
      </c>
      <c r="BE664" t="s">
        <v>12493</v>
      </c>
      <c r="BF664" t="str">
        <f>HYPERLINK("http://dx.doi.org/10.1029/2011PA002143","http://dx.doi.org/10.1029/2011PA002143")</f>
        <v>http://dx.doi.org/10.1029/2011PA002143</v>
      </c>
      <c r="BG664" t="s">
        <v>74</v>
      </c>
      <c r="BH664" t="s">
        <v>74</v>
      </c>
      <c r="BI664">
        <v>18</v>
      </c>
      <c r="BJ664" t="s">
        <v>6412</v>
      </c>
      <c r="BK664" t="s">
        <v>100</v>
      </c>
      <c r="BL664" t="s">
        <v>6413</v>
      </c>
      <c r="BM664" t="s">
        <v>12494</v>
      </c>
      <c r="BN664" t="s">
        <v>74</v>
      </c>
      <c r="BO664" t="s">
        <v>342</v>
      </c>
      <c r="BP664" t="s">
        <v>74</v>
      </c>
      <c r="BQ664" t="s">
        <v>74</v>
      </c>
      <c r="BR664" t="s">
        <v>102</v>
      </c>
      <c r="BS664" t="s">
        <v>12495</v>
      </c>
      <c r="BT664" t="str">
        <f>HYPERLINK("https%3A%2F%2Fwww.webofscience.com%2Fwos%2Fwoscc%2Ffull-record%2FWOS:000296337300001","View Full Record in Web of Science")</f>
        <v>View Full Record in Web of Science</v>
      </c>
    </row>
    <row r="665" spans="1:72" x14ac:dyDescent="0.15">
      <c r="A665" t="s">
        <v>72</v>
      </c>
      <c r="B665" t="s">
        <v>12496</v>
      </c>
      <c r="C665" t="s">
        <v>74</v>
      </c>
      <c r="D665" t="s">
        <v>74</v>
      </c>
      <c r="E665" t="s">
        <v>74</v>
      </c>
      <c r="F665" t="s">
        <v>12497</v>
      </c>
      <c r="G665" t="s">
        <v>74</v>
      </c>
      <c r="H665" t="s">
        <v>74</v>
      </c>
      <c r="I665" t="s">
        <v>12498</v>
      </c>
      <c r="J665" t="s">
        <v>6224</v>
      </c>
      <c r="K665" t="s">
        <v>74</v>
      </c>
      <c r="L665" t="s">
        <v>74</v>
      </c>
      <c r="M665" t="s">
        <v>78</v>
      </c>
      <c r="N665" t="s">
        <v>79</v>
      </c>
      <c r="O665" t="s">
        <v>74</v>
      </c>
      <c r="P665" t="s">
        <v>74</v>
      </c>
      <c r="Q665" t="s">
        <v>74</v>
      </c>
      <c r="R665" t="s">
        <v>74</v>
      </c>
      <c r="S665" t="s">
        <v>74</v>
      </c>
      <c r="T665" t="s">
        <v>74</v>
      </c>
      <c r="U665" t="s">
        <v>12499</v>
      </c>
      <c r="V665" t="s">
        <v>12500</v>
      </c>
      <c r="W665" t="s">
        <v>12501</v>
      </c>
      <c r="X665" t="s">
        <v>527</v>
      </c>
      <c r="Y665" t="s">
        <v>12502</v>
      </c>
      <c r="Z665" t="s">
        <v>9706</v>
      </c>
      <c r="AA665" t="s">
        <v>12503</v>
      </c>
      <c r="AB665" t="s">
        <v>12504</v>
      </c>
      <c r="AC665" t="s">
        <v>12505</v>
      </c>
      <c r="AD665" t="s">
        <v>12506</v>
      </c>
      <c r="AE665" t="s">
        <v>12507</v>
      </c>
      <c r="AF665" t="s">
        <v>74</v>
      </c>
      <c r="AG665">
        <v>53</v>
      </c>
      <c r="AH665">
        <v>11</v>
      </c>
      <c r="AI665">
        <v>11</v>
      </c>
      <c r="AJ665">
        <v>1</v>
      </c>
      <c r="AK665">
        <v>18</v>
      </c>
      <c r="AL665" t="s">
        <v>1498</v>
      </c>
      <c r="AM665" t="s">
        <v>985</v>
      </c>
      <c r="AN665" t="s">
        <v>1499</v>
      </c>
      <c r="AO665" t="s">
        <v>6236</v>
      </c>
      <c r="AP665" t="s">
        <v>6237</v>
      </c>
      <c r="AQ665" t="s">
        <v>74</v>
      </c>
      <c r="AR665" t="s">
        <v>6238</v>
      </c>
      <c r="AS665" t="s">
        <v>6239</v>
      </c>
      <c r="AT665" t="s">
        <v>12475</v>
      </c>
      <c r="AU665">
        <v>2011</v>
      </c>
      <c r="AV665">
        <v>116</v>
      </c>
      <c r="AW665" t="s">
        <v>74</v>
      </c>
      <c r="AX665" t="s">
        <v>74</v>
      </c>
      <c r="AY665" t="s">
        <v>74</v>
      </c>
      <c r="AZ665" t="s">
        <v>74</v>
      </c>
      <c r="BA665" t="s">
        <v>74</v>
      </c>
      <c r="BB665" t="s">
        <v>74</v>
      </c>
      <c r="BC665" t="s">
        <v>74</v>
      </c>
      <c r="BD665" t="s">
        <v>12508</v>
      </c>
      <c r="BE665" t="s">
        <v>12509</v>
      </c>
      <c r="BF665" t="str">
        <f>HYPERLINK("http://dx.doi.org/10.1029/2011JD015894","http://dx.doi.org/10.1029/2011JD015894")</f>
        <v>http://dx.doi.org/10.1029/2011JD015894</v>
      </c>
      <c r="BG665" t="s">
        <v>74</v>
      </c>
      <c r="BH665" t="s">
        <v>74</v>
      </c>
      <c r="BI665">
        <v>17</v>
      </c>
      <c r="BJ665" t="s">
        <v>463</v>
      </c>
      <c r="BK665" t="s">
        <v>100</v>
      </c>
      <c r="BL665" t="s">
        <v>463</v>
      </c>
      <c r="BM665" t="s">
        <v>12510</v>
      </c>
      <c r="BN665" t="s">
        <v>74</v>
      </c>
      <c r="BO665" t="s">
        <v>4515</v>
      </c>
      <c r="BP665" t="s">
        <v>74</v>
      </c>
      <c r="BQ665" t="s">
        <v>74</v>
      </c>
      <c r="BR665" t="s">
        <v>102</v>
      </c>
      <c r="BS665" t="s">
        <v>12511</v>
      </c>
      <c r="BT665" t="str">
        <f>HYPERLINK("https%3A%2F%2Fwww.webofscience.com%2Fwos%2Fwoscc%2Ffull-record%2FWOS:000296336300001","View Full Record in Web of Science")</f>
        <v>View Full Record in Web of Science</v>
      </c>
    </row>
    <row r="666" spans="1:72" x14ac:dyDescent="0.15">
      <c r="A666" t="s">
        <v>72</v>
      </c>
      <c r="B666" t="s">
        <v>12512</v>
      </c>
      <c r="C666" t="s">
        <v>74</v>
      </c>
      <c r="D666" t="s">
        <v>74</v>
      </c>
      <c r="E666" t="s">
        <v>74</v>
      </c>
      <c r="F666" t="s">
        <v>12513</v>
      </c>
      <c r="G666" t="s">
        <v>74</v>
      </c>
      <c r="H666" t="s">
        <v>74</v>
      </c>
      <c r="I666" t="s">
        <v>12514</v>
      </c>
      <c r="J666" t="s">
        <v>6224</v>
      </c>
      <c r="K666" t="s">
        <v>74</v>
      </c>
      <c r="L666" t="s">
        <v>74</v>
      </c>
      <c r="M666" t="s">
        <v>78</v>
      </c>
      <c r="N666" t="s">
        <v>79</v>
      </c>
      <c r="O666" t="s">
        <v>74</v>
      </c>
      <c r="P666" t="s">
        <v>74</v>
      </c>
      <c r="Q666" t="s">
        <v>74</v>
      </c>
      <c r="R666" t="s">
        <v>74</v>
      </c>
      <c r="S666" t="s">
        <v>74</v>
      </c>
      <c r="T666" t="s">
        <v>74</v>
      </c>
      <c r="U666" t="s">
        <v>12515</v>
      </c>
      <c r="V666" t="s">
        <v>12516</v>
      </c>
      <c r="W666" t="s">
        <v>12517</v>
      </c>
      <c r="X666" t="s">
        <v>12518</v>
      </c>
      <c r="Y666" t="s">
        <v>12519</v>
      </c>
      <c r="Z666" t="s">
        <v>12520</v>
      </c>
      <c r="AA666" t="s">
        <v>12521</v>
      </c>
      <c r="AB666" t="s">
        <v>12522</v>
      </c>
      <c r="AC666" t="s">
        <v>12523</v>
      </c>
      <c r="AD666" t="s">
        <v>1726</v>
      </c>
      <c r="AE666" t="s">
        <v>12524</v>
      </c>
      <c r="AF666" t="s">
        <v>74</v>
      </c>
      <c r="AG666">
        <v>54</v>
      </c>
      <c r="AH666">
        <v>41</v>
      </c>
      <c r="AI666">
        <v>43</v>
      </c>
      <c r="AJ666">
        <v>2</v>
      </c>
      <c r="AK666">
        <v>31</v>
      </c>
      <c r="AL666" t="s">
        <v>1498</v>
      </c>
      <c r="AM666" t="s">
        <v>985</v>
      </c>
      <c r="AN666" t="s">
        <v>1499</v>
      </c>
      <c r="AO666" t="s">
        <v>6236</v>
      </c>
      <c r="AP666" t="s">
        <v>74</v>
      </c>
      <c r="AQ666" t="s">
        <v>74</v>
      </c>
      <c r="AR666" t="s">
        <v>6238</v>
      </c>
      <c r="AS666" t="s">
        <v>6239</v>
      </c>
      <c r="AT666" t="s">
        <v>12525</v>
      </c>
      <c r="AU666">
        <v>2011</v>
      </c>
      <c r="AV666">
        <v>116</v>
      </c>
      <c r="AW666" t="s">
        <v>74</v>
      </c>
      <c r="AX666" t="s">
        <v>74</v>
      </c>
      <c r="AY666" t="s">
        <v>74</v>
      </c>
      <c r="AZ666" t="s">
        <v>74</v>
      </c>
      <c r="BA666" t="s">
        <v>74</v>
      </c>
      <c r="BB666" t="s">
        <v>74</v>
      </c>
      <c r="BC666" t="s">
        <v>74</v>
      </c>
      <c r="BD666" t="s">
        <v>12526</v>
      </c>
      <c r="BE666" t="s">
        <v>12527</v>
      </c>
      <c r="BF666" t="str">
        <f>HYPERLINK("http://dx.doi.org/10.1029/2011JD016147","http://dx.doi.org/10.1029/2011JD016147")</f>
        <v>http://dx.doi.org/10.1029/2011JD016147</v>
      </c>
      <c r="BG666" t="s">
        <v>74</v>
      </c>
      <c r="BH666" t="s">
        <v>74</v>
      </c>
      <c r="BI666">
        <v>15</v>
      </c>
      <c r="BJ666" t="s">
        <v>463</v>
      </c>
      <c r="BK666" t="s">
        <v>100</v>
      </c>
      <c r="BL666" t="s">
        <v>463</v>
      </c>
      <c r="BM666" t="s">
        <v>12528</v>
      </c>
      <c r="BN666" t="s">
        <v>74</v>
      </c>
      <c r="BO666" t="s">
        <v>4483</v>
      </c>
      <c r="BP666" t="s">
        <v>74</v>
      </c>
      <c r="BQ666" t="s">
        <v>74</v>
      </c>
      <c r="BR666" t="s">
        <v>102</v>
      </c>
      <c r="BS666" t="s">
        <v>12529</v>
      </c>
      <c r="BT666" t="str">
        <f>HYPERLINK("https%3A%2F%2Fwww.webofscience.com%2Fwos%2Fwoscc%2Ffull-record%2FWOS:000296161400006","View Full Record in Web of Science")</f>
        <v>View Full Record in Web of Science</v>
      </c>
    </row>
    <row r="667" spans="1:72" x14ac:dyDescent="0.15">
      <c r="A667" t="s">
        <v>72</v>
      </c>
      <c r="B667" t="s">
        <v>12530</v>
      </c>
      <c r="C667" t="s">
        <v>74</v>
      </c>
      <c r="D667" t="s">
        <v>74</v>
      </c>
      <c r="E667" t="s">
        <v>74</v>
      </c>
      <c r="F667" t="s">
        <v>12531</v>
      </c>
      <c r="G667" t="s">
        <v>74</v>
      </c>
      <c r="H667" t="s">
        <v>74</v>
      </c>
      <c r="I667" t="s">
        <v>12532</v>
      </c>
      <c r="J667" t="s">
        <v>12533</v>
      </c>
      <c r="K667" t="s">
        <v>74</v>
      </c>
      <c r="L667" t="s">
        <v>74</v>
      </c>
      <c r="M667" t="s">
        <v>78</v>
      </c>
      <c r="N667" t="s">
        <v>79</v>
      </c>
      <c r="O667" t="s">
        <v>74</v>
      </c>
      <c r="P667" t="s">
        <v>74</v>
      </c>
      <c r="Q667" t="s">
        <v>74</v>
      </c>
      <c r="R667" t="s">
        <v>74</v>
      </c>
      <c r="S667" t="s">
        <v>74</v>
      </c>
      <c r="T667" t="s">
        <v>12534</v>
      </c>
      <c r="U667" t="s">
        <v>12535</v>
      </c>
      <c r="V667" t="s">
        <v>12536</v>
      </c>
      <c r="W667" t="s">
        <v>12537</v>
      </c>
      <c r="X667" t="s">
        <v>12538</v>
      </c>
      <c r="Y667" t="s">
        <v>12539</v>
      </c>
      <c r="Z667" t="s">
        <v>12540</v>
      </c>
      <c r="AA667" t="s">
        <v>12541</v>
      </c>
      <c r="AB667" t="s">
        <v>12542</v>
      </c>
      <c r="AC667" t="s">
        <v>12543</v>
      </c>
      <c r="AD667" t="s">
        <v>12544</v>
      </c>
      <c r="AE667" t="s">
        <v>12545</v>
      </c>
      <c r="AF667" t="s">
        <v>74</v>
      </c>
      <c r="AG667">
        <v>41</v>
      </c>
      <c r="AH667">
        <v>9</v>
      </c>
      <c r="AI667">
        <v>12</v>
      </c>
      <c r="AJ667">
        <v>1</v>
      </c>
      <c r="AK667">
        <v>4</v>
      </c>
      <c r="AL667" t="s">
        <v>333</v>
      </c>
      <c r="AM667" t="s">
        <v>334</v>
      </c>
      <c r="AN667" t="s">
        <v>335</v>
      </c>
      <c r="AO667" t="s">
        <v>12546</v>
      </c>
      <c r="AP667" t="s">
        <v>12547</v>
      </c>
      <c r="AQ667" t="s">
        <v>74</v>
      </c>
      <c r="AR667" t="s">
        <v>12548</v>
      </c>
      <c r="AS667" t="s">
        <v>12549</v>
      </c>
      <c r="AT667" t="s">
        <v>12550</v>
      </c>
      <c r="AU667">
        <v>2011</v>
      </c>
      <c r="AV667">
        <v>654</v>
      </c>
      <c r="AW667">
        <v>1</v>
      </c>
      <c r="AX667" t="s">
        <v>74</v>
      </c>
      <c r="AY667" t="s">
        <v>74</v>
      </c>
      <c r="AZ667" t="s">
        <v>74</v>
      </c>
      <c r="BA667" t="s">
        <v>74</v>
      </c>
      <c r="BB667">
        <v>140</v>
      </c>
      <c r="BC667">
        <v>156</v>
      </c>
      <c r="BD667" t="s">
        <v>74</v>
      </c>
      <c r="BE667" t="s">
        <v>12551</v>
      </c>
      <c r="BF667" t="str">
        <f>HYPERLINK("http://dx.doi.org/10.1016/j.nima.2011.05.050","http://dx.doi.org/10.1016/j.nima.2011.05.050")</f>
        <v>http://dx.doi.org/10.1016/j.nima.2011.05.050</v>
      </c>
      <c r="BG667" t="s">
        <v>74</v>
      </c>
      <c r="BH667" t="s">
        <v>74</v>
      </c>
      <c r="BI667">
        <v>17</v>
      </c>
      <c r="BJ667" t="s">
        <v>12552</v>
      </c>
      <c r="BK667" t="s">
        <v>100</v>
      </c>
      <c r="BL667" t="s">
        <v>12553</v>
      </c>
      <c r="BM667" t="s">
        <v>12554</v>
      </c>
      <c r="BN667" t="s">
        <v>74</v>
      </c>
      <c r="BO667" t="s">
        <v>342</v>
      </c>
      <c r="BP667" t="s">
        <v>74</v>
      </c>
      <c r="BQ667" t="s">
        <v>74</v>
      </c>
      <c r="BR667" t="s">
        <v>102</v>
      </c>
      <c r="BS667" t="s">
        <v>12555</v>
      </c>
      <c r="BT667" t="str">
        <f>HYPERLINK("https%3A%2F%2Fwww.webofscience.com%2Fwos%2Fwoscc%2Ffull-record%2FWOS:000295765100021","View Full Record in Web of Science")</f>
        <v>View Full Record in Web of Science</v>
      </c>
    </row>
    <row r="668" spans="1:72" x14ac:dyDescent="0.15">
      <c r="A668" t="s">
        <v>72</v>
      </c>
      <c r="B668" t="s">
        <v>12556</v>
      </c>
      <c r="C668" t="s">
        <v>74</v>
      </c>
      <c r="D668" t="s">
        <v>74</v>
      </c>
      <c r="E668" t="s">
        <v>74</v>
      </c>
      <c r="F668" t="s">
        <v>12557</v>
      </c>
      <c r="G668" t="s">
        <v>74</v>
      </c>
      <c r="H668" t="s">
        <v>74</v>
      </c>
      <c r="I668" t="s">
        <v>12558</v>
      </c>
      <c r="J668" t="s">
        <v>6224</v>
      </c>
      <c r="K668" t="s">
        <v>74</v>
      </c>
      <c r="L668" t="s">
        <v>74</v>
      </c>
      <c r="M668" t="s">
        <v>78</v>
      </c>
      <c r="N668" t="s">
        <v>79</v>
      </c>
      <c r="O668" t="s">
        <v>74</v>
      </c>
      <c r="P668" t="s">
        <v>74</v>
      </c>
      <c r="Q668" t="s">
        <v>74</v>
      </c>
      <c r="R668" t="s">
        <v>74</v>
      </c>
      <c r="S668" t="s">
        <v>74</v>
      </c>
      <c r="T668" t="s">
        <v>74</v>
      </c>
      <c r="U668" t="s">
        <v>12559</v>
      </c>
      <c r="V668" t="s">
        <v>12560</v>
      </c>
      <c r="W668" t="s">
        <v>12561</v>
      </c>
      <c r="X668" t="s">
        <v>12562</v>
      </c>
      <c r="Y668" t="s">
        <v>12563</v>
      </c>
      <c r="Z668" t="s">
        <v>12564</v>
      </c>
      <c r="AA668" t="s">
        <v>74</v>
      </c>
      <c r="AB668" t="s">
        <v>12565</v>
      </c>
      <c r="AC668" t="s">
        <v>12566</v>
      </c>
      <c r="AD668" t="s">
        <v>12567</v>
      </c>
      <c r="AE668" t="s">
        <v>12568</v>
      </c>
      <c r="AF668" t="s">
        <v>74</v>
      </c>
      <c r="AG668">
        <v>124</v>
      </c>
      <c r="AH668">
        <v>18</v>
      </c>
      <c r="AI668">
        <v>18</v>
      </c>
      <c r="AJ668">
        <v>0</v>
      </c>
      <c r="AK668">
        <v>21</v>
      </c>
      <c r="AL668" t="s">
        <v>1498</v>
      </c>
      <c r="AM668" t="s">
        <v>985</v>
      </c>
      <c r="AN668" t="s">
        <v>1499</v>
      </c>
      <c r="AO668" t="s">
        <v>6236</v>
      </c>
      <c r="AP668" t="s">
        <v>6237</v>
      </c>
      <c r="AQ668" t="s">
        <v>74</v>
      </c>
      <c r="AR668" t="s">
        <v>6238</v>
      </c>
      <c r="AS668" t="s">
        <v>6239</v>
      </c>
      <c r="AT668" t="s">
        <v>12550</v>
      </c>
      <c r="AU668">
        <v>2011</v>
      </c>
      <c r="AV668">
        <v>116</v>
      </c>
      <c r="AW668" t="s">
        <v>74</v>
      </c>
      <c r="AX668" t="s">
        <v>74</v>
      </c>
      <c r="AY668" t="s">
        <v>74</v>
      </c>
      <c r="AZ668" t="s">
        <v>74</v>
      </c>
      <c r="BA668" t="s">
        <v>74</v>
      </c>
      <c r="BB668" t="s">
        <v>74</v>
      </c>
      <c r="BC668" t="s">
        <v>74</v>
      </c>
      <c r="BD668" t="s">
        <v>12569</v>
      </c>
      <c r="BE668" t="s">
        <v>12570</v>
      </c>
      <c r="BF668" t="str">
        <f>HYPERLINK("http://dx.doi.org/10.1029/2011JD016003","http://dx.doi.org/10.1029/2011JD016003")</f>
        <v>http://dx.doi.org/10.1029/2011JD016003</v>
      </c>
      <c r="BG668" t="s">
        <v>74</v>
      </c>
      <c r="BH668" t="s">
        <v>74</v>
      </c>
      <c r="BI668">
        <v>19</v>
      </c>
      <c r="BJ668" t="s">
        <v>463</v>
      </c>
      <c r="BK668" t="s">
        <v>100</v>
      </c>
      <c r="BL668" t="s">
        <v>463</v>
      </c>
      <c r="BM668" t="s">
        <v>12571</v>
      </c>
      <c r="BN668" t="s">
        <v>74</v>
      </c>
      <c r="BO668" t="s">
        <v>365</v>
      </c>
      <c r="BP668" t="s">
        <v>74</v>
      </c>
      <c r="BQ668" t="s">
        <v>74</v>
      </c>
      <c r="BR668" t="s">
        <v>102</v>
      </c>
      <c r="BS668" t="s">
        <v>12572</v>
      </c>
      <c r="BT668" t="str">
        <f>HYPERLINK("https%3A%2F%2Fwww.webofscience.com%2Fwos%2Fwoscc%2Ffull-record%2FWOS:000296160900002","View Full Record in Web of Science")</f>
        <v>View Full Record in Web of Science</v>
      </c>
    </row>
    <row r="669" spans="1:72" x14ac:dyDescent="0.15">
      <c r="A669" t="s">
        <v>72</v>
      </c>
      <c r="B669" t="s">
        <v>12573</v>
      </c>
      <c r="C669" t="s">
        <v>74</v>
      </c>
      <c r="D669" t="s">
        <v>74</v>
      </c>
      <c r="E669" t="s">
        <v>74</v>
      </c>
      <c r="F669" t="s">
        <v>12574</v>
      </c>
      <c r="G669" t="s">
        <v>74</v>
      </c>
      <c r="H669" t="s">
        <v>74</v>
      </c>
      <c r="I669" t="s">
        <v>12575</v>
      </c>
      <c r="J669" t="s">
        <v>6124</v>
      </c>
      <c r="K669" t="s">
        <v>74</v>
      </c>
      <c r="L669" t="s">
        <v>74</v>
      </c>
      <c r="M669" t="s">
        <v>78</v>
      </c>
      <c r="N669" t="s">
        <v>79</v>
      </c>
      <c r="O669" t="s">
        <v>74</v>
      </c>
      <c r="P669" t="s">
        <v>74</v>
      </c>
      <c r="Q669" t="s">
        <v>74</v>
      </c>
      <c r="R669" t="s">
        <v>74</v>
      </c>
      <c r="S669" t="s">
        <v>74</v>
      </c>
      <c r="T669" t="s">
        <v>74</v>
      </c>
      <c r="U669" t="s">
        <v>12576</v>
      </c>
      <c r="V669" t="s">
        <v>12577</v>
      </c>
      <c r="W669" t="s">
        <v>12578</v>
      </c>
      <c r="X669" t="s">
        <v>12579</v>
      </c>
      <c r="Y669" t="s">
        <v>12580</v>
      </c>
      <c r="Z669" t="s">
        <v>12581</v>
      </c>
      <c r="AA669" t="s">
        <v>12582</v>
      </c>
      <c r="AB669" t="s">
        <v>12583</v>
      </c>
      <c r="AC669" t="s">
        <v>12584</v>
      </c>
      <c r="AD669" t="s">
        <v>12585</v>
      </c>
      <c r="AE669" t="s">
        <v>12586</v>
      </c>
      <c r="AF669" t="s">
        <v>74</v>
      </c>
      <c r="AG669">
        <v>82</v>
      </c>
      <c r="AH669">
        <v>31</v>
      </c>
      <c r="AI669">
        <v>35</v>
      </c>
      <c r="AJ669">
        <v>0</v>
      </c>
      <c r="AK669">
        <v>35</v>
      </c>
      <c r="AL669" t="s">
        <v>1498</v>
      </c>
      <c r="AM669" t="s">
        <v>985</v>
      </c>
      <c r="AN669" t="s">
        <v>1499</v>
      </c>
      <c r="AO669" t="s">
        <v>6136</v>
      </c>
      <c r="AP669" t="s">
        <v>6137</v>
      </c>
      <c r="AQ669" t="s">
        <v>74</v>
      </c>
      <c r="AR669" t="s">
        <v>6138</v>
      </c>
      <c r="AS669" t="s">
        <v>6139</v>
      </c>
      <c r="AT669" t="s">
        <v>12550</v>
      </c>
      <c r="AU669">
        <v>2011</v>
      </c>
      <c r="AV669">
        <v>116</v>
      </c>
      <c r="AW669" t="s">
        <v>74</v>
      </c>
      <c r="AX669" t="s">
        <v>74</v>
      </c>
      <c r="AY669" t="s">
        <v>74</v>
      </c>
      <c r="AZ669" t="s">
        <v>74</v>
      </c>
      <c r="BA669" t="s">
        <v>74</v>
      </c>
      <c r="BB669" t="s">
        <v>74</v>
      </c>
      <c r="BC669" t="s">
        <v>74</v>
      </c>
      <c r="BD669" t="s">
        <v>12587</v>
      </c>
      <c r="BE669" t="s">
        <v>12588</v>
      </c>
      <c r="BF669" t="str">
        <f>HYPERLINK("http://dx.doi.org/10.1029/2009JC005954","http://dx.doi.org/10.1029/2009JC005954")</f>
        <v>http://dx.doi.org/10.1029/2009JC005954</v>
      </c>
      <c r="BG669" t="s">
        <v>74</v>
      </c>
      <c r="BH669" t="s">
        <v>74</v>
      </c>
      <c r="BI669">
        <v>19</v>
      </c>
      <c r="BJ669" t="s">
        <v>496</v>
      </c>
      <c r="BK669" t="s">
        <v>100</v>
      </c>
      <c r="BL669" t="s">
        <v>496</v>
      </c>
      <c r="BM669" t="s">
        <v>12589</v>
      </c>
      <c r="BN669" t="s">
        <v>74</v>
      </c>
      <c r="BO669" t="s">
        <v>6262</v>
      </c>
      <c r="BP669" t="s">
        <v>74</v>
      </c>
      <c r="BQ669" t="s">
        <v>74</v>
      </c>
      <c r="BR669" t="s">
        <v>102</v>
      </c>
      <c r="BS669" t="s">
        <v>12590</v>
      </c>
      <c r="BT669" t="str">
        <f>HYPERLINK("https%3A%2F%2Fwww.webofscience.com%2Fwos%2Fwoscc%2Ffull-record%2FWOS:000296161900001","View Full Record in Web of Science")</f>
        <v>View Full Record in Web of Science</v>
      </c>
    </row>
    <row r="670" spans="1:72" x14ac:dyDescent="0.15">
      <c r="A670" t="s">
        <v>72</v>
      </c>
      <c r="B670" t="s">
        <v>12591</v>
      </c>
      <c r="C670" t="s">
        <v>74</v>
      </c>
      <c r="D670" t="s">
        <v>74</v>
      </c>
      <c r="E670" t="s">
        <v>74</v>
      </c>
      <c r="F670" t="s">
        <v>12592</v>
      </c>
      <c r="G670" t="s">
        <v>74</v>
      </c>
      <c r="H670" t="s">
        <v>74</v>
      </c>
      <c r="I670" t="s">
        <v>12593</v>
      </c>
      <c r="J670" t="s">
        <v>6292</v>
      </c>
      <c r="K670" t="s">
        <v>74</v>
      </c>
      <c r="L670" t="s">
        <v>74</v>
      </c>
      <c r="M670" t="s">
        <v>78</v>
      </c>
      <c r="N670" t="s">
        <v>79</v>
      </c>
      <c r="O670" t="s">
        <v>74</v>
      </c>
      <c r="P670" t="s">
        <v>74</v>
      </c>
      <c r="Q670" t="s">
        <v>74</v>
      </c>
      <c r="R670" t="s">
        <v>74</v>
      </c>
      <c r="S670" t="s">
        <v>74</v>
      </c>
      <c r="T670" t="s">
        <v>74</v>
      </c>
      <c r="U670" t="s">
        <v>12594</v>
      </c>
      <c r="V670" t="s">
        <v>12595</v>
      </c>
      <c r="W670" t="s">
        <v>12596</v>
      </c>
      <c r="X670" t="s">
        <v>12597</v>
      </c>
      <c r="Y670" t="s">
        <v>12598</v>
      </c>
      <c r="Z670" t="s">
        <v>12599</v>
      </c>
      <c r="AA670" t="s">
        <v>12600</v>
      </c>
      <c r="AB670" t="s">
        <v>12601</v>
      </c>
      <c r="AC670" t="s">
        <v>12602</v>
      </c>
      <c r="AD670" t="s">
        <v>12603</v>
      </c>
      <c r="AE670" t="s">
        <v>12604</v>
      </c>
      <c r="AF670" t="s">
        <v>74</v>
      </c>
      <c r="AG670">
        <v>33</v>
      </c>
      <c r="AH670">
        <v>279</v>
      </c>
      <c r="AI670">
        <v>303</v>
      </c>
      <c r="AJ670">
        <v>6</v>
      </c>
      <c r="AK670">
        <v>172</v>
      </c>
      <c r="AL670" t="s">
        <v>6304</v>
      </c>
      <c r="AM670" t="s">
        <v>985</v>
      </c>
      <c r="AN670" t="s">
        <v>6305</v>
      </c>
      <c r="AO670" t="s">
        <v>6306</v>
      </c>
      <c r="AP670" t="s">
        <v>6307</v>
      </c>
      <c r="AQ670" t="s">
        <v>74</v>
      </c>
      <c r="AR670" t="s">
        <v>6292</v>
      </c>
      <c r="AS670" t="s">
        <v>6308</v>
      </c>
      <c r="AT670" t="s">
        <v>12550</v>
      </c>
      <c r="AU670">
        <v>2011</v>
      </c>
      <c r="AV670">
        <v>334</v>
      </c>
      <c r="AW670">
        <v>6054</v>
      </c>
      <c r="AX670" t="s">
        <v>74</v>
      </c>
      <c r="AY670" t="s">
        <v>74</v>
      </c>
      <c r="AZ670" t="s">
        <v>74</v>
      </c>
      <c r="BA670" t="s">
        <v>74</v>
      </c>
      <c r="BB670">
        <v>347</v>
      </c>
      <c r="BC670">
        <v>351</v>
      </c>
      <c r="BD670" t="s">
        <v>74</v>
      </c>
      <c r="BE670" t="s">
        <v>12605</v>
      </c>
      <c r="BF670" t="str">
        <f>HYPERLINK("http://dx.doi.org/10.1126/science.1203580","http://dx.doi.org/10.1126/science.1203580")</f>
        <v>http://dx.doi.org/10.1126/science.1203580</v>
      </c>
      <c r="BG670" t="s">
        <v>74</v>
      </c>
      <c r="BH670" t="s">
        <v>74</v>
      </c>
      <c r="BI670">
        <v>5</v>
      </c>
      <c r="BJ670" t="s">
        <v>6182</v>
      </c>
      <c r="BK670" t="s">
        <v>100</v>
      </c>
      <c r="BL670" t="s">
        <v>6183</v>
      </c>
      <c r="BM670" t="s">
        <v>12606</v>
      </c>
      <c r="BN670">
        <v>21903776</v>
      </c>
      <c r="BO670" t="s">
        <v>3786</v>
      </c>
      <c r="BP670" t="s">
        <v>74</v>
      </c>
      <c r="BQ670" t="s">
        <v>74</v>
      </c>
      <c r="BR670" t="s">
        <v>102</v>
      </c>
      <c r="BS670" t="s">
        <v>12607</v>
      </c>
      <c r="BT670" t="str">
        <f>HYPERLINK("https%3A%2F%2Fwww.webofscience.com%2Fwos%2Fwoscc%2Ffull-record%2FWOS:000296052500045","View Full Record in Web of Science")</f>
        <v>View Full Record in Web of Science</v>
      </c>
    </row>
    <row r="671" spans="1:72" x14ac:dyDescent="0.15">
      <c r="A671" t="s">
        <v>72</v>
      </c>
      <c r="B671" t="s">
        <v>12608</v>
      </c>
      <c r="C671" t="s">
        <v>74</v>
      </c>
      <c r="D671" t="s">
        <v>74</v>
      </c>
      <c r="E671" t="s">
        <v>74</v>
      </c>
      <c r="F671" t="s">
        <v>12609</v>
      </c>
      <c r="G671" t="s">
        <v>74</v>
      </c>
      <c r="H671" t="s">
        <v>74</v>
      </c>
      <c r="I671" t="s">
        <v>12610</v>
      </c>
      <c r="J671" t="s">
        <v>6165</v>
      </c>
      <c r="K671" t="s">
        <v>74</v>
      </c>
      <c r="L671" t="s">
        <v>74</v>
      </c>
      <c r="M671" t="s">
        <v>78</v>
      </c>
      <c r="N671" t="s">
        <v>79</v>
      </c>
      <c r="O671" t="s">
        <v>74</v>
      </c>
      <c r="P671" t="s">
        <v>74</v>
      </c>
      <c r="Q671" t="s">
        <v>74</v>
      </c>
      <c r="R671" t="s">
        <v>74</v>
      </c>
      <c r="S671" t="s">
        <v>74</v>
      </c>
      <c r="T671" t="s">
        <v>74</v>
      </c>
      <c r="U671" t="s">
        <v>12611</v>
      </c>
      <c r="V671" t="s">
        <v>12612</v>
      </c>
      <c r="W671" t="s">
        <v>12613</v>
      </c>
      <c r="X671" t="s">
        <v>12614</v>
      </c>
      <c r="Y671" t="s">
        <v>12615</v>
      </c>
      <c r="Z671" t="s">
        <v>12616</v>
      </c>
      <c r="AA671" t="s">
        <v>12617</v>
      </c>
      <c r="AB671" t="s">
        <v>12618</v>
      </c>
      <c r="AC671" t="s">
        <v>12619</v>
      </c>
      <c r="AD671" t="s">
        <v>12620</v>
      </c>
      <c r="AE671" t="s">
        <v>12621</v>
      </c>
      <c r="AF671" t="s">
        <v>74</v>
      </c>
      <c r="AG671">
        <v>61</v>
      </c>
      <c r="AH671">
        <v>38</v>
      </c>
      <c r="AI671">
        <v>43</v>
      </c>
      <c r="AJ671">
        <v>0</v>
      </c>
      <c r="AK671">
        <v>21</v>
      </c>
      <c r="AL671" t="s">
        <v>5249</v>
      </c>
      <c r="AM671" t="s">
        <v>5250</v>
      </c>
      <c r="AN671" t="s">
        <v>5251</v>
      </c>
      <c r="AO671" t="s">
        <v>6177</v>
      </c>
      <c r="AP671" t="s">
        <v>74</v>
      </c>
      <c r="AQ671" t="s">
        <v>74</v>
      </c>
      <c r="AR671" t="s">
        <v>6165</v>
      </c>
      <c r="AS671" t="s">
        <v>6178</v>
      </c>
      <c r="AT671" t="s">
        <v>12622</v>
      </c>
      <c r="AU671">
        <v>2011</v>
      </c>
      <c r="AV671">
        <v>6</v>
      </c>
      <c r="AW671">
        <v>10</v>
      </c>
      <c r="AX671" t="s">
        <v>74</v>
      </c>
      <c r="AY671" t="s">
        <v>74</v>
      </c>
      <c r="AZ671" t="s">
        <v>74</v>
      </c>
      <c r="BA671" t="s">
        <v>74</v>
      </c>
      <c r="BB671" t="s">
        <v>74</v>
      </c>
      <c r="BC671" t="s">
        <v>74</v>
      </c>
      <c r="BD671" t="s">
        <v>12623</v>
      </c>
      <c r="BE671" t="s">
        <v>12624</v>
      </c>
      <c r="BF671" t="str">
        <f>HYPERLINK("http://dx.doi.org/10.1371/journal.pone.0026665","http://dx.doi.org/10.1371/journal.pone.0026665")</f>
        <v>http://dx.doi.org/10.1371/journal.pone.0026665</v>
      </c>
      <c r="BG671" t="s">
        <v>74</v>
      </c>
      <c r="BH671" t="s">
        <v>74</v>
      </c>
      <c r="BI671">
        <v>12</v>
      </c>
      <c r="BJ671" t="s">
        <v>6182</v>
      </c>
      <c r="BK671" t="s">
        <v>100</v>
      </c>
      <c r="BL671" t="s">
        <v>6183</v>
      </c>
      <c r="BM671" t="s">
        <v>12625</v>
      </c>
      <c r="BN671">
        <v>22028935</v>
      </c>
      <c r="BO671" t="s">
        <v>2136</v>
      </c>
      <c r="BP671" t="s">
        <v>74</v>
      </c>
      <c r="BQ671" t="s">
        <v>74</v>
      </c>
      <c r="BR671" t="s">
        <v>102</v>
      </c>
      <c r="BS671" t="s">
        <v>12626</v>
      </c>
      <c r="BT671" t="str">
        <f>HYPERLINK("https%3A%2F%2Fwww.webofscience.com%2Fwos%2Fwoscc%2Ffull-record%2FWOS:000296510800064","View Full Record in Web of Science")</f>
        <v>View Full Record in Web of Science</v>
      </c>
    </row>
    <row r="672" spans="1:72" x14ac:dyDescent="0.15">
      <c r="A672" t="s">
        <v>72</v>
      </c>
      <c r="B672" t="s">
        <v>12627</v>
      </c>
      <c r="C672" t="s">
        <v>74</v>
      </c>
      <c r="D672" t="s">
        <v>74</v>
      </c>
      <c r="E672" t="s">
        <v>74</v>
      </c>
      <c r="F672" t="s">
        <v>12628</v>
      </c>
      <c r="G672" t="s">
        <v>74</v>
      </c>
      <c r="H672" t="s">
        <v>74</v>
      </c>
      <c r="I672" t="s">
        <v>12629</v>
      </c>
      <c r="J672" t="s">
        <v>6124</v>
      </c>
      <c r="K672" t="s">
        <v>74</v>
      </c>
      <c r="L672" t="s">
        <v>74</v>
      </c>
      <c r="M672" t="s">
        <v>78</v>
      </c>
      <c r="N672" t="s">
        <v>79</v>
      </c>
      <c r="O672" t="s">
        <v>74</v>
      </c>
      <c r="P672" t="s">
        <v>74</v>
      </c>
      <c r="Q672" t="s">
        <v>74</v>
      </c>
      <c r="R672" t="s">
        <v>74</v>
      </c>
      <c r="S672" t="s">
        <v>74</v>
      </c>
      <c r="T672" t="s">
        <v>74</v>
      </c>
      <c r="U672" t="s">
        <v>12630</v>
      </c>
      <c r="V672" t="s">
        <v>12631</v>
      </c>
      <c r="W672" t="s">
        <v>12632</v>
      </c>
      <c r="X672" t="s">
        <v>12633</v>
      </c>
      <c r="Y672" t="s">
        <v>12634</v>
      </c>
      <c r="Z672" t="s">
        <v>12635</v>
      </c>
      <c r="AA672" t="s">
        <v>12636</v>
      </c>
      <c r="AB672" t="s">
        <v>12637</v>
      </c>
      <c r="AC672" t="s">
        <v>12638</v>
      </c>
      <c r="AD672" t="s">
        <v>12639</v>
      </c>
      <c r="AE672" t="s">
        <v>12640</v>
      </c>
      <c r="AF672" t="s">
        <v>74</v>
      </c>
      <c r="AG672">
        <v>40</v>
      </c>
      <c r="AH672">
        <v>70</v>
      </c>
      <c r="AI672">
        <v>81</v>
      </c>
      <c r="AJ672">
        <v>3</v>
      </c>
      <c r="AK672">
        <v>54</v>
      </c>
      <c r="AL672" t="s">
        <v>1498</v>
      </c>
      <c r="AM672" t="s">
        <v>985</v>
      </c>
      <c r="AN672" t="s">
        <v>1499</v>
      </c>
      <c r="AO672" t="s">
        <v>6136</v>
      </c>
      <c r="AP672" t="s">
        <v>6137</v>
      </c>
      <c r="AQ672" t="s">
        <v>74</v>
      </c>
      <c r="AR672" t="s">
        <v>6138</v>
      </c>
      <c r="AS672" t="s">
        <v>6139</v>
      </c>
      <c r="AT672" t="s">
        <v>12641</v>
      </c>
      <c r="AU672">
        <v>2011</v>
      </c>
      <c r="AV672">
        <v>116</v>
      </c>
      <c r="AW672" t="s">
        <v>74</v>
      </c>
      <c r="AX672" t="s">
        <v>74</v>
      </c>
      <c r="AY672" t="s">
        <v>74</v>
      </c>
      <c r="AZ672" t="s">
        <v>74</v>
      </c>
      <c r="BA672" t="s">
        <v>74</v>
      </c>
      <c r="BB672" t="s">
        <v>74</v>
      </c>
      <c r="BC672" t="s">
        <v>74</v>
      </c>
      <c r="BD672" t="s">
        <v>12642</v>
      </c>
      <c r="BE672" t="s">
        <v>12643</v>
      </c>
      <c r="BF672" t="str">
        <f>HYPERLINK("http://dx.doi.org/10.1029/2011JC007218","http://dx.doi.org/10.1029/2011JC007218")</f>
        <v>http://dx.doi.org/10.1029/2011JC007218</v>
      </c>
      <c r="BG672" t="s">
        <v>74</v>
      </c>
      <c r="BH672" t="s">
        <v>74</v>
      </c>
      <c r="BI672">
        <v>10</v>
      </c>
      <c r="BJ672" t="s">
        <v>496</v>
      </c>
      <c r="BK672" t="s">
        <v>100</v>
      </c>
      <c r="BL672" t="s">
        <v>496</v>
      </c>
      <c r="BM672" t="s">
        <v>12644</v>
      </c>
      <c r="BN672" t="s">
        <v>74</v>
      </c>
      <c r="BO672" t="s">
        <v>7063</v>
      </c>
      <c r="BP672" t="s">
        <v>74</v>
      </c>
      <c r="BQ672" t="s">
        <v>74</v>
      </c>
      <c r="BR672" t="s">
        <v>102</v>
      </c>
      <c r="BS672" t="s">
        <v>12645</v>
      </c>
      <c r="BT672" t="str">
        <f>HYPERLINK("https%3A%2F%2Fwww.webofscience.com%2Fwos%2Fwoscc%2Ffull-record%2FWOS:000296161700002","View Full Record in Web of Science")</f>
        <v>View Full Record in Web of Science</v>
      </c>
    </row>
    <row r="673" spans="1:72" x14ac:dyDescent="0.15">
      <c r="A673" t="s">
        <v>72</v>
      </c>
      <c r="B673" t="s">
        <v>12646</v>
      </c>
      <c r="C673" t="s">
        <v>74</v>
      </c>
      <c r="D673" t="s">
        <v>74</v>
      </c>
      <c r="E673" t="s">
        <v>74</v>
      </c>
      <c r="F673" t="s">
        <v>12647</v>
      </c>
      <c r="G673" t="s">
        <v>74</v>
      </c>
      <c r="H673" t="s">
        <v>74</v>
      </c>
      <c r="I673" t="s">
        <v>12648</v>
      </c>
      <c r="J673" t="s">
        <v>6055</v>
      </c>
      <c r="K673" t="s">
        <v>74</v>
      </c>
      <c r="L673" t="s">
        <v>74</v>
      </c>
      <c r="M673" t="s">
        <v>78</v>
      </c>
      <c r="N673" t="s">
        <v>79</v>
      </c>
      <c r="O673" t="s">
        <v>74</v>
      </c>
      <c r="P673" t="s">
        <v>74</v>
      </c>
      <c r="Q673" t="s">
        <v>74</v>
      </c>
      <c r="R673" t="s">
        <v>74</v>
      </c>
      <c r="S673" t="s">
        <v>74</v>
      </c>
      <c r="T673" t="s">
        <v>74</v>
      </c>
      <c r="U673" t="s">
        <v>12649</v>
      </c>
      <c r="V673" t="s">
        <v>12650</v>
      </c>
      <c r="W673" t="s">
        <v>12651</v>
      </c>
      <c r="X673" t="s">
        <v>12652</v>
      </c>
      <c r="Y673" t="s">
        <v>12653</v>
      </c>
      <c r="Z673" t="s">
        <v>12654</v>
      </c>
      <c r="AA673" t="s">
        <v>12655</v>
      </c>
      <c r="AB673" t="s">
        <v>12656</v>
      </c>
      <c r="AC673" t="s">
        <v>12657</v>
      </c>
      <c r="AD673" t="s">
        <v>12658</v>
      </c>
      <c r="AE673" t="s">
        <v>12659</v>
      </c>
      <c r="AF673" t="s">
        <v>74</v>
      </c>
      <c r="AG673">
        <v>23</v>
      </c>
      <c r="AH673">
        <v>39</v>
      </c>
      <c r="AI673">
        <v>40</v>
      </c>
      <c r="AJ673">
        <v>1</v>
      </c>
      <c r="AK673">
        <v>13</v>
      </c>
      <c r="AL673" t="s">
        <v>1498</v>
      </c>
      <c r="AM673" t="s">
        <v>985</v>
      </c>
      <c r="AN673" t="s">
        <v>1499</v>
      </c>
      <c r="AO673" t="s">
        <v>6066</v>
      </c>
      <c r="AP673" t="s">
        <v>6067</v>
      </c>
      <c r="AQ673" t="s">
        <v>74</v>
      </c>
      <c r="AR673" t="s">
        <v>6068</v>
      </c>
      <c r="AS673" t="s">
        <v>6069</v>
      </c>
      <c r="AT673" t="s">
        <v>12641</v>
      </c>
      <c r="AU673">
        <v>2011</v>
      </c>
      <c r="AV673">
        <v>38</v>
      </c>
      <c r="AW673" t="s">
        <v>74</v>
      </c>
      <c r="AX673" t="s">
        <v>74</v>
      </c>
      <c r="AY673" t="s">
        <v>74</v>
      </c>
      <c r="AZ673" t="s">
        <v>74</v>
      </c>
      <c r="BA673" t="s">
        <v>74</v>
      </c>
      <c r="BB673" t="s">
        <v>74</v>
      </c>
      <c r="BC673" t="s">
        <v>74</v>
      </c>
      <c r="BD673" t="s">
        <v>12660</v>
      </c>
      <c r="BE673" t="s">
        <v>12661</v>
      </c>
      <c r="BF673" t="str">
        <f>HYPERLINK("http://dx.doi.org/10.1029/2011GL048666","http://dx.doi.org/10.1029/2011GL048666")</f>
        <v>http://dx.doi.org/10.1029/2011GL048666</v>
      </c>
      <c r="BG673" t="s">
        <v>74</v>
      </c>
      <c r="BH673" t="s">
        <v>74</v>
      </c>
      <c r="BI673">
        <v>5</v>
      </c>
      <c r="BJ673" t="s">
        <v>287</v>
      </c>
      <c r="BK673" t="s">
        <v>100</v>
      </c>
      <c r="BL673" t="s">
        <v>288</v>
      </c>
      <c r="BM673" t="s">
        <v>12662</v>
      </c>
      <c r="BN673" t="s">
        <v>74</v>
      </c>
      <c r="BO673" t="s">
        <v>4483</v>
      </c>
      <c r="BP673" t="s">
        <v>74</v>
      </c>
      <c r="BQ673" t="s">
        <v>74</v>
      </c>
      <c r="BR673" t="s">
        <v>102</v>
      </c>
      <c r="BS673" t="s">
        <v>12663</v>
      </c>
      <c r="BT673" t="str">
        <f>HYPERLINK("https%3A%2F%2Fwww.webofscience.com%2Fwos%2Fwoscc%2Ffull-record%2FWOS:000296156900001","View Full Record in Web of Science")</f>
        <v>View Full Record in Web of Science</v>
      </c>
    </row>
    <row r="674" spans="1:72" x14ac:dyDescent="0.15">
      <c r="A674" t="s">
        <v>72</v>
      </c>
      <c r="B674" t="s">
        <v>12664</v>
      </c>
      <c r="C674" t="s">
        <v>74</v>
      </c>
      <c r="D674" t="s">
        <v>74</v>
      </c>
      <c r="E674" t="s">
        <v>74</v>
      </c>
      <c r="F674" t="s">
        <v>12665</v>
      </c>
      <c r="G674" t="s">
        <v>74</v>
      </c>
      <c r="H674" t="s">
        <v>74</v>
      </c>
      <c r="I674" t="s">
        <v>12666</v>
      </c>
      <c r="J674" t="s">
        <v>6224</v>
      </c>
      <c r="K674" t="s">
        <v>74</v>
      </c>
      <c r="L674" t="s">
        <v>74</v>
      </c>
      <c r="M674" t="s">
        <v>78</v>
      </c>
      <c r="N674" t="s">
        <v>79</v>
      </c>
      <c r="O674" t="s">
        <v>74</v>
      </c>
      <c r="P674" t="s">
        <v>74</v>
      </c>
      <c r="Q674" t="s">
        <v>74</v>
      </c>
      <c r="R674" t="s">
        <v>74</v>
      </c>
      <c r="S674" t="s">
        <v>74</v>
      </c>
      <c r="T674" t="s">
        <v>74</v>
      </c>
      <c r="U674" t="s">
        <v>12667</v>
      </c>
      <c r="V674" t="s">
        <v>12668</v>
      </c>
      <c r="W674" t="s">
        <v>12669</v>
      </c>
      <c r="X674" t="s">
        <v>12670</v>
      </c>
      <c r="Y674" t="s">
        <v>12671</v>
      </c>
      <c r="Z674" t="s">
        <v>12672</v>
      </c>
      <c r="AA674" t="s">
        <v>12673</v>
      </c>
      <c r="AB674" t="s">
        <v>10544</v>
      </c>
      <c r="AC674" t="s">
        <v>12674</v>
      </c>
      <c r="AD674" t="s">
        <v>12675</v>
      </c>
      <c r="AE674" t="s">
        <v>12676</v>
      </c>
      <c r="AF674" t="s">
        <v>74</v>
      </c>
      <c r="AG674">
        <v>46</v>
      </c>
      <c r="AH674">
        <v>27</v>
      </c>
      <c r="AI674">
        <v>28</v>
      </c>
      <c r="AJ674">
        <v>0</v>
      </c>
      <c r="AK674">
        <v>21</v>
      </c>
      <c r="AL674" t="s">
        <v>1498</v>
      </c>
      <c r="AM674" t="s">
        <v>985</v>
      </c>
      <c r="AN674" t="s">
        <v>1499</v>
      </c>
      <c r="AO674" t="s">
        <v>6236</v>
      </c>
      <c r="AP674" t="s">
        <v>6237</v>
      </c>
      <c r="AQ674" t="s">
        <v>74</v>
      </c>
      <c r="AR674" t="s">
        <v>6238</v>
      </c>
      <c r="AS674" t="s">
        <v>6239</v>
      </c>
      <c r="AT674" t="s">
        <v>12677</v>
      </c>
      <c r="AU674">
        <v>2011</v>
      </c>
      <c r="AV674">
        <v>116</v>
      </c>
      <c r="AW674" t="s">
        <v>74</v>
      </c>
      <c r="AX674" t="s">
        <v>74</v>
      </c>
      <c r="AY674" t="s">
        <v>74</v>
      </c>
      <c r="AZ674" t="s">
        <v>74</v>
      </c>
      <c r="BA674" t="s">
        <v>74</v>
      </c>
      <c r="BB674" t="s">
        <v>74</v>
      </c>
      <c r="BC674" t="s">
        <v>74</v>
      </c>
      <c r="BD674" t="s">
        <v>12678</v>
      </c>
      <c r="BE674" t="s">
        <v>12679</v>
      </c>
      <c r="BF674" t="str">
        <f>HYPERLINK("http://dx.doi.org/10.1029/2011JD015753","http://dx.doi.org/10.1029/2011JD015753")</f>
        <v>http://dx.doi.org/10.1029/2011JD015753</v>
      </c>
      <c r="BG674" t="s">
        <v>74</v>
      </c>
      <c r="BH674" t="s">
        <v>74</v>
      </c>
      <c r="BI674">
        <v>12</v>
      </c>
      <c r="BJ674" t="s">
        <v>463</v>
      </c>
      <c r="BK674" t="s">
        <v>100</v>
      </c>
      <c r="BL674" t="s">
        <v>463</v>
      </c>
      <c r="BM674" t="s">
        <v>12680</v>
      </c>
      <c r="BN674" t="s">
        <v>74</v>
      </c>
      <c r="BO674" t="s">
        <v>892</v>
      </c>
      <c r="BP674" t="s">
        <v>74</v>
      </c>
      <c r="BQ674" t="s">
        <v>74</v>
      </c>
      <c r="BR674" t="s">
        <v>102</v>
      </c>
      <c r="BS674" t="s">
        <v>12681</v>
      </c>
      <c r="BT674" t="str">
        <f>HYPERLINK("https%3A%2F%2Fwww.webofscience.com%2Fwos%2Fwoscc%2Ffull-record%2FWOS:000296159800004","View Full Record in Web of Science")</f>
        <v>View Full Record in Web of Science</v>
      </c>
    </row>
    <row r="675" spans="1:72" x14ac:dyDescent="0.15">
      <c r="A675" t="s">
        <v>72</v>
      </c>
      <c r="B675" t="s">
        <v>12682</v>
      </c>
      <c r="C675" t="s">
        <v>74</v>
      </c>
      <c r="D675" t="s">
        <v>74</v>
      </c>
      <c r="E675" t="s">
        <v>74</v>
      </c>
      <c r="F675" t="s">
        <v>12683</v>
      </c>
      <c r="G675" t="s">
        <v>74</v>
      </c>
      <c r="H675" t="s">
        <v>74</v>
      </c>
      <c r="I675" t="s">
        <v>12684</v>
      </c>
      <c r="J675" t="s">
        <v>12685</v>
      </c>
      <c r="K675" t="s">
        <v>74</v>
      </c>
      <c r="L675" t="s">
        <v>74</v>
      </c>
      <c r="M675" t="s">
        <v>78</v>
      </c>
      <c r="N675" t="s">
        <v>79</v>
      </c>
      <c r="O675" t="s">
        <v>74</v>
      </c>
      <c r="P675" t="s">
        <v>74</v>
      </c>
      <c r="Q675" t="s">
        <v>74</v>
      </c>
      <c r="R675" t="s">
        <v>74</v>
      </c>
      <c r="S675" t="s">
        <v>74</v>
      </c>
      <c r="T675" t="s">
        <v>74</v>
      </c>
      <c r="U675" t="s">
        <v>12686</v>
      </c>
      <c r="V675" t="s">
        <v>12687</v>
      </c>
      <c r="W675" t="s">
        <v>12688</v>
      </c>
      <c r="X675" t="s">
        <v>12689</v>
      </c>
      <c r="Y675" t="s">
        <v>12690</v>
      </c>
      <c r="Z675" t="s">
        <v>12691</v>
      </c>
      <c r="AA675" t="s">
        <v>12692</v>
      </c>
      <c r="AB675" t="s">
        <v>12693</v>
      </c>
      <c r="AC675" t="s">
        <v>12694</v>
      </c>
      <c r="AD675" t="s">
        <v>12695</v>
      </c>
      <c r="AE675" t="s">
        <v>12696</v>
      </c>
      <c r="AF675" t="s">
        <v>74</v>
      </c>
      <c r="AG675">
        <v>27</v>
      </c>
      <c r="AH675">
        <v>25</v>
      </c>
      <c r="AI675">
        <v>28</v>
      </c>
      <c r="AJ675">
        <v>1</v>
      </c>
      <c r="AK675">
        <v>19</v>
      </c>
      <c r="AL675" t="s">
        <v>12697</v>
      </c>
      <c r="AM675" t="s">
        <v>687</v>
      </c>
      <c r="AN675" t="s">
        <v>12698</v>
      </c>
      <c r="AO675" t="s">
        <v>12699</v>
      </c>
      <c r="AP675" t="s">
        <v>74</v>
      </c>
      <c r="AQ675" t="s">
        <v>74</v>
      </c>
      <c r="AR675" t="s">
        <v>12700</v>
      </c>
      <c r="AS675" t="s">
        <v>12701</v>
      </c>
      <c r="AT675" t="s">
        <v>12677</v>
      </c>
      <c r="AU675">
        <v>2011</v>
      </c>
      <c r="AV675">
        <v>1</v>
      </c>
      <c r="AW675" t="s">
        <v>74</v>
      </c>
      <c r="AX675" t="s">
        <v>74</v>
      </c>
      <c r="AY675" t="s">
        <v>74</v>
      </c>
      <c r="AZ675" t="s">
        <v>74</v>
      </c>
      <c r="BA675" t="s">
        <v>74</v>
      </c>
      <c r="BB675" t="s">
        <v>74</v>
      </c>
      <c r="BC675" t="s">
        <v>74</v>
      </c>
      <c r="BD675">
        <v>119</v>
      </c>
      <c r="BE675" t="s">
        <v>12702</v>
      </c>
      <c r="BF675" t="str">
        <f>HYPERLINK("http://dx.doi.org/10.1038/srep00119","http://dx.doi.org/10.1038/srep00119")</f>
        <v>http://dx.doi.org/10.1038/srep00119</v>
      </c>
      <c r="BG675" t="s">
        <v>74</v>
      </c>
      <c r="BH675" t="s">
        <v>74</v>
      </c>
      <c r="BI675">
        <v>5</v>
      </c>
      <c r="BJ675" t="s">
        <v>6182</v>
      </c>
      <c r="BK675" t="s">
        <v>100</v>
      </c>
      <c r="BL675" t="s">
        <v>6183</v>
      </c>
      <c r="BM675" t="s">
        <v>12703</v>
      </c>
      <c r="BN675">
        <v>22355636</v>
      </c>
      <c r="BO675" t="s">
        <v>12704</v>
      </c>
      <c r="BP675" t="s">
        <v>74</v>
      </c>
      <c r="BQ675" t="s">
        <v>74</v>
      </c>
      <c r="BR675" t="s">
        <v>102</v>
      </c>
      <c r="BS675" t="s">
        <v>12705</v>
      </c>
      <c r="BT675" t="str">
        <f>HYPERLINK("https%3A%2F%2Fwww.webofscience.com%2Fwos%2Fwoscc%2Ffull-record%2FWOS:000296056300001","View Full Record in Web of Science")</f>
        <v>View Full Record in Web of Science</v>
      </c>
    </row>
    <row r="676" spans="1:72" x14ac:dyDescent="0.15">
      <c r="A676" t="s">
        <v>72</v>
      </c>
      <c r="B676" t="s">
        <v>12706</v>
      </c>
      <c r="C676" t="s">
        <v>74</v>
      </c>
      <c r="D676" t="s">
        <v>74</v>
      </c>
      <c r="E676" t="s">
        <v>74</v>
      </c>
      <c r="F676" t="s">
        <v>12707</v>
      </c>
      <c r="G676" t="s">
        <v>74</v>
      </c>
      <c r="H676" t="s">
        <v>74</v>
      </c>
      <c r="I676" t="s">
        <v>12708</v>
      </c>
      <c r="J676" t="s">
        <v>12709</v>
      </c>
      <c r="K676" t="s">
        <v>74</v>
      </c>
      <c r="L676" t="s">
        <v>74</v>
      </c>
      <c r="M676" t="s">
        <v>78</v>
      </c>
      <c r="N676" t="s">
        <v>79</v>
      </c>
      <c r="O676" t="s">
        <v>74</v>
      </c>
      <c r="P676" t="s">
        <v>74</v>
      </c>
      <c r="Q676" t="s">
        <v>74</v>
      </c>
      <c r="R676" t="s">
        <v>74</v>
      </c>
      <c r="S676" t="s">
        <v>74</v>
      </c>
      <c r="T676" t="s">
        <v>74</v>
      </c>
      <c r="U676" t="s">
        <v>12710</v>
      </c>
      <c r="V676" t="s">
        <v>12711</v>
      </c>
      <c r="W676" t="s">
        <v>12712</v>
      </c>
      <c r="X676" t="s">
        <v>12713</v>
      </c>
      <c r="Y676" t="s">
        <v>12714</v>
      </c>
      <c r="Z676" t="s">
        <v>12715</v>
      </c>
      <c r="AA676" t="s">
        <v>12716</v>
      </c>
      <c r="AB676" t="s">
        <v>12717</v>
      </c>
      <c r="AC676" t="s">
        <v>74</v>
      </c>
      <c r="AD676" t="s">
        <v>74</v>
      </c>
      <c r="AE676" t="s">
        <v>74</v>
      </c>
      <c r="AF676" t="s">
        <v>74</v>
      </c>
      <c r="AG676">
        <v>54</v>
      </c>
      <c r="AH676">
        <v>22</v>
      </c>
      <c r="AI676">
        <v>26</v>
      </c>
      <c r="AJ676">
        <v>0</v>
      </c>
      <c r="AK676">
        <v>29</v>
      </c>
      <c r="AL676" t="s">
        <v>5683</v>
      </c>
      <c r="AM676" t="s">
        <v>221</v>
      </c>
      <c r="AN676" t="s">
        <v>5684</v>
      </c>
      <c r="AO676" t="s">
        <v>12718</v>
      </c>
      <c r="AP676" t="s">
        <v>74</v>
      </c>
      <c r="AQ676" t="s">
        <v>74</v>
      </c>
      <c r="AR676" t="s">
        <v>12719</v>
      </c>
      <c r="AS676" t="s">
        <v>12720</v>
      </c>
      <c r="AT676" t="s">
        <v>12677</v>
      </c>
      <c r="AU676">
        <v>2011</v>
      </c>
      <c r="AV676">
        <v>11</v>
      </c>
      <c r="AW676" t="s">
        <v>74</v>
      </c>
      <c r="AX676" t="s">
        <v>74</v>
      </c>
      <c r="AY676" t="s">
        <v>74</v>
      </c>
      <c r="AZ676" t="s">
        <v>74</v>
      </c>
      <c r="BA676" t="s">
        <v>74</v>
      </c>
      <c r="BB676" t="s">
        <v>74</v>
      </c>
      <c r="BC676" t="s">
        <v>74</v>
      </c>
      <c r="BD676">
        <v>306</v>
      </c>
      <c r="BE676" t="s">
        <v>12721</v>
      </c>
      <c r="BF676" t="str">
        <f>HYPERLINK("http://dx.doi.org/10.1186/1471-2148-11-306","http://dx.doi.org/10.1186/1471-2148-11-306")</f>
        <v>http://dx.doi.org/10.1186/1471-2148-11-306</v>
      </c>
      <c r="BG676" t="s">
        <v>74</v>
      </c>
      <c r="BH676" t="s">
        <v>74</v>
      </c>
      <c r="BI676">
        <v>15</v>
      </c>
      <c r="BJ676" t="s">
        <v>390</v>
      </c>
      <c r="BK676" t="s">
        <v>100</v>
      </c>
      <c r="BL676" t="s">
        <v>390</v>
      </c>
      <c r="BM676" t="s">
        <v>12722</v>
      </c>
      <c r="BN676">
        <v>22008647</v>
      </c>
      <c r="BO676" t="s">
        <v>3175</v>
      </c>
      <c r="BP676" t="s">
        <v>74</v>
      </c>
      <c r="BQ676" t="s">
        <v>74</v>
      </c>
      <c r="BR676" t="s">
        <v>102</v>
      </c>
      <c r="BS676" t="s">
        <v>12723</v>
      </c>
      <c r="BT676" t="str">
        <f>HYPERLINK("https%3A%2F%2Fwww.webofscience.com%2Fwos%2Fwoscc%2Ffull-record%2FWOS:000296764800001","View Full Record in Web of Science")</f>
        <v>View Full Record in Web of Science</v>
      </c>
    </row>
    <row r="677" spans="1:72" x14ac:dyDescent="0.15">
      <c r="A677" t="s">
        <v>72</v>
      </c>
      <c r="B677" t="s">
        <v>12724</v>
      </c>
      <c r="C677" t="s">
        <v>74</v>
      </c>
      <c r="D677" t="s">
        <v>74</v>
      </c>
      <c r="E677" t="s">
        <v>74</v>
      </c>
      <c r="F677" t="s">
        <v>12725</v>
      </c>
      <c r="G677" t="s">
        <v>74</v>
      </c>
      <c r="H677" t="s">
        <v>74</v>
      </c>
      <c r="I677" t="s">
        <v>12726</v>
      </c>
      <c r="J677" t="s">
        <v>6124</v>
      </c>
      <c r="K677" t="s">
        <v>74</v>
      </c>
      <c r="L677" t="s">
        <v>74</v>
      </c>
      <c r="M677" t="s">
        <v>78</v>
      </c>
      <c r="N677" t="s">
        <v>79</v>
      </c>
      <c r="O677" t="s">
        <v>74</v>
      </c>
      <c r="P677" t="s">
        <v>74</v>
      </c>
      <c r="Q677" t="s">
        <v>74</v>
      </c>
      <c r="R677" t="s">
        <v>74</v>
      </c>
      <c r="S677" t="s">
        <v>74</v>
      </c>
      <c r="T677" t="s">
        <v>74</v>
      </c>
      <c r="U677" t="s">
        <v>12727</v>
      </c>
      <c r="V677" t="s">
        <v>12728</v>
      </c>
      <c r="W677" t="s">
        <v>12729</v>
      </c>
      <c r="X677" t="s">
        <v>12730</v>
      </c>
      <c r="Y677" t="s">
        <v>12634</v>
      </c>
      <c r="Z677" t="s">
        <v>12635</v>
      </c>
      <c r="AA677" t="s">
        <v>12731</v>
      </c>
      <c r="AB677" t="s">
        <v>12732</v>
      </c>
      <c r="AC677" t="s">
        <v>12733</v>
      </c>
      <c r="AD677" t="s">
        <v>12734</v>
      </c>
      <c r="AE677" t="s">
        <v>12735</v>
      </c>
      <c r="AF677" t="s">
        <v>74</v>
      </c>
      <c r="AG677">
        <v>26</v>
      </c>
      <c r="AH677">
        <v>20</v>
      </c>
      <c r="AI677">
        <v>21</v>
      </c>
      <c r="AJ677">
        <v>0</v>
      </c>
      <c r="AK677">
        <v>16</v>
      </c>
      <c r="AL677" t="s">
        <v>1498</v>
      </c>
      <c r="AM677" t="s">
        <v>985</v>
      </c>
      <c r="AN677" t="s">
        <v>1499</v>
      </c>
      <c r="AO677" t="s">
        <v>6136</v>
      </c>
      <c r="AP677" t="s">
        <v>74</v>
      </c>
      <c r="AQ677" t="s">
        <v>74</v>
      </c>
      <c r="AR677" t="s">
        <v>6138</v>
      </c>
      <c r="AS677" t="s">
        <v>6139</v>
      </c>
      <c r="AT677" t="s">
        <v>12677</v>
      </c>
      <c r="AU677">
        <v>2011</v>
      </c>
      <c r="AV677">
        <v>116</v>
      </c>
      <c r="AW677" t="s">
        <v>74</v>
      </c>
      <c r="AX677" t="s">
        <v>74</v>
      </c>
      <c r="AY677" t="s">
        <v>74</v>
      </c>
      <c r="AZ677" t="s">
        <v>74</v>
      </c>
      <c r="BA677" t="s">
        <v>74</v>
      </c>
      <c r="BB677" t="s">
        <v>74</v>
      </c>
      <c r="BC677" t="s">
        <v>74</v>
      </c>
      <c r="BD677" t="s">
        <v>12736</v>
      </c>
      <c r="BE677" t="s">
        <v>12737</v>
      </c>
      <c r="BF677" t="str">
        <f>HYPERLINK("http://dx.doi.org/10.1029/2011JC007269","http://dx.doi.org/10.1029/2011JC007269")</f>
        <v>http://dx.doi.org/10.1029/2011JC007269</v>
      </c>
      <c r="BG677" t="s">
        <v>74</v>
      </c>
      <c r="BH677" t="s">
        <v>74</v>
      </c>
      <c r="BI677">
        <v>9</v>
      </c>
      <c r="BJ677" t="s">
        <v>496</v>
      </c>
      <c r="BK677" t="s">
        <v>100</v>
      </c>
      <c r="BL677" t="s">
        <v>496</v>
      </c>
      <c r="BM677" t="s">
        <v>12738</v>
      </c>
      <c r="BN677" t="s">
        <v>74</v>
      </c>
      <c r="BO677" t="s">
        <v>74</v>
      </c>
      <c r="BP677" t="s">
        <v>74</v>
      </c>
      <c r="BQ677" t="s">
        <v>74</v>
      </c>
      <c r="BR677" t="s">
        <v>102</v>
      </c>
      <c r="BS677" t="s">
        <v>12739</v>
      </c>
      <c r="BT677" t="str">
        <f>HYPERLINK("https%3A%2F%2Fwww.webofscience.com%2Fwos%2Fwoscc%2Ffull-record%2FWOS:000296161600005","View Full Record in Web of Science")</f>
        <v>View Full Record in Web of Science</v>
      </c>
    </row>
    <row r="678" spans="1:72" x14ac:dyDescent="0.15">
      <c r="A678" t="s">
        <v>72</v>
      </c>
      <c r="B678" t="s">
        <v>12740</v>
      </c>
      <c r="C678" t="s">
        <v>74</v>
      </c>
      <c r="D678" t="s">
        <v>74</v>
      </c>
      <c r="E678" t="s">
        <v>74</v>
      </c>
      <c r="F678" t="s">
        <v>12741</v>
      </c>
      <c r="G678" t="s">
        <v>74</v>
      </c>
      <c r="H678" t="s">
        <v>74</v>
      </c>
      <c r="I678" t="s">
        <v>12742</v>
      </c>
      <c r="J678" t="s">
        <v>143</v>
      </c>
      <c r="K678" t="s">
        <v>74</v>
      </c>
      <c r="L678" t="s">
        <v>74</v>
      </c>
      <c r="M678" t="s">
        <v>78</v>
      </c>
      <c r="N678" t="s">
        <v>79</v>
      </c>
      <c r="O678" t="s">
        <v>74</v>
      </c>
      <c r="P678" t="s">
        <v>74</v>
      </c>
      <c r="Q678" t="s">
        <v>74</v>
      </c>
      <c r="R678" t="s">
        <v>74</v>
      </c>
      <c r="S678" t="s">
        <v>74</v>
      </c>
      <c r="T678" t="s">
        <v>74</v>
      </c>
      <c r="U678" t="s">
        <v>12743</v>
      </c>
      <c r="V678" t="s">
        <v>12744</v>
      </c>
      <c r="W678" t="s">
        <v>12745</v>
      </c>
      <c r="X678" t="s">
        <v>12746</v>
      </c>
      <c r="Y678" t="s">
        <v>12747</v>
      </c>
      <c r="Z678" t="s">
        <v>12748</v>
      </c>
      <c r="AA678" t="s">
        <v>12749</v>
      </c>
      <c r="AB678" t="s">
        <v>12750</v>
      </c>
      <c r="AC678" t="s">
        <v>12751</v>
      </c>
      <c r="AD678" t="s">
        <v>12752</v>
      </c>
      <c r="AE678" t="s">
        <v>12753</v>
      </c>
      <c r="AF678" t="s">
        <v>74</v>
      </c>
      <c r="AG678">
        <v>85</v>
      </c>
      <c r="AH678">
        <v>13</v>
      </c>
      <c r="AI678">
        <v>14</v>
      </c>
      <c r="AJ678">
        <v>0</v>
      </c>
      <c r="AK678">
        <v>5</v>
      </c>
      <c r="AL678" t="s">
        <v>155</v>
      </c>
      <c r="AM678" t="s">
        <v>156</v>
      </c>
      <c r="AN678" t="s">
        <v>157</v>
      </c>
      <c r="AO678" t="s">
        <v>158</v>
      </c>
      <c r="AP678" t="s">
        <v>159</v>
      </c>
      <c r="AQ678" t="s">
        <v>74</v>
      </c>
      <c r="AR678" t="s">
        <v>160</v>
      </c>
      <c r="AS678" t="s">
        <v>161</v>
      </c>
      <c r="AT678" t="s">
        <v>12754</v>
      </c>
      <c r="AU678">
        <v>2011</v>
      </c>
      <c r="AV678">
        <v>75</v>
      </c>
      <c r="AW678">
        <v>20</v>
      </c>
      <c r="AX678" t="s">
        <v>74</v>
      </c>
      <c r="AY678" t="s">
        <v>74</v>
      </c>
      <c r="AZ678" t="s">
        <v>74</v>
      </c>
      <c r="BA678" t="s">
        <v>74</v>
      </c>
      <c r="BB678">
        <v>6140</v>
      </c>
      <c r="BC678">
        <v>6159</v>
      </c>
      <c r="BD678" t="s">
        <v>74</v>
      </c>
      <c r="BE678" t="s">
        <v>12755</v>
      </c>
      <c r="BF678" t="str">
        <f>HYPERLINK("http://dx.doi.org/10.1016/j.gca.2011.07.037","http://dx.doi.org/10.1016/j.gca.2011.07.037")</f>
        <v>http://dx.doi.org/10.1016/j.gca.2011.07.037</v>
      </c>
      <c r="BG678" t="s">
        <v>74</v>
      </c>
      <c r="BH678" t="s">
        <v>74</v>
      </c>
      <c r="BI678">
        <v>20</v>
      </c>
      <c r="BJ678" t="s">
        <v>164</v>
      </c>
      <c r="BK678" t="s">
        <v>100</v>
      </c>
      <c r="BL678" t="s">
        <v>164</v>
      </c>
      <c r="BM678" t="s">
        <v>12756</v>
      </c>
      <c r="BN678" t="s">
        <v>74</v>
      </c>
      <c r="BO678" t="s">
        <v>74</v>
      </c>
      <c r="BP678" t="s">
        <v>74</v>
      </c>
      <c r="BQ678" t="s">
        <v>74</v>
      </c>
      <c r="BR678" t="s">
        <v>102</v>
      </c>
      <c r="BS678" t="s">
        <v>12757</v>
      </c>
      <c r="BT678" t="str">
        <f>HYPERLINK("https%3A%2F%2Fwww.webofscience.com%2Fwos%2Fwoscc%2Ffull-record%2FWOS:000295641600020","View Full Record in Web of Science")</f>
        <v>View Full Record in Web of Science</v>
      </c>
    </row>
    <row r="679" spans="1:72" x14ac:dyDescent="0.15">
      <c r="A679" t="s">
        <v>72</v>
      </c>
      <c r="B679" t="s">
        <v>12758</v>
      </c>
      <c r="C679" t="s">
        <v>74</v>
      </c>
      <c r="D679" t="s">
        <v>74</v>
      </c>
      <c r="E679" t="s">
        <v>74</v>
      </c>
      <c r="F679" t="s">
        <v>12759</v>
      </c>
      <c r="G679" t="s">
        <v>74</v>
      </c>
      <c r="H679" t="s">
        <v>74</v>
      </c>
      <c r="I679" t="s">
        <v>12760</v>
      </c>
      <c r="J679" t="s">
        <v>6395</v>
      </c>
      <c r="K679" t="s">
        <v>74</v>
      </c>
      <c r="L679" t="s">
        <v>74</v>
      </c>
      <c r="M679" t="s">
        <v>78</v>
      </c>
      <c r="N679" t="s">
        <v>79</v>
      </c>
      <c r="O679" t="s">
        <v>74</v>
      </c>
      <c r="P679" t="s">
        <v>74</v>
      </c>
      <c r="Q679" t="s">
        <v>74</v>
      </c>
      <c r="R679" t="s">
        <v>74</v>
      </c>
      <c r="S679" t="s">
        <v>74</v>
      </c>
      <c r="T679" t="s">
        <v>74</v>
      </c>
      <c r="U679" t="s">
        <v>12761</v>
      </c>
      <c r="V679" t="s">
        <v>12762</v>
      </c>
      <c r="W679" t="s">
        <v>12763</v>
      </c>
      <c r="X679" t="s">
        <v>12764</v>
      </c>
      <c r="Y679" t="s">
        <v>12765</v>
      </c>
      <c r="Z679" t="s">
        <v>12766</v>
      </c>
      <c r="AA679" t="s">
        <v>12767</v>
      </c>
      <c r="AB679" t="s">
        <v>12768</v>
      </c>
      <c r="AC679" t="s">
        <v>12769</v>
      </c>
      <c r="AD679" t="s">
        <v>6746</v>
      </c>
      <c r="AE679" t="s">
        <v>12770</v>
      </c>
      <c r="AF679" t="s">
        <v>74</v>
      </c>
      <c r="AG679">
        <v>110</v>
      </c>
      <c r="AH679">
        <v>45</v>
      </c>
      <c r="AI679">
        <v>54</v>
      </c>
      <c r="AJ679">
        <v>3</v>
      </c>
      <c r="AK679">
        <v>32</v>
      </c>
      <c r="AL679" t="s">
        <v>1498</v>
      </c>
      <c r="AM679" t="s">
        <v>985</v>
      </c>
      <c r="AN679" t="s">
        <v>1499</v>
      </c>
      <c r="AO679" t="s">
        <v>6407</v>
      </c>
      <c r="AP679" t="s">
        <v>6408</v>
      </c>
      <c r="AQ679" t="s">
        <v>74</v>
      </c>
      <c r="AR679" t="s">
        <v>6395</v>
      </c>
      <c r="AS679" t="s">
        <v>6409</v>
      </c>
      <c r="AT679" t="s">
        <v>12754</v>
      </c>
      <c r="AU679">
        <v>2011</v>
      </c>
      <c r="AV679">
        <v>26</v>
      </c>
      <c r="AW679" t="s">
        <v>74</v>
      </c>
      <c r="AX679" t="s">
        <v>74</v>
      </c>
      <c r="AY679" t="s">
        <v>74</v>
      </c>
      <c r="AZ679" t="s">
        <v>74</v>
      </c>
      <c r="BA679" t="s">
        <v>74</v>
      </c>
      <c r="BB679" t="s">
        <v>74</v>
      </c>
      <c r="BC679" t="s">
        <v>74</v>
      </c>
      <c r="BD679" t="s">
        <v>12771</v>
      </c>
      <c r="BE679" t="s">
        <v>12772</v>
      </c>
      <c r="BF679" t="str">
        <f>HYPERLINK("http://dx.doi.org/10.1029/2010PA002061","http://dx.doi.org/10.1029/2010PA002061")</f>
        <v>http://dx.doi.org/10.1029/2010PA002061</v>
      </c>
      <c r="BG679" t="s">
        <v>74</v>
      </c>
      <c r="BH679" t="s">
        <v>74</v>
      </c>
      <c r="BI679">
        <v>13</v>
      </c>
      <c r="BJ679" t="s">
        <v>6412</v>
      </c>
      <c r="BK679" t="s">
        <v>100</v>
      </c>
      <c r="BL679" t="s">
        <v>6413</v>
      </c>
      <c r="BM679" t="s">
        <v>12773</v>
      </c>
      <c r="BN679" t="s">
        <v>74</v>
      </c>
      <c r="BO679" t="s">
        <v>365</v>
      </c>
      <c r="BP679" t="s">
        <v>74</v>
      </c>
      <c r="BQ679" t="s">
        <v>74</v>
      </c>
      <c r="BR679" t="s">
        <v>102</v>
      </c>
      <c r="BS679" t="s">
        <v>12774</v>
      </c>
      <c r="BT679" t="str">
        <f>HYPERLINK("https%3A%2F%2Fwww.webofscience.com%2Fwos%2Fwoscc%2Ffull-record%2FWOS:000295986600001","View Full Record in Web of Science")</f>
        <v>View Full Record in Web of Science</v>
      </c>
    </row>
    <row r="680" spans="1:72" x14ac:dyDescent="0.15">
      <c r="A680" t="s">
        <v>72</v>
      </c>
      <c r="B680" t="s">
        <v>12775</v>
      </c>
      <c r="C680" t="s">
        <v>74</v>
      </c>
      <c r="D680" t="s">
        <v>74</v>
      </c>
      <c r="E680" t="s">
        <v>74</v>
      </c>
      <c r="F680" t="s">
        <v>12776</v>
      </c>
      <c r="G680" t="s">
        <v>74</v>
      </c>
      <c r="H680" t="s">
        <v>74</v>
      </c>
      <c r="I680" t="s">
        <v>12777</v>
      </c>
      <c r="J680" t="s">
        <v>6662</v>
      </c>
      <c r="K680" t="s">
        <v>74</v>
      </c>
      <c r="L680" t="s">
        <v>74</v>
      </c>
      <c r="M680" t="s">
        <v>78</v>
      </c>
      <c r="N680" t="s">
        <v>79</v>
      </c>
      <c r="O680" t="s">
        <v>74</v>
      </c>
      <c r="P680" t="s">
        <v>74</v>
      </c>
      <c r="Q680" t="s">
        <v>74</v>
      </c>
      <c r="R680" t="s">
        <v>74</v>
      </c>
      <c r="S680" t="s">
        <v>74</v>
      </c>
      <c r="T680" t="s">
        <v>12778</v>
      </c>
      <c r="U680" t="s">
        <v>12779</v>
      </c>
      <c r="V680" t="s">
        <v>12780</v>
      </c>
      <c r="W680" t="s">
        <v>12781</v>
      </c>
      <c r="X680" t="s">
        <v>12782</v>
      </c>
      <c r="Y680" t="s">
        <v>8931</v>
      </c>
      <c r="Z680" t="s">
        <v>8932</v>
      </c>
      <c r="AA680" t="s">
        <v>12783</v>
      </c>
      <c r="AB680" t="s">
        <v>12784</v>
      </c>
      <c r="AC680" t="s">
        <v>12785</v>
      </c>
      <c r="AD680" t="s">
        <v>12786</v>
      </c>
      <c r="AE680" t="s">
        <v>12787</v>
      </c>
      <c r="AF680" t="s">
        <v>74</v>
      </c>
      <c r="AG680">
        <v>77</v>
      </c>
      <c r="AH680">
        <v>142</v>
      </c>
      <c r="AI680">
        <v>153</v>
      </c>
      <c r="AJ680">
        <v>0</v>
      </c>
      <c r="AK680">
        <v>55</v>
      </c>
      <c r="AL680" t="s">
        <v>333</v>
      </c>
      <c r="AM680" t="s">
        <v>334</v>
      </c>
      <c r="AN680" t="s">
        <v>335</v>
      </c>
      <c r="AO680" t="s">
        <v>6675</v>
      </c>
      <c r="AP680" t="s">
        <v>6676</v>
      </c>
      <c r="AQ680" t="s">
        <v>74</v>
      </c>
      <c r="AR680" t="s">
        <v>6677</v>
      </c>
      <c r="AS680" t="s">
        <v>6678</v>
      </c>
      <c r="AT680" t="s">
        <v>12754</v>
      </c>
      <c r="AU680">
        <v>2011</v>
      </c>
      <c r="AV680">
        <v>310</v>
      </c>
      <c r="AW680" t="s">
        <v>6679</v>
      </c>
      <c r="AX680" t="s">
        <v>74</v>
      </c>
      <c r="AY680" t="s">
        <v>74</v>
      </c>
      <c r="AZ680" t="s">
        <v>74</v>
      </c>
      <c r="BA680" t="s">
        <v>74</v>
      </c>
      <c r="BB680">
        <v>441</v>
      </c>
      <c r="BC680">
        <v>452</v>
      </c>
      <c r="BD680" t="s">
        <v>74</v>
      </c>
      <c r="BE680" t="s">
        <v>12788</v>
      </c>
      <c r="BF680" t="str">
        <f>HYPERLINK("http://dx.doi.org/10.1016/j.epsl.2011.08.011","http://dx.doi.org/10.1016/j.epsl.2011.08.011")</f>
        <v>http://dx.doi.org/10.1016/j.epsl.2011.08.011</v>
      </c>
      <c r="BG680" t="s">
        <v>74</v>
      </c>
      <c r="BH680" t="s">
        <v>74</v>
      </c>
      <c r="BI680">
        <v>12</v>
      </c>
      <c r="BJ680" t="s">
        <v>164</v>
      </c>
      <c r="BK680" t="s">
        <v>100</v>
      </c>
      <c r="BL680" t="s">
        <v>164</v>
      </c>
      <c r="BM680" t="s">
        <v>12789</v>
      </c>
      <c r="BN680" t="s">
        <v>74</v>
      </c>
      <c r="BO680" t="s">
        <v>74</v>
      </c>
      <c r="BP680" t="s">
        <v>74</v>
      </c>
      <c r="BQ680" t="s">
        <v>74</v>
      </c>
      <c r="BR680" t="s">
        <v>102</v>
      </c>
      <c r="BS680" t="s">
        <v>12790</v>
      </c>
      <c r="BT680" t="str">
        <f>HYPERLINK("https%3A%2F%2Fwww.webofscience.com%2Fwos%2Fwoscc%2Ffull-record%2FWOS:000298273500029","View Full Record in Web of Science")</f>
        <v>View Full Record in Web of Science</v>
      </c>
    </row>
    <row r="681" spans="1:72" x14ac:dyDescent="0.15">
      <c r="A681" t="s">
        <v>72</v>
      </c>
      <c r="B681" t="s">
        <v>12791</v>
      </c>
      <c r="C681" t="s">
        <v>74</v>
      </c>
      <c r="D681" t="s">
        <v>74</v>
      </c>
      <c r="E681" t="s">
        <v>74</v>
      </c>
      <c r="F681" t="s">
        <v>12792</v>
      </c>
      <c r="G681" t="s">
        <v>74</v>
      </c>
      <c r="H681" t="s">
        <v>74</v>
      </c>
      <c r="I681" t="s">
        <v>12793</v>
      </c>
      <c r="J681" t="s">
        <v>8542</v>
      </c>
      <c r="K681" t="s">
        <v>74</v>
      </c>
      <c r="L681" t="s">
        <v>74</v>
      </c>
      <c r="M681" t="s">
        <v>78</v>
      </c>
      <c r="N681" t="s">
        <v>79</v>
      </c>
      <c r="O681" t="s">
        <v>74</v>
      </c>
      <c r="P681" t="s">
        <v>74</v>
      </c>
      <c r="Q681" t="s">
        <v>74</v>
      </c>
      <c r="R681" t="s">
        <v>74</v>
      </c>
      <c r="S681" t="s">
        <v>74</v>
      </c>
      <c r="T681" t="s">
        <v>74</v>
      </c>
      <c r="U681" t="s">
        <v>12794</v>
      </c>
      <c r="V681" t="s">
        <v>12795</v>
      </c>
      <c r="W681" t="s">
        <v>12796</v>
      </c>
      <c r="X681" t="s">
        <v>12797</v>
      </c>
      <c r="Y681" t="s">
        <v>12798</v>
      </c>
      <c r="Z681" t="s">
        <v>12799</v>
      </c>
      <c r="AA681" t="s">
        <v>12800</v>
      </c>
      <c r="AB681" t="s">
        <v>12801</v>
      </c>
      <c r="AC681" t="s">
        <v>12802</v>
      </c>
      <c r="AD681" t="s">
        <v>12802</v>
      </c>
      <c r="AE681" t="s">
        <v>12803</v>
      </c>
      <c r="AF681" t="s">
        <v>74</v>
      </c>
      <c r="AG681">
        <v>69</v>
      </c>
      <c r="AH681">
        <v>46</v>
      </c>
      <c r="AI681">
        <v>52</v>
      </c>
      <c r="AJ681">
        <v>0</v>
      </c>
      <c r="AK681">
        <v>59</v>
      </c>
      <c r="AL681" t="s">
        <v>3802</v>
      </c>
      <c r="AM681" t="s">
        <v>985</v>
      </c>
      <c r="AN681" t="s">
        <v>3803</v>
      </c>
      <c r="AO681" t="s">
        <v>8552</v>
      </c>
      <c r="AP681" t="s">
        <v>8553</v>
      </c>
      <c r="AQ681" t="s">
        <v>74</v>
      </c>
      <c r="AR681" t="s">
        <v>8554</v>
      </c>
      <c r="AS681" t="s">
        <v>8555</v>
      </c>
      <c r="AT681" t="s">
        <v>12754</v>
      </c>
      <c r="AU681">
        <v>2011</v>
      </c>
      <c r="AV681">
        <v>45</v>
      </c>
      <c r="AW681">
        <v>20</v>
      </c>
      <c r="AX681" t="s">
        <v>74</v>
      </c>
      <c r="AY681" t="s">
        <v>74</v>
      </c>
      <c r="AZ681" t="s">
        <v>74</v>
      </c>
      <c r="BA681" t="s">
        <v>74</v>
      </c>
      <c r="BB681">
        <v>9017</v>
      </c>
      <c r="BC681">
        <v>9023</v>
      </c>
      <c r="BD681" t="s">
        <v>74</v>
      </c>
      <c r="BE681" t="s">
        <v>12804</v>
      </c>
      <c r="BF681" t="str">
        <f>HYPERLINK("http://dx.doi.org/10.1021/es202296a","http://dx.doi.org/10.1021/es202296a")</f>
        <v>http://dx.doi.org/10.1021/es202296a</v>
      </c>
      <c r="BG681" t="s">
        <v>74</v>
      </c>
      <c r="BH681" t="s">
        <v>74</v>
      </c>
      <c r="BI681">
        <v>7</v>
      </c>
      <c r="BJ681" t="s">
        <v>3688</v>
      </c>
      <c r="BK681" t="s">
        <v>100</v>
      </c>
      <c r="BL681" t="s">
        <v>3689</v>
      </c>
      <c r="BM681" t="s">
        <v>12805</v>
      </c>
      <c r="BN681">
        <v>21902216</v>
      </c>
      <c r="BO681" t="s">
        <v>1796</v>
      </c>
      <c r="BP681" t="s">
        <v>74</v>
      </c>
      <c r="BQ681" t="s">
        <v>74</v>
      </c>
      <c r="BR681" t="s">
        <v>102</v>
      </c>
      <c r="BS681" t="s">
        <v>12806</v>
      </c>
      <c r="BT681" t="str">
        <f>HYPERLINK("https%3A%2F%2Fwww.webofscience.com%2Fwos%2Fwoscc%2Ffull-record%2FWOS:000295704500057","View Full Record in Web of Science")</f>
        <v>View Full Record in Web of Science</v>
      </c>
    </row>
    <row r="682" spans="1:72" x14ac:dyDescent="0.15">
      <c r="A682" t="s">
        <v>72</v>
      </c>
      <c r="B682" t="s">
        <v>12807</v>
      </c>
      <c r="C682" t="s">
        <v>74</v>
      </c>
      <c r="D682" t="s">
        <v>74</v>
      </c>
      <c r="E682" t="s">
        <v>74</v>
      </c>
      <c r="F682" t="s">
        <v>12808</v>
      </c>
      <c r="G682" t="s">
        <v>74</v>
      </c>
      <c r="H682" t="s">
        <v>74</v>
      </c>
      <c r="I682" t="s">
        <v>12809</v>
      </c>
      <c r="J682" t="s">
        <v>143</v>
      </c>
      <c r="K682" t="s">
        <v>74</v>
      </c>
      <c r="L682" t="s">
        <v>74</v>
      </c>
      <c r="M682" t="s">
        <v>78</v>
      </c>
      <c r="N682" t="s">
        <v>79</v>
      </c>
      <c r="O682" t="s">
        <v>74</v>
      </c>
      <c r="P682" t="s">
        <v>74</v>
      </c>
      <c r="Q682" t="s">
        <v>74</v>
      </c>
      <c r="R682" t="s">
        <v>74</v>
      </c>
      <c r="S682" t="s">
        <v>74</v>
      </c>
      <c r="T682" t="s">
        <v>74</v>
      </c>
      <c r="U682" t="s">
        <v>12810</v>
      </c>
      <c r="V682" t="s">
        <v>12811</v>
      </c>
      <c r="W682" t="s">
        <v>12812</v>
      </c>
      <c r="X682" t="s">
        <v>12813</v>
      </c>
      <c r="Y682" t="s">
        <v>12814</v>
      </c>
      <c r="Z682" t="s">
        <v>12815</v>
      </c>
      <c r="AA682" t="s">
        <v>12816</v>
      </c>
      <c r="AB682" t="s">
        <v>12817</v>
      </c>
      <c r="AC682" t="s">
        <v>12818</v>
      </c>
      <c r="AD682" t="s">
        <v>12819</v>
      </c>
      <c r="AE682" t="s">
        <v>12820</v>
      </c>
      <c r="AF682" t="s">
        <v>74</v>
      </c>
      <c r="AG682">
        <v>47</v>
      </c>
      <c r="AH682">
        <v>161</v>
      </c>
      <c r="AI682">
        <v>179</v>
      </c>
      <c r="AJ682">
        <v>6</v>
      </c>
      <c r="AK682">
        <v>126</v>
      </c>
      <c r="AL682" t="s">
        <v>155</v>
      </c>
      <c r="AM682" t="s">
        <v>156</v>
      </c>
      <c r="AN682" t="s">
        <v>157</v>
      </c>
      <c r="AO682" t="s">
        <v>158</v>
      </c>
      <c r="AP682" t="s">
        <v>159</v>
      </c>
      <c r="AQ682" t="s">
        <v>74</v>
      </c>
      <c r="AR682" t="s">
        <v>160</v>
      </c>
      <c r="AS682" t="s">
        <v>161</v>
      </c>
      <c r="AT682" t="s">
        <v>12754</v>
      </c>
      <c r="AU682">
        <v>2011</v>
      </c>
      <c r="AV682">
        <v>75</v>
      </c>
      <c r="AW682">
        <v>20</v>
      </c>
      <c r="AX682" t="s">
        <v>74</v>
      </c>
      <c r="AY682" t="s">
        <v>74</v>
      </c>
      <c r="AZ682" t="s">
        <v>74</v>
      </c>
      <c r="BA682" t="s">
        <v>74</v>
      </c>
      <c r="BB682">
        <v>6225</v>
      </c>
      <c r="BC682">
        <v>6238</v>
      </c>
      <c r="BD682" t="s">
        <v>74</v>
      </c>
      <c r="BE682" t="s">
        <v>12821</v>
      </c>
      <c r="BF682" t="str">
        <f>HYPERLINK("http://dx.doi.org/10.1016/j.gca.2011.07.042","http://dx.doi.org/10.1016/j.gca.2011.07.042")</f>
        <v>http://dx.doi.org/10.1016/j.gca.2011.07.042</v>
      </c>
      <c r="BG682" t="s">
        <v>74</v>
      </c>
      <c r="BH682" t="s">
        <v>74</v>
      </c>
      <c r="BI682">
        <v>14</v>
      </c>
      <c r="BJ682" t="s">
        <v>164</v>
      </c>
      <c r="BK682" t="s">
        <v>100</v>
      </c>
      <c r="BL682" t="s">
        <v>164</v>
      </c>
      <c r="BM682" t="s">
        <v>12756</v>
      </c>
      <c r="BN682" t="s">
        <v>74</v>
      </c>
      <c r="BO682" t="s">
        <v>74</v>
      </c>
      <c r="BP682" t="s">
        <v>74</v>
      </c>
      <c r="BQ682" t="s">
        <v>74</v>
      </c>
      <c r="BR682" t="s">
        <v>102</v>
      </c>
      <c r="BS682" t="s">
        <v>12822</v>
      </c>
      <c r="BT682" t="str">
        <f>HYPERLINK("https%3A%2F%2Fwww.webofscience.com%2Fwos%2Fwoscc%2Ffull-record%2FWOS:000295641600025","View Full Record in Web of Science")</f>
        <v>View Full Record in Web of Science</v>
      </c>
    </row>
    <row r="683" spans="1:72" x14ac:dyDescent="0.15">
      <c r="A683" t="s">
        <v>72</v>
      </c>
      <c r="B683" t="s">
        <v>12823</v>
      </c>
      <c r="C683" t="s">
        <v>74</v>
      </c>
      <c r="D683" t="s">
        <v>74</v>
      </c>
      <c r="E683" t="s">
        <v>74</v>
      </c>
      <c r="F683" t="s">
        <v>12824</v>
      </c>
      <c r="G683" t="s">
        <v>74</v>
      </c>
      <c r="H683" t="s">
        <v>74</v>
      </c>
      <c r="I683" t="s">
        <v>12825</v>
      </c>
      <c r="J683" t="s">
        <v>6224</v>
      </c>
      <c r="K683" t="s">
        <v>74</v>
      </c>
      <c r="L683" t="s">
        <v>74</v>
      </c>
      <c r="M683" t="s">
        <v>78</v>
      </c>
      <c r="N683" t="s">
        <v>79</v>
      </c>
      <c r="O683" t="s">
        <v>74</v>
      </c>
      <c r="P683" t="s">
        <v>74</v>
      </c>
      <c r="Q683" t="s">
        <v>74</v>
      </c>
      <c r="R683" t="s">
        <v>74</v>
      </c>
      <c r="S683" t="s">
        <v>74</v>
      </c>
      <c r="T683" t="s">
        <v>74</v>
      </c>
      <c r="U683" t="s">
        <v>12826</v>
      </c>
      <c r="V683" t="s">
        <v>12827</v>
      </c>
      <c r="W683" t="s">
        <v>12828</v>
      </c>
      <c r="X683" t="s">
        <v>527</v>
      </c>
      <c r="Y683" t="s">
        <v>2177</v>
      </c>
      <c r="Z683" t="s">
        <v>12829</v>
      </c>
      <c r="AA683" t="s">
        <v>74</v>
      </c>
      <c r="AB683" t="s">
        <v>74</v>
      </c>
      <c r="AC683" t="s">
        <v>2179</v>
      </c>
      <c r="AD683" t="s">
        <v>586</v>
      </c>
      <c r="AE683" t="s">
        <v>74</v>
      </c>
      <c r="AF683" t="s">
        <v>74</v>
      </c>
      <c r="AG683">
        <v>46</v>
      </c>
      <c r="AH683">
        <v>21</v>
      </c>
      <c r="AI683">
        <v>21</v>
      </c>
      <c r="AJ683">
        <v>0</v>
      </c>
      <c r="AK683">
        <v>9</v>
      </c>
      <c r="AL683" t="s">
        <v>1498</v>
      </c>
      <c r="AM683" t="s">
        <v>985</v>
      </c>
      <c r="AN683" t="s">
        <v>1499</v>
      </c>
      <c r="AO683" t="s">
        <v>6236</v>
      </c>
      <c r="AP683" t="s">
        <v>74</v>
      </c>
      <c r="AQ683" t="s">
        <v>74</v>
      </c>
      <c r="AR683" t="s">
        <v>6238</v>
      </c>
      <c r="AS683" t="s">
        <v>6239</v>
      </c>
      <c r="AT683" t="s">
        <v>12830</v>
      </c>
      <c r="AU683">
        <v>2011</v>
      </c>
      <c r="AV683">
        <v>116</v>
      </c>
      <c r="AW683" t="s">
        <v>74</v>
      </c>
      <c r="AX683" t="s">
        <v>74</v>
      </c>
      <c r="AY683" t="s">
        <v>74</v>
      </c>
      <c r="AZ683" t="s">
        <v>74</v>
      </c>
      <c r="BA683" t="s">
        <v>74</v>
      </c>
      <c r="BB683" t="s">
        <v>74</v>
      </c>
      <c r="BC683" t="s">
        <v>74</v>
      </c>
      <c r="BD683" t="s">
        <v>12831</v>
      </c>
      <c r="BE683" t="s">
        <v>12832</v>
      </c>
      <c r="BF683" t="str">
        <f>HYPERLINK("http://dx.doi.org/10.1029/2011JD015949","http://dx.doi.org/10.1029/2011JD015949")</f>
        <v>http://dx.doi.org/10.1029/2011JD015949</v>
      </c>
      <c r="BG683" t="s">
        <v>74</v>
      </c>
      <c r="BH683" t="s">
        <v>74</v>
      </c>
      <c r="BI683">
        <v>9</v>
      </c>
      <c r="BJ683" t="s">
        <v>463</v>
      </c>
      <c r="BK683" t="s">
        <v>100</v>
      </c>
      <c r="BL683" t="s">
        <v>463</v>
      </c>
      <c r="BM683" t="s">
        <v>12833</v>
      </c>
      <c r="BN683" t="s">
        <v>74</v>
      </c>
      <c r="BO683" t="s">
        <v>4483</v>
      </c>
      <c r="BP683" t="s">
        <v>74</v>
      </c>
      <c r="BQ683" t="s">
        <v>74</v>
      </c>
      <c r="BR683" t="s">
        <v>102</v>
      </c>
      <c r="BS683" t="s">
        <v>12834</v>
      </c>
      <c r="BT683" t="str">
        <f>HYPERLINK("https%3A%2F%2Fwww.webofscience.com%2Fwos%2Fwoscc%2Ffull-record%2FWOS:000296014500003","View Full Record in Web of Science")</f>
        <v>View Full Record in Web of Science</v>
      </c>
    </row>
    <row r="684" spans="1:72" x14ac:dyDescent="0.15">
      <c r="A684" t="s">
        <v>72</v>
      </c>
      <c r="B684" t="s">
        <v>12835</v>
      </c>
      <c r="C684" t="s">
        <v>74</v>
      </c>
      <c r="D684" t="s">
        <v>74</v>
      </c>
      <c r="E684" t="s">
        <v>74</v>
      </c>
      <c r="F684" t="s">
        <v>12836</v>
      </c>
      <c r="G684" t="s">
        <v>74</v>
      </c>
      <c r="H684" t="s">
        <v>74</v>
      </c>
      <c r="I684" t="s">
        <v>12837</v>
      </c>
      <c r="J684" t="s">
        <v>6224</v>
      </c>
      <c r="K684" t="s">
        <v>74</v>
      </c>
      <c r="L684" t="s">
        <v>74</v>
      </c>
      <c r="M684" t="s">
        <v>78</v>
      </c>
      <c r="N684" t="s">
        <v>79</v>
      </c>
      <c r="O684" t="s">
        <v>74</v>
      </c>
      <c r="P684" t="s">
        <v>74</v>
      </c>
      <c r="Q684" t="s">
        <v>74</v>
      </c>
      <c r="R684" t="s">
        <v>74</v>
      </c>
      <c r="S684" t="s">
        <v>74</v>
      </c>
      <c r="T684" t="s">
        <v>74</v>
      </c>
      <c r="U684" t="s">
        <v>12838</v>
      </c>
      <c r="V684" t="s">
        <v>12839</v>
      </c>
      <c r="W684" t="s">
        <v>12840</v>
      </c>
      <c r="X684" t="s">
        <v>5071</v>
      </c>
      <c r="Y684" t="s">
        <v>12841</v>
      </c>
      <c r="Z684" t="s">
        <v>12842</v>
      </c>
      <c r="AA684" t="s">
        <v>12843</v>
      </c>
      <c r="AB684" t="s">
        <v>12844</v>
      </c>
      <c r="AC684" t="s">
        <v>12845</v>
      </c>
      <c r="AD684" t="s">
        <v>12846</v>
      </c>
      <c r="AE684" t="s">
        <v>12847</v>
      </c>
      <c r="AF684" t="s">
        <v>74</v>
      </c>
      <c r="AG684">
        <v>58</v>
      </c>
      <c r="AH684">
        <v>36</v>
      </c>
      <c r="AI684">
        <v>37</v>
      </c>
      <c r="AJ684">
        <v>1</v>
      </c>
      <c r="AK684">
        <v>20</v>
      </c>
      <c r="AL684" t="s">
        <v>1498</v>
      </c>
      <c r="AM684" t="s">
        <v>985</v>
      </c>
      <c r="AN684" t="s">
        <v>1499</v>
      </c>
      <c r="AO684" t="s">
        <v>6236</v>
      </c>
      <c r="AP684" t="s">
        <v>6237</v>
      </c>
      <c r="AQ684" t="s">
        <v>74</v>
      </c>
      <c r="AR684" t="s">
        <v>6238</v>
      </c>
      <c r="AS684" t="s">
        <v>6239</v>
      </c>
      <c r="AT684" t="s">
        <v>12848</v>
      </c>
      <c r="AU684">
        <v>2011</v>
      </c>
      <c r="AV684">
        <v>116</v>
      </c>
      <c r="AW684" t="s">
        <v>74</v>
      </c>
      <c r="AX684" t="s">
        <v>74</v>
      </c>
      <c r="AY684" t="s">
        <v>74</v>
      </c>
      <c r="AZ684" t="s">
        <v>74</v>
      </c>
      <c r="BA684" t="s">
        <v>74</v>
      </c>
      <c r="BB684" t="s">
        <v>74</v>
      </c>
      <c r="BC684" t="s">
        <v>74</v>
      </c>
      <c r="BD684" t="s">
        <v>12849</v>
      </c>
      <c r="BE684" t="s">
        <v>12850</v>
      </c>
      <c r="BF684" t="str">
        <f>HYPERLINK("http://dx.doi.org/10.1029/2011JD015673","http://dx.doi.org/10.1029/2011JD015673")</f>
        <v>http://dx.doi.org/10.1029/2011JD015673</v>
      </c>
      <c r="BG684" t="s">
        <v>74</v>
      </c>
      <c r="BH684" t="s">
        <v>74</v>
      </c>
      <c r="BI684">
        <v>12</v>
      </c>
      <c r="BJ684" t="s">
        <v>463</v>
      </c>
      <c r="BK684" t="s">
        <v>100</v>
      </c>
      <c r="BL684" t="s">
        <v>463</v>
      </c>
      <c r="BM684" t="s">
        <v>12851</v>
      </c>
      <c r="BN684" t="s">
        <v>74</v>
      </c>
      <c r="BO684" t="s">
        <v>342</v>
      </c>
      <c r="BP684" t="s">
        <v>74</v>
      </c>
      <c r="BQ684" t="s">
        <v>74</v>
      </c>
      <c r="BR684" t="s">
        <v>102</v>
      </c>
      <c r="BS684" t="s">
        <v>12852</v>
      </c>
      <c r="BT684" t="str">
        <f>HYPERLINK("https%3A%2F%2Fwww.webofscience.com%2Fwos%2Fwoscc%2Ffull-record%2FWOS:000306172900001","View Full Record in Web of Science")</f>
        <v>View Full Record in Web of Science</v>
      </c>
    </row>
    <row r="685" spans="1:72" x14ac:dyDescent="0.15">
      <c r="A685" t="s">
        <v>72</v>
      </c>
      <c r="B685" t="s">
        <v>12853</v>
      </c>
      <c r="C685" t="s">
        <v>74</v>
      </c>
      <c r="D685" t="s">
        <v>74</v>
      </c>
      <c r="E685" t="s">
        <v>74</v>
      </c>
      <c r="F685" t="s">
        <v>12854</v>
      </c>
      <c r="G685" t="s">
        <v>74</v>
      </c>
      <c r="H685" t="s">
        <v>74</v>
      </c>
      <c r="I685" t="s">
        <v>12855</v>
      </c>
      <c r="J685" t="s">
        <v>6077</v>
      </c>
      <c r="K685" t="s">
        <v>74</v>
      </c>
      <c r="L685" t="s">
        <v>74</v>
      </c>
      <c r="M685" t="s">
        <v>78</v>
      </c>
      <c r="N685" t="s">
        <v>79</v>
      </c>
      <c r="O685" t="s">
        <v>74</v>
      </c>
      <c r="P685" t="s">
        <v>74</v>
      </c>
      <c r="Q685" t="s">
        <v>74</v>
      </c>
      <c r="R685" t="s">
        <v>74</v>
      </c>
      <c r="S685" t="s">
        <v>74</v>
      </c>
      <c r="T685" t="s">
        <v>74</v>
      </c>
      <c r="U685" t="s">
        <v>12856</v>
      </c>
      <c r="V685" t="s">
        <v>12857</v>
      </c>
      <c r="W685" t="s">
        <v>12858</v>
      </c>
      <c r="X685" t="s">
        <v>12859</v>
      </c>
      <c r="Y685" t="s">
        <v>12860</v>
      </c>
      <c r="Z685" t="s">
        <v>12861</v>
      </c>
      <c r="AA685" t="s">
        <v>12862</v>
      </c>
      <c r="AB685" t="s">
        <v>12863</v>
      </c>
      <c r="AC685" t="s">
        <v>12864</v>
      </c>
      <c r="AD685" t="s">
        <v>12865</v>
      </c>
      <c r="AE685" t="s">
        <v>12866</v>
      </c>
      <c r="AF685" t="s">
        <v>74</v>
      </c>
      <c r="AG685">
        <v>65</v>
      </c>
      <c r="AH685">
        <v>56</v>
      </c>
      <c r="AI685">
        <v>57</v>
      </c>
      <c r="AJ685">
        <v>1</v>
      </c>
      <c r="AK685">
        <v>6</v>
      </c>
      <c r="AL685" t="s">
        <v>1498</v>
      </c>
      <c r="AM685" t="s">
        <v>985</v>
      </c>
      <c r="AN685" t="s">
        <v>1499</v>
      </c>
      <c r="AO685" t="s">
        <v>6089</v>
      </c>
      <c r="AP685" t="s">
        <v>6090</v>
      </c>
      <c r="AQ685" t="s">
        <v>74</v>
      </c>
      <c r="AR685" t="s">
        <v>6091</v>
      </c>
      <c r="AS685" t="s">
        <v>6092</v>
      </c>
      <c r="AT685" t="s">
        <v>12867</v>
      </c>
      <c r="AU685">
        <v>2011</v>
      </c>
      <c r="AV685">
        <v>116</v>
      </c>
      <c r="AW685" t="s">
        <v>74</v>
      </c>
      <c r="AX685" t="s">
        <v>74</v>
      </c>
      <c r="AY685" t="s">
        <v>74</v>
      </c>
      <c r="AZ685" t="s">
        <v>74</v>
      </c>
      <c r="BA685" t="s">
        <v>74</v>
      </c>
      <c r="BB685" t="s">
        <v>74</v>
      </c>
      <c r="BC685" t="s">
        <v>74</v>
      </c>
      <c r="BD685" t="s">
        <v>12868</v>
      </c>
      <c r="BE685" t="s">
        <v>12869</v>
      </c>
      <c r="BF685" t="str">
        <f>HYPERLINK("http://dx.doi.org/10.1029/2011JA016517","http://dx.doi.org/10.1029/2011JA016517")</f>
        <v>http://dx.doi.org/10.1029/2011JA016517</v>
      </c>
      <c r="BG685" t="s">
        <v>74</v>
      </c>
      <c r="BH685" t="s">
        <v>74</v>
      </c>
      <c r="BI685">
        <v>12</v>
      </c>
      <c r="BJ685" t="s">
        <v>5208</v>
      </c>
      <c r="BK685" t="s">
        <v>100</v>
      </c>
      <c r="BL685" t="s">
        <v>5208</v>
      </c>
      <c r="BM685" t="s">
        <v>12870</v>
      </c>
      <c r="BN685" t="s">
        <v>74</v>
      </c>
      <c r="BO685" t="s">
        <v>4483</v>
      </c>
      <c r="BP685" t="s">
        <v>74</v>
      </c>
      <c r="BQ685" t="s">
        <v>74</v>
      </c>
      <c r="BR685" t="s">
        <v>102</v>
      </c>
      <c r="BS685" t="s">
        <v>12871</v>
      </c>
      <c r="BT685" t="str">
        <f>HYPERLINK("https%3A%2F%2Fwww.webofscience.com%2Fwos%2Fwoscc%2Ffull-record%2FWOS:000295986100002","View Full Record in Web of Science")</f>
        <v>View Full Record in Web of Science</v>
      </c>
    </row>
    <row r="686" spans="1:72" x14ac:dyDescent="0.15">
      <c r="A686" t="s">
        <v>72</v>
      </c>
      <c r="B686" t="s">
        <v>12872</v>
      </c>
      <c r="C686" t="s">
        <v>74</v>
      </c>
      <c r="D686" t="s">
        <v>74</v>
      </c>
      <c r="E686" t="s">
        <v>74</v>
      </c>
      <c r="F686" t="s">
        <v>12873</v>
      </c>
      <c r="G686" t="s">
        <v>74</v>
      </c>
      <c r="H686" t="s">
        <v>74</v>
      </c>
      <c r="I686" t="s">
        <v>12874</v>
      </c>
      <c r="J686" t="s">
        <v>6165</v>
      </c>
      <c r="K686" t="s">
        <v>74</v>
      </c>
      <c r="L686" t="s">
        <v>74</v>
      </c>
      <c r="M686" t="s">
        <v>78</v>
      </c>
      <c r="N686" t="s">
        <v>79</v>
      </c>
      <c r="O686" t="s">
        <v>74</v>
      </c>
      <c r="P686" t="s">
        <v>74</v>
      </c>
      <c r="Q686" t="s">
        <v>74</v>
      </c>
      <c r="R686" t="s">
        <v>74</v>
      </c>
      <c r="S686" t="s">
        <v>74</v>
      </c>
      <c r="T686" t="s">
        <v>74</v>
      </c>
      <c r="U686" t="s">
        <v>12875</v>
      </c>
      <c r="V686" t="s">
        <v>12876</v>
      </c>
      <c r="W686" t="s">
        <v>12877</v>
      </c>
      <c r="X686" t="s">
        <v>12878</v>
      </c>
      <c r="Y686" t="s">
        <v>12879</v>
      </c>
      <c r="Z686" t="s">
        <v>12880</v>
      </c>
      <c r="AA686" t="s">
        <v>4495</v>
      </c>
      <c r="AB686" t="s">
        <v>4496</v>
      </c>
      <c r="AC686" t="s">
        <v>12881</v>
      </c>
      <c r="AD686" t="s">
        <v>12882</v>
      </c>
      <c r="AE686" t="s">
        <v>12883</v>
      </c>
      <c r="AF686" t="s">
        <v>74</v>
      </c>
      <c r="AG686">
        <v>28</v>
      </c>
      <c r="AH686">
        <v>46</v>
      </c>
      <c r="AI686">
        <v>57</v>
      </c>
      <c r="AJ686">
        <v>0</v>
      </c>
      <c r="AK686">
        <v>58</v>
      </c>
      <c r="AL686" t="s">
        <v>5249</v>
      </c>
      <c r="AM686" t="s">
        <v>5250</v>
      </c>
      <c r="AN686" t="s">
        <v>5251</v>
      </c>
      <c r="AO686" t="s">
        <v>6177</v>
      </c>
      <c r="AP686" t="s">
        <v>74</v>
      </c>
      <c r="AQ686" t="s">
        <v>74</v>
      </c>
      <c r="AR686" t="s">
        <v>6165</v>
      </c>
      <c r="AS686" t="s">
        <v>6178</v>
      </c>
      <c r="AT686" t="s">
        <v>12867</v>
      </c>
      <c r="AU686">
        <v>2011</v>
      </c>
      <c r="AV686">
        <v>6</v>
      </c>
      <c r="AW686">
        <v>10</v>
      </c>
      <c r="AX686" t="s">
        <v>74</v>
      </c>
      <c r="AY686" t="s">
        <v>74</v>
      </c>
      <c r="AZ686" t="s">
        <v>74</v>
      </c>
      <c r="BA686" t="s">
        <v>74</v>
      </c>
      <c r="BB686" t="s">
        <v>74</v>
      </c>
      <c r="BC686" t="s">
        <v>74</v>
      </c>
      <c r="BD686" t="s">
        <v>12884</v>
      </c>
      <c r="BE686" t="s">
        <v>12885</v>
      </c>
      <c r="BF686" t="str">
        <f>HYPERLINK("http://dx.doi.org/10.1371/journal.pone.0026079","http://dx.doi.org/10.1371/journal.pone.0026079")</f>
        <v>http://dx.doi.org/10.1371/journal.pone.0026079</v>
      </c>
      <c r="BG686" t="s">
        <v>74</v>
      </c>
      <c r="BH686" t="s">
        <v>74</v>
      </c>
      <c r="BI686">
        <v>6</v>
      </c>
      <c r="BJ686" t="s">
        <v>6182</v>
      </c>
      <c r="BK686" t="s">
        <v>100</v>
      </c>
      <c r="BL686" t="s">
        <v>6183</v>
      </c>
      <c r="BM686" t="s">
        <v>12886</v>
      </c>
      <c r="BN686">
        <v>22022513</v>
      </c>
      <c r="BO686" t="s">
        <v>12887</v>
      </c>
      <c r="BP686" t="s">
        <v>74</v>
      </c>
      <c r="BQ686" t="s">
        <v>74</v>
      </c>
      <c r="BR686" t="s">
        <v>102</v>
      </c>
      <c r="BS686" t="s">
        <v>12888</v>
      </c>
      <c r="BT686" t="str">
        <f>HYPERLINK("https%3A%2F%2Fwww.webofscience.com%2Fwos%2Fwoscc%2Ffull-record%2FWOS:000295973200031","View Full Record in Web of Science")</f>
        <v>View Full Record in Web of Science</v>
      </c>
    </row>
    <row r="687" spans="1:72" x14ac:dyDescent="0.15">
      <c r="A687" t="s">
        <v>72</v>
      </c>
      <c r="B687" t="s">
        <v>12889</v>
      </c>
      <c r="C687" t="s">
        <v>74</v>
      </c>
      <c r="D687" t="s">
        <v>74</v>
      </c>
      <c r="E687" t="s">
        <v>74</v>
      </c>
      <c r="F687" t="s">
        <v>12890</v>
      </c>
      <c r="G687" t="s">
        <v>74</v>
      </c>
      <c r="H687" t="s">
        <v>74</v>
      </c>
      <c r="I687" t="s">
        <v>12891</v>
      </c>
      <c r="J687" t="s">
        <v>6165</v>
      </c>
      <c r="K687" t="s">
        <v>74</v>
      </c>
      <c r="L687" t="s">
        <v>74</v>
      </c>
      <c r="M687" t="s">
        <v>78</v>
      </c>
      <c r="N687" t="s">
        <v>79</v>
      </c>
      <c r="O687" t="s">
        <v>74</v>
      </c>
      <c r="P687" t="s">
        <v>74</v>
      </c>
      <c r="Q687" t="s">
        <v>74</v>
      </c>
      <c r="R687" t="s">
        <v>74</v>
      </c>
      <c r="S687" t="s">
        <v>74</v>
      </c>
      <c r="T687" t="s">
        <v>74</v>
      </c>
      <c r="U687" t="s">
        <v>12892</v>
      </c>
      <c r="V687" t="s">
        <v>12893</v>
      </c>
      <c r="W687" t="s">
        <v>12894</v>
      </c>
      <c r="X687" t="s">
        <v>12895</v>
      </c>
      <c r="Y687" t="s">
        <v>12896</v>
      </c>
      <c r="Z687" t="s">
        <v>12897</v>
      </c>
      <c r="AA687" t="s">
        <v>12898</v>
      </c>
      <c r="AB687" t="s">
        <v>12899</v>
      </c>
      <c r="AC687" t="s">
        <v>12900</v>
      </c>
      <c r="AD687" t="s">
        <v>12901</v>
      </c>
      <c r="AE687" t="s">
        <v>12902</v>
      </c>
      <c r="AF687" t="s">
        <v>74</v>
      </c>
      <c r="AG687">
        <v>47</v>
      </c>
      <c r="AH687">
        <v>49</v>
      </c>
      <c r="AI687">
        <v>52</v>
      </c>
      <c r="AJ687">
        <v>1</v>
      </c>
      <c r="AK687">
        <v>37</v>
      </c>
      <c r="AL687" t="s">
        <v>5249</v>
      </c>
      <c r="AM687" t="s">
        <v>5250</v>
      </c>
      <c r="AN687" t="s">
        <v>5251</v>
      </c>
      <c r="AO687" t="s">
        <v>6177</v>
      </c>
      <c r="AP687" t="s">
        <v>74</v>
      </c>
      <c r="AQ687" t="s">
        <v>74</v>
      </c>
      <c r="AR687" t="s">
        <v>6165</v>
      </c>
      <c r="AS687" t="s">
        <v>6178</v>
      </c>
      <c r="AT687" t="s">
        <v>12903</v>
      </c>
      <c r="AU687">
        <v>2011</v>
      </c>
      <c r="AV687">
        <v>6</v>
      </c>
      <c r="AW687">
        <v>10</v>
      </c>
      <c r="AX687" t="s">
        <v>74</v>
      </c>
      <c r="AY687" t="s">
        <v>74</v>
      </c>
      <c r="AZ687" t="s">
        <v>74</v>
      </c>
      <c r="BA687" t="s">
        <v>74</v>
      </c>
      <c r="BB687" t="s">
        <v>74</v>
      </c>
      <c r="BC687" t="s">
        <v>74</v>
      </c>
      <c r="BD687" t="s">
        <v>12904</v>
      </c>
      <c r="BE687" t="s">
        <v>12905</v>
      </c>
      <c r="BF687" t="str">
        <f>HYPERLINK("http://dx.doi.org/10.1371/journal.pone.0026090","http://dx.doi.org/10.1371/journal.pone.0026090")</f>
        <v>http://dx.doi.org/10.1371/journal.pone.0026090</v>
      </c>
      <c r="BG687" t="s">
        <v>74</v>
      </c>
      <c r="BH687" t="s">
        <v>74</v>
      </c>
      <c r="BI687">
        <v>9</v>
      </c>
      <c r="BJ687" t="s">
        <v>6182</v>
      </c>
      <c r="BK687" t="s">
        <v>100</v>
      </c>
      <c r="BL687" t="s">
        <v>6183</v>
      </c>
      <c r="BM687" t="s">
        <v>12906</v>
      </c>
      <c r="BN687">
        <v>22022521</v>
      </c>
      <c r="BO687" t="s">
        <v>12907</v>
      </c>
      <c r="BP687" t="s">
        <v>74</v>
      </c>
      <c r="BQ687" t="s">
        <v>74</v>
      </c>
      <c r="BR687" t="s">
        <v>102</v>
      </c>
      <c r="BS687" t="s">
        <v>12908</v>
      </c>
      <c r="BT687" t="str">
        <f>HYPERLINK("https%3A%2F%2Fwww.webofscience.com%2Fwos%2Fwoscc%2Ffull-record%2FWOS:000295970300058","View Full Record in Web of Science")</f>
        <v>View Full Record in Web of Science</v>
      </c>
    </row>
    <row r="688" spans="1:72" x14ac:dyDescent="0.15">
      <c r="A688" t="s">
        <v>72</v>
      </c>
      <c r="B688" t="s">
        <v>12909</v>
      </c>
      <c r="C688" t="s">
        <v>74</v>
      </c>
      <c r="D688" t="s">
        <v>74</v>
      </c>
      <c r="E688" t="s">
        <v>74</v>
      </c>
      <c r="F688" t="s">
        <v>12910</v>
      </c>
      <c r="G688" t="s">
        <v>74</v>
      </c>
      <c r="H688" t="s">
        <v>74</v>
      </c>
      <c r="I688" t="s">
        <v>12911</v>
      </c>
      <c r="J688" t="s">
        <v>12912</v>
      </c>
      <c r="K688" t="s">
        <v>74</v>
      </c>
      <c r="L688" t="s">
        <v>74</v>
      </c>
      <c r="M688" t="s">
        <v>78</v>
      </c>
      <c r="N688" t="s">
        <v>79</v>
      </c>
      <c r="O688" t="s">
        <v>74</v>
      </c>
      <c r="P688" t="s">
        <v>74</v>
      </c>
      <c r="Q688" t="s">
        <v>74</v>
      </c>
      <c r="R688" t="s">
        <v>74</v>
      </c>
      <c r="S688" t="s">
        <v>74</v>
      </c>
      <c r="T688" t="s">
        <v>74</v>
      </c>
      <c r="U688" t="s">
        <v>12913</v>
      </c>
      <c r="V688" t="s">
        <v>12914</v>
      </c>
      <c r="W688" t="s">
        <v>12915</v>
      </c>
      <c r="X688" t="s">
        <v>12916</v>
      </c>
      <c r="Y688" t="s">
        <v>12917</v>
      </c>
      <c r="Z688" t="s">
        <v>12918</v>
      </c>
      <c r="AA688" t="s">
        <v>12919</v>
      </c>
      <c r="AB688" t="s">
        <v>12920</v>
      </c>
      <c r="AC688" t="s">
        <v>12921</v>
      </c>
      <c r="AD688" t="s">
        <v>12922</v>
      </c>
      <c r="AE688" t="s">
        <v>12923</v>
      </c>
      <c r="AF688" t="s">
        <v>74</v>
      </c>
      <c r="AG688">
        <v>88</v>
      </c>
      <c r="AH688">
        <v>55</v>
      </c>
      <c r="AI688">
        <v>61</v>
      </c>
      <c r="AJ688">
        <v>0</v>
      </c>
      <c r="AK688">
        <v>22</v>
      </c>
      <c r="AL688" t="s">
        <v>12924</v>
      </c>
      <c r="AM688" t="s">
        <v>221</v>
      </c>
      <c r="AN688" t="s">
        <v>12925</v>
      </c>
      <c r="AO688" t="s">
        <v>12926</v>
      </c>
      <c r="AP688" t="s">
        <v>74</v>
      </c>
      <c r="AQ688" t="s">
        <v>74</v>
      </c>
      <c r="AR688" t="s">
        <v>12912</v>
      </c>
      <c r="AS688" t="s">
        <v>12927</v>
      </c>
      <c r="AT688" t="s">
        <v>12903</v>
      </c>
      <c r="AU688">
        <v>2011</v>
      </c>
      <c r="AV688">
        <v>12</v>
      </c>
      <c r="AW688" t="s">
        <v>74</v>
      </c>
      <c r="AX688" t="s">
        <v>74</v>
      </c>
      <c r="AY688" t="s">
        <v>74</v>
      </c>
      <c r="AZ688" t="s">
        <v>74</v>
      </c>
      <c r="BA688" t="s">
        <v>74</v>
      </c>
      <c r="BB688" t="s">
        <v>74</v>
      </c>
      <c r="BC688" t="s">
        <v>74</v>
      </c>
      <c r="BD688">
        <v>490</v>
      </c>
      <c r="BE688" t="s">
        <v>12928</v>
      </c>
      <c r="BF688" t="str">
        <f>HYPERLINK("http://dx.doi.org/10.1186/1471-2164-12-490","http://dx.doi.org/10.1186/1471-2164-12-490")</f>
        <v>http://dx.doi.org/10.1186/1471-2164-12-490</v>
      </c>
      <c r="BG688" t="s">
        <v>74</v>
      </c>
      <c r="BH688" t="s">
        <v>74</v>
      </c>
      <c r="BI688">
        <v>19</v>
      </c>
      <c r="BJ688" t="s">
        <v>12929</v>
      </c>
      <c r="BK688" t="s">
        <v>100</v>
      </c>
      <c r="BL688" t="s">
        <v>12929</v>
      </c>
      <c r="BM688" t="s">
        <v>12930</v>
      </c>
      <c r="BN688">
        <v>21981800</v>
      </c>
      <c r="BO688" t="s">
        <v>12931</v>
      </c>
      <c r="BP688" t="s">
        <v>74</v>
      </c>
      <c r="BQ688" t="s">
        <v>74</v>
      </c>
      <c r="BR688" t="s">
        <v>102</v>
      </c>
      <c r="BS688" t="s">
        <v>12932</v>
      </c>
      <c r="BT688" t="str">
        <f>HYPERLINK("https%3A%2F%2Fwww.webofscience.com%2Fwos%2Fwoscc%2Ffull-record%2FWOS:000296333500002","View Full Record in Web of Science")</f>
        <v>View Full Record in Web of Science</v>
      </c>
    </row>
    <row r="689" spans="1:72" x14ac:dyDescent="0.15">
      <c r="A689" t="s">
        <v>72</v>
      </c>
      <c r="B689" t="s">
        <v>12933</v>
      </c>
      <c r="C689" t="s">
        <v>74</v>
      </c>
      <c r="D689" t="s">
        <v>74</v>
      </c>
      <c r="E689" t="s">
        <v>74</v>
      </c>
      <c r="F689" t="s">
        <v>12934</v>
      </c>
      <c r="G689" t="s">
        <v>74</v>
      </c>
      <c r="H689" t="s">
        <v>74</v>
      </c>
      <c r="I689" t="s">
        <v>12935</v>
      </c>
      <c r="J689" t="s">
        <v>10746</v>
      </c>
      <c r="K689" t="s">
        <v>74</v>
      </c>
      <c r="L689" t="s">
        <v>74</v>
      </c>
      <c r="M689" t="s">
        <v>78</v>
      </c>
      <c r="N689" t="s">
        <v>79</v>
      </c>
      <c r="O689" t="s">
        <v>74</v>
      </c>
      <c r="P689" t="s">
        <v>74</v>
      </c>
      <c r="Q689" t="s">
        <v>74</v>
      </c>
      <c r="R689" t="s">
        <v>74</v>
      </c>
      <c r="S689" t="s">
        <v>74</v>
      </c>
      <c r="T689" t="s">
        <v>12936</v>
      </c>
      <c r="U689" t="s">
        <v>12937</v>
      </c>
      <c r="V689" t="s">
        <v>12938</v>
      </c>
      <c r="W689" t="s">
        <v>12939</v>
      </c>
      <c r="X689" t="s">
        <v>2510</v>
      </c>
      <c r="Y689" t="s">
        <v>12940</v>
      </c>
      <c r="Z689" t="s">
        <v>12941</v>
      </c>
      <c r="AA689" t="s">
        <v>12942</v>
      </c>
      <c r="AB689" t="s">
        <v>12943</v>
      </c>
      <c r="AC689" t="s">
        <v>12944</v>
      </c>
      <c r="AD689" t="s">
        <v>12945</v>
      </c>
      <c r="AE689" t="s">
        <v>12946</v>
      </c>
      <c r="AF689" t="s">
        <v>74</v>
      </c>
      <c r="AG689">
        <v>39</v>
      </c>
      <c r="AH689">
        <v>22</v>
      </c>
      <c r="AI689">
        <v>23</v>
      </c>
      <c r="AJ689">
        <v>0</v>
      </c>
      <c r="AK689">
        <v>17</v>
      </c>
      <c r="AL689" t="s">
        <v>1498</v>
      </c>
      <c r="AM689" t="s">
        <v>985</v>
      </c>
      <c r="AN689" t="s">
        <v>1499</v>
      </c>
      <c r="AO689" t="s">
        <v>74</v>
      </c>
      <c r="AP689" t="s">
        <v>10759</v>
      </c>
      <c r="AQ689" t="s">
        <v>74</v>
      </c>
      <c r="AR689" t="s">
        <v>10760</v>
      </c>
      <c r="AS689" t="s">
        <v>10761</v>
      </c>
      <c r="AT689" t="s">
        <v>12903</v>
      </c>
      <c r="AU689">
        <v>2011</v>
      </c>
      <c r="AV689">
        <v>12</v>
      </c>
      <c r="AW689" t="s">
        <v>74</v>
      </c>
      <c r="AX689" t="s">
        <v>74</v>
      </c>
      <c r="AY689" t="s">
        <v>74</v>
      </c>
      <c r="AZ689" t="s">
        <v>74</v>
      </c>
      <c r="BA689" t="s">
        <v>74</v>
      </c>
      <c r="BB689" t="s">
        <v>74</v>
      </c>
      <c r="BC689" t="s">
        <v>74</v>
      </c>
      <c r="BD689" t="s">
        <v>12947</v>
      </c>
      <c r="BE689" t="s">
        <v>12948</v>
      </c>
      <c r="BF689" t="str">
        <f>HYPERLINK("http://dx.doi.org/10.1029/2011GC003688","http://dx.doi.org/10.1029/2011GC003688")</f>
        <v>http://dx.doi.org/10.1029/2011GC003688</v>
      </c>
      <c r="BG689" t="s">
        <v>74</v>
      </c>
      <c r="BH689" t="s">
        <v>74</v>
      </c>
      <c r="BI689">
        <v>11</v>
      </c>
      <c r="BJ689" t="s">
        <v>164</v>
      </c>
      <c r="BK689" t="s">
        <v>100</v>
      </c>
      <c r="BL689" t="s">
        <v>164</v>
      </c>
      <c r="BM689" t="s">
        <v>12949</v>
      </c>
      <c r="BN689" t="s">
        <v>74</v>
      </c>
      <c r="BO689" t="s">
        <v>5779</v>
      </c>
      <c r="BP689" t="s">
        <v>74</v>
      </c>
      <c r="BQ689" t="s">
        <v>74</v>
      </c>
      <c r="BR689" t="s">
        <v>102</v>
      </c>
      <c r="BS689" t="s">
        <v>12950</v>
      </c>
      <c r="BT689" t="str">
        <f>HYPERLINK("https%3A%2F%2Fwww.webofscience.com%2Fwos%2Fwoscc%2Ffull-record%2FWOS:000295825800004","View Full Record in Web of Science")</f>
        <v>View Full Record in Web of Science</v>
      </c>
    </row>
    <row r="690" spans="1:72" x14ac:dyDescent="0.15">
      <c r="A690" t="s">
        <v>72</v>
      </c>
      <c r="B690" t="s">
        <v>12951</v>
      </c>
      <c r="C690" t="s">
        <v>74</v>
      </c>
      <c r="D690" t="s">
        <v>74</v>
      </c>
      <c r="E690" t="s">
        <v>74</v>
      </c>
      <c r="F690" t="s">
        <v>12952</v>
      </c>
      <c r="G690" t="s">
        <v>74</v>
      </c>
      <c r="H690" t="s">
        <v>74</v>
      </c>
      <c r="I690" t="s">
        <v>12953</v>
      </c>
      <c r="J690" t="s">
        <v>6224</v>
      </c>
      <c r="K690" t="s">
        <v>74</v>
      </c>
      <c r="L690" t="s">
        <v>74</v>
      </c>
      <c r="M690" t="s">
        <v>78</v>
      </c>
      <c r="N690" t="s">
        <v>79</v>
      </c>
      <c r="O690" t="s">
        <v>74</v>
      </c>
      <c r="P690" t="s">
        <v>74</v>
      </c>
      <c r="Q690" t="s">
        <v>74</v>
      </c>
      <c r="R690" t="s">
        <v>74</v>
      </c>
      <c r="S690" t="s">
        <v>74</v>
      </c>
      <c r="T690" t="s">
        <v>74</v>
      </c>
      <c r="U690" t="s">
        <v>12954</v>
      </c>
      <c r="V690" t="s">
        <v>12955</v>
      </c>
      <c r="W690" t="s">
        <v>12956</v>
      </c>
      <c r="X690" t="s">
        <v>12957</v>
      </c>
      <c r="Y690" t="s">
        <v>12958</v>
      </c>
      <c r="Z690" t="s">
        <v>12959</v>
      </c>
      <c r="AA690" t="s">
        <v>74</v>
      </c>
      <c r="AB690" t="s">
        <v>74</v>
      </c>
      <c r="AC690" t="s">
        <v>12960</v>
      </c>
      <c r="AD690" t="s">
        <v>12961</v>
      </c>
      <c r="AE690" t="s">
        <v>12962</v>
      </c>
      <c r="AF690" t="s">
        <v>74</v>
      </c>
      <c r="AG690">
        <v>26</v>
      </c>
      <c r="AH690">
        <v>12</v>
      </c>
      <c r="AI690">
        <v>12</v>
      </c>
      <c r="AJ690">
        <v>0</v>
      </c>
      <c r="AK690">
        <v>6</v>
      </c>
      <c r="AL690" t="s">
        <v>1498</v>
      </c>
      <c r="AM690" t="s">
        <v>985</v>
      </c>
      <c r="AN690" t="s">
        <v>1499</v>
      </c>
      <c r="AO690" t="s">
        <v>6236</v>
      </c>
      <c r="AP690" t="s">
        <v>6237</v>
      </c>
      <c r="AQ690" t="s">
        <v>74</v>
      </c>
      <c r="AR690" t="s">
        <v>6238</v>
      </c>
      <c r="AS690" t="s">
        <v>6239</v>
      </c>
      <c r="AT690" t="s">
        <v>12963</v>
      </c>
      <c r="AU690">
        <v>2011</v>
      </c>
      <c r="AV690">
        <v>116</v>
      </c>
      <c r="AW690" t="s">
        <v>74</v>
      </c>
      <c r="AX690" t="s">
        <v>74</v>
      </c>
      <c r="AY690" t="s">
        <v>74</v>
      </c>
      <c r="AZ690" t="s">
        <v>74</v>
      </c>
      <c r="BA690" t="s">
        <v>74</v>
      </c>
      <c r="BB690" t="s">
        <v>74</v>
      </c>
      <c r="BC690" t="s">
        <v>74</v>
      </c>
      <c r="BD690" t="s">
        <v>12964</v>
      </c>
      <c r="BE690" t="s">
        <v>12965</v>
      </c>
      <c r="BF690" t="str">
        <f>HYPERLINK("http://dx.doi.org/10.1029/2010JD015321","http://dx.doi.org/10.1029/2010JD015321")</f>
        <v>http://dx.doi.org/10.1029/2010JD015321</v>
      </c>
      <c r="BG690" t="s">
        <v>74</v>
      </c>
      <c r="BH690" t="s">
        <v>74</v>
      </c>
      <c r="BI690">
        <v>16</v>
      </c>
      <c r="BJ690" t="s">
        <v>463</v>
      </c>
      <c r="BK690" t="s">
        <v>100</v>
      </c>
      <c r="BL690" t="s">
        <v>463</v>
      </c>
      <c r="BM690" t="s">
        <v>12966</v>
      </c>
      <c r="BN690" t="s">
        <v>74</v>
      </c>
      <c r="BO690" t="s">
        <v>4515</v>
      </c>
      <c r="BP690" t="s">
        <v>74</v>
      </c>
      <c r="BQ690" t="s">
        <v>74</v>
      </c>
      <c r="BR690" t="s">
        <v>102</v>
      </c>
      <c r="BS690" t="s">
        <v>12967</v>
      </c>
      <c r="BT690" t="str">
        <f>HYPERLINK("https%3A%2F%2Fwww.webofscience.com%2Fwos%2Fwoscc%2Ffull-record%2FWOS:000295868400001","View Full Record in Web of Science")</f>
        <v>View Full Record in Web of Science</v>
      </c>
    </row>
    <row r="691" spans="1:72" x14ac:dyDescent="0.15">
      <c r="A691" t="s">
        <v>72</v>
      </c>
      <c r="B691" t="s">
        <v>12968</v>
      </c>
      <c r="C691" t="s">
        <v>74</v>
      </c>
      <c r="D691" t="s">
        <v>74</v>
      </c>
      <c r="E691" t="s">
        <v>74</v>
      </c>
      <c r="F691" t="s">
        <v>12969</v>
      </c>
      <c r="G691" t="s">
        <v>74</v>
      </c>
      <c r="H691" t="s">
        <v>74</v>
      </c>
      <c r="I691" t="s">
        <v>12970</v>
      </c>
      <c r="J691" t="s">
        <v>12971</v>
      </c>
      <c r="K691" t="s">
        <v>74</v>
      </c>
      <c r="L691" t="s">
        <v>74</v>
      </c>
      <c r="M691" t="s">
        <v>78</v>
      </c>
      <c r="N691" t="s">
        <v>79</v>
      </c>
      <c r="O691" t="s">
        <v>74</v>
      </c>
      <c r="P691" t="s">
        <v>74</v>
      </c>
      <c r="Q691" t="s">
        <v>74</v>
      </c>
      <c r="R691" t="s">
        <v>74</v>
      </c>
      <c r="S691" t="s">
        <v>74</v>
      </c>
      <c r="T691" t="s">
        <v>12972</v>
      </c>
      <c r="U691" t="s">
        <v>12973</v>
      </c>
      <c r="V691" t="s">
        <v>12974</v>
      </c>
      <c r="W691" t="s">
        <v>12975</v>
      </c>
      <c r="X691" t="s">
        <v>12976</v>
      </c>
      <c r="Y691" t="s">
        <v>12977</v>
      </c>
      <c r="Z691" t="s">
        <v>12978</v>
      </c>
      <c r="AA691" t="s">
        <v>12979</v>
      </c>
      <c r="AB691" t="s">
        <v>12980</v>
      </c>
      <c r="AC691" t="s">
        <v>12981</v>
      </c>
      <c r="AD691" t="s">
        <v>12981</v>
      </c>
      <c r="AE691" t="s">
        <v>12982</v>
      </c>
      <c r="AF691" t="s">
        <v>74</v>
      </c>
      <c r="AG691">
        <v>20</v>
      </c>
      <c r="AH691">
        <v>3</v>
      </c>
      <c r="AI691">
        <v>3</v>
      </c>
      <c r="AJ691">
        <v>0</v>
      </c>
      <c r="AK691">
        <v>5</v>
      </c>
      <c r="AL691" t="s">
        <v>12983</v>
      </c>
      <c r="AM691" t="s">
        <v>12984</v>
      </c>
      <c r="AN691" t="s">
        <v>12985</v>
      </c>
      <c r="AO691" t="s">
        <v>12986</v>
      </c>
      <c r="AP691" t="s">
        <v>74</v>
      </c>
      <c r="AQ691" t="s">
        <v>74</v>
      </c>
      <c r="AR691" t="s">
        <v>12987</v>
      </c>
      <c r="AS691" t="s">
        <v>12988</v>
      </c>
      <c r="AT691" t="s">
        <v>12989</v>
      </c>
      <c r="AU691">
        <v>2011</v>
      </c>
      <c r="AV691">
        <v>41</v>
      </c>
      <c r="AW691">
        <v>2</v>
      </c>
      <c r="AX691" t="s">
        <v>74</v>
      </c>
      <c r="AY691" t="s">
        <v>74</v>
      </c>
      <c r="AZ691" t="s">
        <v>74</v>
      </c>
      <c r="BA691" t="s">
        <v>74</v>
      </c>
      <c r="BB691">
        <v>218</v>
      </c>
      <c r="BC691">
        <v>223</v>
      </c>
      <c r="BD691" t="s">
        <v>74</v>
      </c>
      <c r="BE691" t="s">
        <v>12990</v>
      </c>
      <c r="BF691" t="str">
        <f>HYPERLINK("http://dx.doi.org/10.3957/056.041.0210","http://dx.doi.org/10.3957/056.041.0210")</f>
        <v>http://dx.doi.org/10.3957/056.041.0210</v>
      </c>
      <c r="BG691" t="s">
        <v>74</v>
      </c>
      <c r="BH691" t="s">
        <v>74</v>
      </c>
      <c r="BI691">
        <v>6</v>
      </c>
      <c r="BJ691" t="s">
        <v>12991</v>
      </c>
      <c r="BK691" t="s">
        <v>100</v>
      </c>
      <c r="BL691" t="s">
        <v>12992</v>
      </c>
      <c r="BM691" t="s">
        <v>12993</v>
      </c>
      <c r="BN691" t="s">
        <v>74</v>
      </c>
      <c r="BO691" t="s">
        <v>1796</v>
      </c>
      <c r="BP691" t="s">
        <v>74</v>
      </c>
      <c r="BQ691" t="s">
        <v>74</v>
      </c>
      <c r="BR691" t="s">
        <v>102</v>
      </c>
      <c r="BS691" t="s">
        <v>12994</v>
      </c>
      <c r="BT691" t="str">
        <f>HYPERLINK("https%3A%2F%2Fwww.webofscience.com%2Fwos%2Fwoscc%2Ffull-record%2FWOS:000301270200010","View Full Record in Web of Science")</f>
        <v>View Full Record in Web of Science</v>
      </c>
    </row>
    <row r="692" spans="1:72" x14ac:dyDescent="0.15">
      <c r="A692" t="s">
        <v>72</v>
      </c>
      <c r="B692" t="s">
        <v>12995</v>
      </c>
      <c r="C692" t="s">
        <v>74</v>
      </c>
      <c r="D692" t="s">
        <v>74</v>
      </c>
      <c r="E692" t="s">
        <v>74</v>
      </c>
      <c r="F692" t="s">
        <v>12996</v>
      </c>
      <c r="G692" t="s">
        <v>74</v>
      </c>
      <c r="H692" t="s">
        <v>74</v>
      </c>
      <c r="I692" t="s">
        <v>12997</v>
      </c>
      <c r="J692" t="s">
        <v>9895</v>
      </c>
      <c r="K692" t="s">
        <v>74</v>
      </c>
      <c r="L692" t="s">
        <v>74</v>
      </c>
      <c r="M692" t="s">
        <v>78</v>
      </c>
      <c r="N692" t="s">
        <v>79</v>
      </c>
      <c r="O692" t="s">
        <v>74</v>
      </c>
      <c r="P692" t="s">
        <v>74</v>
      </c>
      <c r="Q692" t="s">
        <v>74</v>
      </c>
      <c r="R692" t="s">
        <v>74</v>
      </c>
      <c r="S692" t="s">
        <v>74</v>
      </c>
      <c r="T692" t="s">
        <v>74</v>
      </c>
      <c r="U692" t="s">
        <v>12998</v>
      </c>
      <c r="V692" t="s">
        <v>12999</v>
      </c>
      <c r="W692" t="s">
        <v>13000</v>
      </c>
      <c r="X692" t="s">
        <v>9308</v>
      </c>
      <c r="Y692" t="s">
        <v>13001</v>
      </c>
      <c r="Z692" t="s">
        <v>13002</v>
      </c>
      <c r="AA692" t="s">
        <v>13003</v>
      </c>
      <c r="AB692" t="s">
        <v>13004</v>
      </c>
      <c r="AC692" t="s">
        <v>13005</v>
      </c>
      <c r="AD692" t="s">
        <v>13006</v>
      </c>
      <c r="AE692" t="s">
        <v>13007</v>
      </c>
      <c r="AF692" t="s">
        <v>74</v>
      </c>
      <c r="AG692">
        <v>68</v>
      </c>
      <c r="AH692">
        <v>1</v>
      </c>
      <c r="AI692">
        <v>2</v>
      </c>
      <c r="AJ692">
        <v>0</v>
      </c>
      <c r="AK692">
        <v>9</v>
      </c>
      <c r="AL692" t="s">
        <v>9906</v>
      </c>
      <c r="AM692" t="s">
        <v>9907</v>
      </c>
      <c r="AN692" t="s">
        <v>9908</v>
      </c>
      <c r="AO692" t="s">
        <v>9909</v>
      </c>
      <c r="AP692" t="s">
        <v>9910</v>
      </c>
      <c r="AQ692" t="s">
        <v>74</v>
      </c>
      <c r="AR692" t="s">
        <v>9911</v>
      </c>
      <c r="AS692" t="s">
        <v>9912</v>
      </c>
      <c r="AT692" t="s">
        <v>12989</v>
      </c>
      <c r="AU692">
        <v>2011</v>
      </c>
      <c r="AV692">
        <v>114</v>
      </c>
      <c r="AW692" t="s">
        <v>1776</v>
      </c>
      <c r="AX692" t="s">
        <v>74</v>
      </c>
      <c r="AY692" t="s">
        <v>74</v>
      </c>
      <c r="AZ692" t="s">
        <v>74</v>
      </c>
      <c r="BA692" t="s">
        <v>74</v>
      </c>
      <c r="BB692">
        <v>67</v>
      </c>
      <c r="BC692">
        <v>81</v>
      </c>
      <c r="BD692" t="s">
        <v>74</v>
      </c>
      <c r="BE692" t="s">
        <v>13008</v>
      </c>
      <c r="BF692" t="str">
        <f>HYPERLINK("http://dx.doi.org/10.1007/s00703-011-0157-5","http://dx.doi.org/10.1007/s00703-011-0157-5")</f>
        <v>http://dx.doi.org/10.1007/s00703-011-0157-5</v>
      </c>
      <c r="BG692" t="s">
        <v>74</v>
      </c>
      <c r="BH692" t="s">
        <v>74</v>
      </c>
      <c r="BI692">
        <v>15</v>
      </c>
      <c r="BJ692" t="s">
        <v>463</v>
      </c>
      <c r="BK692" t="s">
        <v>100</v>
      </c>
      <c r="BL692" t="s">
        <v>463</v>
      </c>
      <c r="BM692" t="s">
        <v>13009</v>
      </c>
      <c r="BN692" t="s">
        <v>74</v>
      </c>
      <c r="BO692" t="s">
        <v>74</v>
      </c>
      <c r="BP692" t="s">
        <v>74</v>
      </c>
      <c r="BQ692" t="s">
        <v>74</v>
      </c>
      <c r="BR692" t="s">
        <v>102</v>
      </c>
      <c r="BS692" t="s">
        <v>13010</v>
      </c>
      <c r="BT692" t="str">
        <f>HYPERLINK("https%3A%2F%2Fwww.webofscience.com%2Fwos%2Fwoscc%2Ffull-record%2FWOS:000299951800005","View Full Record in Web of Science")</f>
        <v>View Full Record in Web of Science</v>
      </c>
    </row>
    <row r="693" spans="1:72" x14ac:dyDescent="0.15">
      <c r="A693" t="s">
        <v>72</v>
      </c>
      <c r="B693" t="s">
        <v>13011</v>
      </c>
      <c r="C693" t="s">
        <v>74</v>
      </c>
      <c r="D693" t="s">
        <v>74</v>
      </c>
      <c r="E693" t="s">
        <v>74</v>
      </c>
      <c r="F693" t="s">
        <v>13012</v>
      </c>
      <c r="G693" t="s">
        <v>74</v>
      </c>
      <c r="H693" t="s">
        <v>74</v>
      </c>
      <c r="I693" t="s">
        <v>13013</v>
      </c>
      <c r="J693" t="s">
        <v>7246</v>
      </c>
      <c r="K693" t="s">
        <v>74</v>
      </c>
      <c r="L693" t="s">
        <v>74</v>
      </c>
      <c r="M693" t="s">
        <v>78</v>
      </c>
      <c r="N693" t="s">
        <v>79</v>
      </c>
      <c r="O693" t="s">
        <v>74</v>
      </c>
      <c r="P693" t="s">
        <v>74</v>
      </c>
      <c r="Q693" t="s">
        <v>74</v>
      </c>
      <c r="R693" t="s">
        <v>74</v>
      </c>
      <c r="S693" t="s">
        <v>74</v>
      </c>
      <c r="T693" t="s">
        <v>13014</v>
      </c>
      <c r="U693" t="s">
        <v>13015</v>
      </c>
      <c r="V693" t="s">
        <v>13016</v>
      </c>
      <c r="W693" t="s">
        <v>13017</v>
      </c>
      <c r="X693" t="s">
        <v>7251</v>
      </c>
      <c r="Y693" t="s">
        <v>13018</v>
      </c>
      <c r="Z693" t="s">
        <v>13019</v>
      </c>
      <c r="AA693" t="s">
        <v>74</v>
      </c>
      <c r="AB693" t="s">
        <v>74</v>
      </c>
      <c r="AC693" t="s">
        <v>74</v>
      </c>
      <c r="AD693" t="s">
        <v>74</v>
      </c>
      <c r="AE693" t="s">
        <v>74</v>
      </c>
      <c r="AF693" t="s">
        <v>74</v>
      </c>
      <c r="AG693">
        <v>43</v>
      </c>
      <c r="AH693">
        <v>0</v>
      </c>
      <c r="AI693">
        <v>0</v>
      </c>
      <c r="AJ693">
        <v>2</v>
      </c>
      <c r="AK693">
        <v>9</v>
      </c>
      <c r="AL693" t="s">
        <v>7258</v>
      </c>
      <c r="AM693" t="s">
        <v>7259</v>
      </c>
      <c r="AN693" t="s">
        <v>7260</v>
      </c>
      <c r="AO693" t="s">
        <v>7261</v>
      </c>
      <c r="AP693" t="s">
        <v>74</v>
      </c>
      <c r="AQ693" t="s">
        <v>74</v>
      </c>
      <c r="AR693" t="s">
        <v>7262</v>
      </c>
      <c r="AS693" t="s">
        <v>7263</v>
      </c>
      <c r="AT693" t="s">
        <v>12989</v>
      </c>
      <c r="AU693">
        <v>2011</v>
      </c>
      <c r="AV693">
        <v>40</v>
      </c>
      <c r="AW693">
        <v>5</v>
      </c>
      <c r="AX693" t="s">
        <v>74</v>
      </c>
      <c r="AY693" t="s">
        <v>74</v>
      </c>
      <c r="AZ693" t="s">
        <v>74</v>
      </c>
      <c r="BA693" t="s">
        <v>74</v>
      </c>
      <c r="BB693">
        <v>671</v>
      </c>
      <c r="BC693">
        <v>679</v>
      </c>
      <c r="BD693" t="s">
        <v>74</v>
      </c>
      <c r="BE693" t="s">
        <v>74</v>
      </c>
      <c r="BF693" t="s">
        <v>74</v>
      </c>
      <c r="BG693" t="s">
        <v>74</v>
      </c>
      <c r="BH693" t="s">
        <v>74</v>
      </c>
      <c r="BI693">
        <v>9</v>
      </c>
      <c r="BJ693" t="s">
        <v>496</v>
      </c>
      <c r="BK693" t="s">
        <v>100</v>
      </c>
      <c r="BL693" t="s">
        <v>496</v>
      </c>
      <c r="BM693" t="s">
        <v>13020</v>
      </c>
      <c r="BN693" t="s">
        <v>74</v>
      </c>
      <c r="BO693" t="s">
        <v>74</v>
      </c>
      <c r="BP693" t="s">
        <v>74</v>
      </c>
      <c r="BQ693" t="s">
        <v>74</v>
      </c>
      <c r="BR693" t="s">
        <v>102</v>
      </c>
      <c r="BS693" t="s">
        <v>13021</v>
      </c>
      <c r="BT693" t="str">
        <f>HYPERLINK("https%3A%2F%2Fwww.webofscience.com%2Fwos%2Fwoscc%2Ffull-record%2FWOS:000298525800011","View Full Record in Web of Science")</f>
        <v>View Full Record in Web of Science</v>
      </c>
    </row>
    <row r="694" spans="1:72" x14ac:dyDescent="0.15">
      <c r="A694" t="s">
        <v>72</v>
      </c>
      <c r="B694" t="s">
        <v>13022</v>
      </c>
      <c r="C694" t="s">
        <v>74</v>
      </c>
      <c r="D694" t="s">
        <v>74</v>
      </c>
      <c r="E694" t="s">
        <v>74</v>
      </c>
      <c r="F694" t="s">
        <v>13023</v>
      </c>
      <c r="G694" t="s">
        <v>74</v>
      </c>
      <c r="H694" t="s">
        <v>74</v>
      </c>
      <c r="I694" t="s">
        <v>13024</v>
      </c>
      <c r="J694" t="s">
        <v>13025</v>
      </c>
      <c r="K694" t="s">
        <v>74</v>
      </c>
      <c r="L694" t="s">
        <v>74</v>
      </c>
      <c r="M694" t="s">
        <v>78</v>
      </c>
      <c r="N694" t="s">
        <v>79</v>
      </c>
      <c r="O694" t="s">
        <v>74</v>
      </c>
      <c r="P694" t="s">
        <v>74</v>
      </c>
      <c r="Q694" t="s">
        <v>74</v>
      </c>
      <c r="R694" t="s">
        <v>74</v>
      </c>
      <c r="S694" t="s">
        <v>74</v>
      </c>
      <c r="T694" t="s">
        <v>74</v>
      </c>
      <c r="U694" t="s">
        <v>13026</v>
      </c>
      <c r="V694" t="s">
        <v>13027</v>
      </c>
      <c r="W694" t="s">
        <v>13028</v>
      </c>
      <c r="X694" t="s">
        <v>13029</v>
      </c>
      <c r="Y694" t="s">
        <v>13030</v>
      </c>
      <c r="Z694" t="s">
        <v>13031</v>
      </c>
      <c r="AA694" t="s">
        <v>13032</v>
      </c>
      <c r="AB694" t="s">
        <v>13033</v>
      </c>
      <c r="AC694" t="s">
        <v>13034</v>
      </c>
      <c r="AD694" t="s">
        <v>3661</v>
      </c>
      <c r="AE694" t="s">
        <v>13035</v>
      </c>
      <c r="AF694" t="s">
        <v>74</v>
      </c>
      <c r="AG694">
        <v>55</v>
      </c>
      <c r="AH694">
        <v>8</v>
      </c>
      <c r="AI694">
        <v>9</v>
      </c>
      <c r="AJ694">
        <v>3</v>
      </c>
      <c r="AK694">
        <v>15</v>
      </c>
      <c r="AL694" t="s">
        <v>7342</v>
      </c>
      <c r="AM694" t="s">
        <v>413</v>
      </c>
      <c r="AN694" t="s">
        <v>7343</v>
      </c>
      <c r="AO694" t="s">
        <v>13036</v>
      </c>
      <c r="AP694" t="s">
        <v>13037</v>
      </c>
      <c r="AQ694" t="s">
        <v>74</v>
      </c>
      <c r="AR694" t="s">
        <v>13038</v>
      </c>
      <c r="AS694" t="s">
        <v>13039</v>
      </c>
      <c r="AT694" t="s">
        <v>12989</v>
      </c>
      <c r="AU694">
        <v>2011</v>
      </c>
      <c r="AV694">
        <v>51</v>
      </c>
      <c r="AW694">
        <v>5</v>
      </c>
      <c r="AX694" t="s">
        <v>74</v>
      </c>
      <c r="AY694" t="s">
        <v>74</v>
      </c>
      <c r="AZ694" t="s">
        <v>74</v>
      </c>
      <c r="BA694" t="s">
        <v>74</v>
      </c>
      <c r="BB694">
        <v>721</v>
      </c>
      <c r="BC694">
        <v>735</v>
      </c>
      <c r="BD694" t="s">
        <v>74</v>
      </c>
      <c r="BE694" t="s">
        <v>13040</v>
      </c>
      <c r="BF694" t="str">
        <f>HYPERLINK("http://dx.doi.org/10.1134/S0001437011050110","http://dx.doi.org/10.1134/S0001437011050110")</f>
        <v>http://dx.doi.org/10.1134/S0001437011050110</v>
      </c>
      <c r="BG694" t="s">
        <v>74</v>
      </c>
      <c r="BH694" t="s">
        <v>74</v>
      </c>
      <c r="BI694">
        <v>15</v>
      </c>
      <c r="BJ694" t="s">
        <v>496</v>
      </c>
      <c r="BK694" t="s">
        <v>100</v>
      </c>
      <c r="BL694" t="s">
        <v>496</v>
      </c>
      <c r="BM694" t="s">
        <v>13041</v>
      </c>
      <c r="BN694" t="s">
        <v>74</v>
      </c>
      <c r="BO694" t="s">
        <v>74</v>
      </c>
      <c r="BP694" t="s">
        <v>74</v>
      </c>
      <c r="BQ694" t="s">
        <v>74</v>
      </c>
      <c r="BR694" t="s">
        <v>102</v>
      </c>
      <c r="BS694" t="s">
        <v>13042</v>
      </c>
      <c r="BT694" t="str">
        <f>HYPERLINK("https%3A%2F%2Fwww.webofscience.com%2Fwos%2Fwoscc%2Ffull-record%2FWOS:000298563800001","View Full Record in Web of Science")</f>
        <v>View Full Record in Web of Science</v>
      </c>
    </row>
    <row r="695" spans="1:72" x14ac:dyDescent="0.15">
      <c r="A695" t="s">
        <v>72</v>
      </c>
      <c r="B695" t="s">
        <v>13043</v>
      </c>
      <c r="C695" t="s">
        <v>74</v>
      </c>
      <c r="D695" t="s">
        <v>74</v>
      </c>
      <c r="E695" t="s">
        <v>74</v>
      </c>
      <c r="F695" t="s">
        <v>13044</v>
      </c>
      <c r="G695" t="s">
        <v>74</v>
      </c>
      <c r="H695" t="s">
        <v>74</v>
      </c>
      <c r="I695" t="s">
        <v>13045</v>
      </c>
      <c r="J695" t="s">
        <v>13025</v>
      </c>
      <c r="K695" t="s">
        <v>74</v>
      </c>
      <c r="L695" t="s">
        <v>74</v>
      </c>
      <c r="M695" t="s">
        <v>78</v>
      </c>
      <c r="N695" t="s">
        <v>10118</v>
      </c>
      <c r="O695" t="s">
        <v>74</v>
      </c>
      <c r="P695" t="s">
        <v>74</v>
      </c>
      <c r="Q695" t="s">
        <v>74</v>
      </c>
      <c r="R695" t="s">
        <v>74</v>
      </c>
      <c r="S695" t="s">
        <v>74</v>
      </c>
      <c r="T695" t="s">
        <v>74</v>
      </c>
      <c r="U695" t="s">
        <v>74</v>
      </c>
      <c r="V695" t="s">
        <v>74</v>
      </c>
      <c r="W695" t="s">
        <v>13046</v>
      </c>
      <c r="X695" t="s">
        <v>13047</v>
      </c>
      <c r="Y695" t="s">
        <v>13048</v>
      </c>
      <c r="Z695" t="s">
        <v>13049</v>
      </c>
      <c r="AA695" t="s">
        <v>74</v>
      </c>
      <c r="AB695" t="s">
        <v>74</v>
      </c>
      <c r="AC695" t="s">
        <v>74</v>
      </c>
      <c r="AD695" t="s">
        <v>74</v>
      </c>
      <c r="AE695" t="s">
        <v>74</v>
      </c>
      <c r="AF695" t="s">
        <v>74</v>
      </c>
      <c r="AG695">
        <v>2</v>
      </c>
      <c r="AH695">
        <v>0</v>
      </c>
      <c r="AI695">
        <v>0</v>
      </c>
      <c r="AJ695">
        <v>0</v>
      </c>
      <c r="AK695">
        <v>2</v>
      </c>
      <c r="AL695" t="s">
        <v>7342</v>
      </c>
      <c r="AM695" t="s">
        <v>413</v>
      </c>
      <c r="AN695" t="s">
        <v>7343</v>
      </c>
      <c r="AO695" t="s">
        <v>13036</v>
      </c>
      <c r="AP695" t="s">
        <v>74</v>
      </c>
      <c r="AQ695" t="s">
        <v>74</v>
      </c>
      <c r="AR695" t="s">
        <v>13038</v>
      </c>
      <c r="AS695" t="s">
        <v>13039</v>
      </c>
      <c r="AT695" t="s">
        <v>12989</v>
      </c>
      <c r="AU695">
        <v>2011</v>
      </c>
      <c r="AV695">
        <v>51</v>
      </c>
      <c r="AW695">
        <v>5</v>
      </c>
      <c r="AX695" t="s">
        <v>74</v>
      </c>
      <c r="AY695" t="s">
        <v>74</v>
      </c>
      <c r="AZ695" t="s">
        <v>74</v>
      </c>
      <c r="BA695" t="s">
        <v>74</v>
      </c>
      <c r="BB695">
        <v>903</v>
      </c>
      <c r="BC695">
        <v>905</v>
      </c>
      <c r="BD695" t="s">
        <v>74</v>
      </c>
      <c r="BE695" t="s">
        <v>13050</v>
      </c>
      <c r="BF695" t="str">
        <f>HYPERLINK("http://dx.doi.org/10.1134/S000143701105002X","http://dx.doi.org/10.1134/S000143701105002X")</f>
        <v>http://dx.doi.org/10.1134/S000143701105002X</v>
      </c>
      <c r="BG695" t="s">
        <v>74</v>
      </c>
      <c r="BH695" t="s">
        <v>74</v>
      </c>
      <c r="BI695">
        <v>3</v>
      </c>
      <c r="BJ695" t="s">
        <v>496</v>
      </c>
      <c r="BK695" t="s">
        <v>100</v>
      </c>
      <c r="BL695" t="s">
        <v>496</v>
      </c>
      <c r="BM695" t="s">
        <v>13041</v>
      </c>
      <c r="BN695" t="s">
        <v>74</v>
      </c>
      <c r="BO695" t="s">
        <v>74</v>
      </c>
      <c r="BP695" t="s">
        <v>74</v>
      </c>
      <c r="BQ695" t="s">
        <v>74</v>
      </c>
      <c r="BR695" t="s">
        <v>102</v>
      </c>
      <c r="BS695" t="s">
        <v>13051</v>
      </c>
      <c r="BT695" t="str">
        <f>HYPERLINK("https%3A%2F%2Fwww.webofscience.com%2Fwos%2Fwoscc%2Ffull-record%2FWOS:000298563800020","View Full Record in Web of Science")</f>
        <v>View Full Record in Web of Science</v>
      </c>
    </row>
    <row r="696" spans="1:72" x14ac:dyDescent="0.15">
      <c r="A696" t="s">
        <v>72</v>
      </c>
      <c r="B696" t="s">
        <v>13052</v>
      </c>
      <c r="C696" t="s">
        <v>74</v>
      </c>
      <c r="D696" t="s">
        <v>74</v>
      </c>
      <c r="E696" t="s">
        <v>74</v>
      </c>
      <c r="F696" t="s">
        <v>13053</v>
      </c>
      <c r="G696" t="s">
        <v>74</v>
      </c>
      <c r="H696" t="s">
        <v>74</v>
      </c>
      <c r="I696" t="s">
        <v>13054</v>
      </c>
      <c r="J696" t="s">
        <v>13055</v>
      </c>
      <c r="K696" t="s">
        <v>74</v>
      </c>
      <c r="L696" t="s">
        <v>74</v>
      </c>
      <c r="M696" t="s">
        <v>78</v>
      </c>
      <c r="N696" t="s">
        <v>79</v>
      </c>
      <c r="O696" t="s">
        <v>74</v>
      </c>
      <c r="P696" t="s">
        <v>74</v>
      </c>
      <c r="Q696" t="s">
        <v>74</v>
      </c>
      <c r="R696" t="s">
        <v>74</v>
      </c>
      <c r="S696" t="s">
        <v>74</v>
      </c>
      <c r="T696" t="s">
        <v>74</v>
      </c>
      <c r="U696" t="s">
        <v>74</v>
      </c>
      <c r="V696" t="s">
        <v>13056</v>
      </c>
      <c r="W696" t="s">
        <v>13057</v>
      </c>
      <c r="X696" t="s">
        <v>13058</v>
      </c>
      <c r="Y696" t="s">
        <v>13059</v>
      </c>
      <c r="Z696" t="s">
        <v>74</v>
      </c>
      <c r="AA696" t="s">
        <v>74</v>
      </c>
      <c r="AB696" t="s">
        <v>74</v>
      </c>
      <c r="AC696" t="s">
        <v>13060</v>
      </c>
      <c r="AD696" t="s">
        <v>3661</v>
      </c>
      <c r="AE696" t="s">
        <v>13061</v>
      </c>
      <c r="AF696" t="s">
        <v>74</v>
      </c>
      <c r="AG696">
        <v>9</v>
      </c>
      <c r="AH696">
        <v>0</v>
      </c>
      <c r="AI696">
        <v>0</v>
      </c>
      <c r="AJ696">
        <v>0</v>
      </c>
      <c r="AK696">
        <v>3</v>
      </c>
      <c r="AL696" t="s">
        <v>13062</v>
      </c>
      <c r="AM696" t="s">
        <v>413</v>
      </c>
      <c r="AN696" t="s">
        <v>13063</v>
      </c>
      <c r="AO696" t="s">
        <v>13064</v>
      </c>
      <c r="AP696" t="s">
        <v>74</v>
      </c>
      <c r="AQ696" t="s">
        <v>74</v>
      </c>
      <c r="AR696" t="s">
        <v>13065</v>
      </c>
      <c r="AS696" t="s">
        <v>13066</v>
      </c>
      <c r="AT696" t="s">
        <v>12989</v>
      </c>
      <c r="AU696">
        <v>2011</v>
      </c>
      <c r="AV696">
        <v>36</v>
      </c>
      <c r="AW696">
        <v>10</v>
      </c>
      <c r="AX696" t="s">
        <v>74</v>
      </c>
      <c r="AY696" t="s">
        <v>74</v>
      </c>
      <c r="AZ696" t="s">
        <v>74</v>
      </c>
      <c r="BA696" t="s">
        <v>74</v>
      </c>
      <c r="BB696">
        <v>669</v>
      </c>
      <c r="BC696">
        <v>676</v>
      </c>
      <c r="BD696" t="s">
        <v>74</v>
      </c>
      <c r="BE696" t="s">
        <v>13067</v>
      </c>
      <c r="BF696" t="str">
        <f>HYPERLINK("http://dx.doi.org/10.3103/S1068373911100049","http://dx.doi.org/10.3103/S1068373911100049")</f>
        <v>http://dx.doi.org/10.3103/S1068373911100049</v>
      </c>
      <c r="BG696" t="s">
        <v>74</v>
      </c>
      <c r="BH696" t="s">
        <v>74</v>
      </c>
      <c r="BI696">
        <v>8</v>
      </c>
      <c r="BJ696" t="s">
        <v>463</v>
      </c>
      <c r="BK696" t="s">
        <v>100</v>
      </c>
      <c r="BL696" t="s">
        <v>463</v>
      </c>
      <c r="BM696" t="s">
        <v>13068</v>
      </c>
      <c r="BN696" t="s">
        <v>74</v>
      </c>
      <c r="BO696" t="s">
        <v>74</v>
      </c>
      <c r="BP696" t="s">
        <v>74</v>
      </c>
      <c r="BQ696" t="s">
        <v>74</v>
      </c>
      <c r="BR696" t="s">
        <v>102</v>
      </c>
      <c r="BS696" t="s">
        <v>13069</v>
      </c>
      <c r="BT696" t="str">
        <f>HYPERLINK("https%3A%2F%2Fwww.webofscience.com%2Fwos%2Fwoscc%2Ffull-record%2FWOS:000298389500004","View Full Record in Web of Science")</f>
        <v>View Full Record in Web of Science</v>
      </c>
    </row>
    <row r="697" spans="1:72" x14ac:dyDescent="0.15">
      <c r="A697" t="s">
        <v>72</v>
      </c>
      <c r="B697" t="s">
        <v>13070</v>
      </c>
      <c r="C697" t="s">
        <v>74</v>
      </c>
      <c r="D697" t="s">
        <v>74</v>
      </c>
      <c r="E697" t="s">
        <v>74</v>
      </c>
      <c r="F697" t="s">
        <v>13071</v>
      </c>
      <c r="G697" t="s">
        <v>74</v>
      </c>
      <c r="H697" t="s">
        <v>74</v>
      </c>
      <c r="I697" t="s">
        <v>13072</v>
      </c>
      <c r="J697" t="s">
        <v>13055</v>
      </c>
      <c r="K697" t="s">
        <v>74</v>
      </c>
      <c r="L697" t="s">
        <v>74</v>
      </c>
      <c r="M697" t="s">
        <v>78</v>
      </c>
      <c r="N697" t="s">
        <v>79</v>
      </c>
      <c r="O697" t="s">
        <v>74</v>
      </c>
      <c r="P697" t="s">
        <v>74</v>
      </c>
      <c r="Q697" t="s">
        <v>74</v>
      </c>
      <c r="R697" t="s">
        <v>74</v>
      </c>
      <c r="S697" t="s">
        <v>74</v>
      </c>
      <c r="T697" t="s">
        <v>74</v>
      </c>
      <c r="U697" t="s">
        <v>74</v>
      </c>
      <c r="V697" t="s">
        <v>13073</v>
      </c>
      <c r="W697" t="s">
        <v>13074</v>
      </c>
      <c r="X697" t="s">
        <v>3018</v>
      </c>
      <c r="Y697" t="s">
        <v>13075</v>
      </c>
      <c r="Z697" t="s">
        <v>74</v>
      </c>
      <c r="AA697" t="s">
        <v>74</v>
      </c>
      <c r="AB697" t="s">
        <v>13076</v>
      </c>
      <c r="AC697" t="s">
        <v>74</v>
      </c>
      <c r="AD697" t="s">
        <v>74</v>
      </c>
      <c r="AE697" t="s">
        <v>74</v>
      </c>
      <c r="AF697" t="s">
        <v>74</v>
      </c>
      <c r="AG697">
        <v>3</v>
      </c>
      <c r="AH697">
        <v>0</v>
      </c>
      <c r="AI697">
        <v>0</v>
      </c>
      <c r="AJ697">
        <v>0</v>
      </c>
      <c r="AK697">
        <v>3</v>
      </c>
      <c r="AL697" t="s">
        <v>13062</v>
      </c>
      <c r="AM697" t="s">
        <v>413</v>
      </c>
      <c r="AN697" t="s">
        <v>13063</v>
      </c>
      <c r="AO697" t="s">
        <v>13064</v>
      </c>
      <c r="AP697" t="s">
        <v>74</v>
      </c>
      <c r="AQ697" t="s">
        <v>74</v>
      </c>
      <c r="AR697" t="s">
        <v>13065</v>
      </c>
      <c r="AS697" t="s">
        <v>13066</v>
      </c>
      <c r="AT697" t="s">
        <v>12989</v>
      </c>
      <c r="AU697">
        <v>2011</v>
      </c>
      <c r="AV697">
        <v>36</v>
      </c>
      <c r="AW697">
        <v>10</v>
      </c>
      <c r="AX697" t="s">
        <v>74</v>
      </c>
      <c r="AY697" t="s">
        <v>74</v>
      </c>
      <c r="AZ697" t="s">
        <v>74</v>
      </c>
      <c r="BA697" t="s">
        <v>74</v>
      </c>
      <c r="BB697">
        <v>677</v>
      </c>
      <c r="BC697">
        <v>680</v>
      </c>
      <c r="BD697" t="s">
        <v>74</v>
      </c>
      <c r="BE697" t="s">
        <v>13077</v>
      </c>
      <c r="BF697" t="str">
        <f>HYPERLINK("http://dx.doi.org/10.3103/S1068373911100050","http://dx.doi.org/10.3103/S1068373911100050")</f>
        <v>http://dx.doi.org/10.3103/S1068373911100050</v>
      </c>
      <c r="BG697" t="s">
        <v>74</v>
      </c>
      <c r="BH697" t="s">
        <v>74</v>
      </c>
      <c r="BI697">
        <v>4</v>
      </c>
      <c r="BJ697" t="s">
        <v>463</v>
      </c>
      <c r="BK697" t="s">
        <v>100</v>
      </c>
      <c r="BL697" t="s">
        <v>463</v>
      </c>
      <c r="BM697" t="s">
        <v>13068</v>
      </c>
      <c r="BN697" t="s">
        <v>74</v>
      </c>
      <c r="BO697" t="s">
        <v>74</v>
      </c>
      <c r="BP697" t="s">
        <v>74</v>
      </c>
      <c r="BQ697" t="s">
        <v>74</v>
      </c>
      <c r="BR697" t="s">
        <v>102</v>
      </c>
      <c r="BS697" t="s">
        <v>13078</v>
      </c>
      <c r="BT697" t="str">
        <f>HYPERLINK("https%3A%2F%2Fwww.webofscience.com%2Fwos%2Fwoscc%2Ffull-record%2FWOS:000298389500005","View Full Record in Web of Science")</f>
        <v>View Full Record in Web of Science</v>
      </c>
    </row>
    <row r="698" spans="1:72" x14ac:dyDescent="0.15">
      <c r="A698" t="s">
        <v>72</v>
      </c>
      <c r="B698" t="s">
        <v>13079</v>
      </c>
      <c r="C698" t="s">
        <v>74</v>
      </c>
      <c r="D698" t="s">
        <v>74</v>
      </c>
      <c r="E698" t="s">
        <v>74</v>
      </c>
      <c r="F698" t="s">
        <v>13080</v>
      </c>
      <c r="G698" t="s">
        <v>74</v>
      </c>
      <c r="H698" t="s">
        <v>74</v>
      </c>
      <c r="I698" t="s">
        <v>13081</v>
      </c>
      <c r="J698" t="s">
        <v>13082</v>
      </c>
      <c r="K698" t="s">
        <v>74</v>
      </c>
      <c r="L698" t="s">
        <v>74</v>
      </c>
      <c r="M698" t="s">
        <v>78</v>
      </c>
      <c r="N698" t="s">
        <v>7692</v>
      </c>
      <c r="O698" t="s">
        <v>74</v>
      </c>
      <c r="P698" t="s">
        <v>74</v>
      </c>
      <c r="Q698" t="s">
        <v>74</v>
      </c>
      <c r="R698" t="s">
        <v>74</v>
      </c>
      <c r="S698" t="s">
        <v>74</v>
      </c>
      <c r="T698" t="s">
        <v>74</v>
      </c>
      <c r="U698" t="s">
        <v>74</v>
      </c>
      <c r="V698" t="s">
        <v>74</v>
      </c>
      <c r="W698" t="s">
        <v>13083</v>
      </c>
      <c r="X698" t="s">
        <v>13084</v>
      </c>
      <c r="Y698" t="s">
        <v>13085</v>
      </c>
      <c r="Z698" t="s">
        <v>13086</v>
      </c>
      <c r="AA698" t="s">
        <v>13087</v>
      </c>
      <c r="AB698" t="s">
        <v>13088</v>
      </c>
      <c r="AC698" t="s">
        <v>74</v>
      </c>
      <c r="AD698" t="s">
        <v>74</v>
      </c>
      <c r="AE698" t="s">
        <v>74</v>
      </c>
      <c r="AF698" t="s">
        <v>74</v>
      </c>
      <c r="AG698">
        <v>1</v>
      </c>
      <c r="AH698">
        <v>1</v>
      </c>
      <c r="AI698">
        <v>1</v>
      </c>
      <c r="AJ698">
        <v>0</v>
      </c>
      <c r="AK698">
        <v>26</v>
      </c>
      <c r="AL698" t="s">
        <v>13089</v>
      </c>
      <c r="AM698" t="s">
        <v>8809</v>
      </c>
      <c r="AN698" t="s">
        <v>13090</v>
      </c>
      <c r="AO698" t="s">
        <v>13091</v>
      </c>
      <c r="AP698" t="s">
        <v>74</v>
      </c>
      <c r="AQ698" t="s">
        <v>74</v>
      </c>
      <c r="AR698" t="s">
        <v>13082</v>
      </c>
      <c r="AS698" t="s">
        <v>13082</v>
      </c>
      <c r="AT698" t="s">
        <v>12989</v>
      </c>
      <c r="AU698">
        <v>2011</v>
      </c>
      <c r="AV698">
        <v>128</v>
      </c>
      <c r="AW698">
        <v>4</v>
      </c>
      <c r="AX698" t="s">
        <v>74</v>
      </c>
      <c r="AY698" t="s">
        <v>74</v>
      </c>
      <c r="AZ698" t="s">
        <v>74</v>
      </c>
      <c r="BA698" t="s">
        <v>74</v>
      </c>
      <c r="BB698">
        <v>810</v>
      </c>
      <c r="BC698">
        <v>810</v>
      </c>
      <c r="BD698" t="s">
        <v>74</v>
      </c>
      <c r="BE698" t="s">
        <v>13092</v>
      </c>
      <c r="BF698" t="str">
        <f>HYPERLINK("http://dx.doi.org/10.1525/auk.2011.128.4.810","http://dx.doi.org/10.1525/auk.2011.128.4.810")</f>
        <v>http://dx.doi.org/10.1525/auk.2011.128.4.810</v>
      </c>
      <c r="BG698" t="s">
        <v>74</v>
      </c>
      <c r="BH698" t="s">
        <v>74</v>
      </c>
      <c r="BI698">
        <v>1</v>
      </c>
      <c r="BJ698" t="s">
        <v>2880</v>
      </c>
      <c r="BK698" t="s">
        <v>100</v>
      </c>
      <c r="BL698" t="s">
        <v>2881</v>
      </c>
      <c r="BM698" t="s">
        <v>13093</v>
      </c>
      <c r="BN698" t="s">
        <v>74</v>
      </c>
      <c r="BO698" t="s">
        <v>6262</v>
      </c>
      <c r="BP698" t="s">
        <v>74</v>
      </c>
      <c r="BQ698" t="s">
        <v>74</v>
      </c>
      <c r="BR698" t="s">
        <v>102</v>
      </c>
      <c r="BS698" t="s">
        <v>13094</v>
      </c>
      <c r="BT698" t="str">
        <f>HYPERLINK("https%3A%2F%2Fwww.webofscience.com%2Fwos%2Fwoscc%2Ffull-record%2FWOS:000297872700026","View Full Record in Web of Science")</f>
        <v>View Full Record in Web of Science</v>
      </c>
    </row>
    <row r="699" spans="1:72" x14ac:dyDescent="0.15">
      <c r="A699" t="s">
        <v>72</v>
      </c>
      <c r="B699" t="s">
        <v>13095</v>
      </c>
      <c r="C699" t="s">
        <v>74</v>
      </c>
      <c r="D699" t="s">
        <v>74</v>
      </c>
      <c r="E699" t="s">
        <v>74</v>
      </c>
      <c r="F699" t="s">
        <v>13096</v>
      </c>
      <c r="G699" t="s">
        <v>74</v>
      </c>
      <c r="H699" t="s">
        <v>74</v>
      </c>
      <c r="I699" t="s">
        <v>13097</v>
      </c>
      <c r="J699" t="s">
        <v>13098</v>
      </c>
      <c r="K699" t="s">
        <v>74</v>
      </c>
      <c r="L699" t="s">
        <v>74</v>
      </c>
      <c r="M699" t="s">
        <v>78</v>
      </c>
      <c r="N699" t="s">
        <v>79</v>
      </c>
      <c r="O699" t="s">
        <v>74</v>
      </c>
      <c r="P699" t="s">
        <v>74</v>
      </c>
      <c r="Q699" t="s">
        <v>74</v>
      </c>
      <c r="R699" t="s">
        <v>74</v>
      </c>
      <c r="S699" t="s">
        <v>74</v>
      </c>
      <c r="T699" t="s">
        <v>13099</v>
      </c>
      <c r="U699" t="s">
        <v>13100</v>
      </c>
      <c r="V699" t="s">
        <v>13101</v>
      </c>
      <c r="W699" t="s">
        <v>13102</v>
      </c>
      <c r="X699" t="s">
        <v>13103</v>
      </c>
      <c r="Y699" t="s">
        <v>13104</v>
      </c>
      <c r="Z699" t="s">
        <v>13105</v>
      </c>
      <c r="AA699" t="s">
        <v>13106</v>
      </c>
      <c r="AB699" t="s">
        <v>13107</v>
      </c>
      <c r="AC699" t="s">
        <v>13108</v>
      </c>
      <c r="AD699" t="s">
        <v>13109</v>
      </c>
      <c r="AE699" t="s">
        <v>13110</v>
      </c>
      <c r="AF699" t="s">
        <v>74</v>
      </c>
      <c r="AG699">
        <v>43</v>
      </c>
      <c r="AH699">
        <v>44</v>
      </c>
      <c r="AI699">
        <v>46</v>
      </c>
      <c r="AJ699">
        <v>0</v>
      </c>
      <c r="AK699">
        <v>64</v>
      </c>
      <c r="AL699" t="s">
        <v>155</v>
      </c>
      <c r="AM699" t="s">
        <v>156</v>
      </c>
      <c r="AN699" t="s">
        <v>157</v>
      </c>
      <c r="AO699" t="s">
        <v>13111</v>
      </c>
      <c r="AP699" t="s">
        <v>13112</v>
      </c>
      <c r="AQ699" t="s">
        <v>74</v>
      </c>
      <c r="AR699" t="s">
        <v>13098</v>
      </c>
      <c r="AS699" t="s">
        <v>13113</v>
      </c>
      <c r="AT699" t="s">
        <v>12989</v>
      </c>
      <c r="AU699">
        <v>2011</v>
      </c>
      <c r="AV699">
        <v>85</v>
      </c>
      <c r="AW699">
        <v>3</v>
      </c>
      <c r="AX699" t="s">
        <v>74</v>
      </c>
      <c r="AY699" t="s">
        <v>74</v>
      </c>
      <c r="AZ699" t="s">
        <v>74</v>
      </c>
      <c r="BA699" t="s">
        <v>74</v>
      </c>
      <c r="BB699">
        <v>393</v>
      </c>
      <c r="BC699">
        <v>398</v>
      </c>
      <c r="BD699" t="s">
        <v>74</v>
      </c>
      <c r="BE699" t="s">
        <v>13114</v>
      </c>
      <c r="BF699" t="str">
        <f>HYPERLINK("http://dx.doi.org/10.1016/j.chemosphere.2011.07.047","http://dx.doi.org/10.1016/j.chemosphere.2011.07.047")</f>
        <v>http://dx.doi.org/10.1016/j.chemosphere.2011.07.047</v>
      </c>
      <c r="BG699" t="s">
        <v>74</v>
      </c>
      <c r="BH699" t="s">
        <v>74</v>
      </c>
      <c r="BI699">
        <v>6</v>
      </c>
      <c r="BJ699" t="s">
        <v>2924</v>
      </c>
      <c r="BK699" t="s">
        <v>100</v>
      </c>
      <c r="BL699" t="s">
        <v>2837</v>
      </c>
      <c r="BM699" t="s">
        <v>13115</v>
      </c>
      <c r="BN699">
        <v>21868055</v>
      </c>
      <c r="BO699" t="s">
        <v>11655</v>
      </c>
      <c r="BP699" t="s">
        <v>74</v>
      </c>
      <c r="BQ699" t="s">
        <v>74</v>
      </c>
      <c r="BR699" t="s">
        <v>102</v>
      </c>
      <c r="BS699" t="s">
        <v>13116</v>
      </c>
      <c r="BT699" t="str">
        <f>HYPERLINK("https%3A%2F%2Fwww.webofscience.com%2Fwos%2Fwoscc%2Ffull-record%2FWOS:000297661900015","View Full Record in Web of Science")</f>
        <v>View Full Record in Web of Science</v>
      </c>
    </row>
    <row r="700" spans="1:72" x14ac:dyDescent="0.15">
      <c r="A700" t="s">
        <v>72</v>
      </c>
      <c r="B700" t="s">
        <v>13117</v>
      </c>
      <c r="C700" t="s">
        <v>74</v>
      </c>
      <c r="D700" t="s">
        <v>74</v>
      </c>
      <c r="E700" t="s">
        <v>74</v>
      </c>
      <c r="F700" t="s">
        <v>13118</v>
      </c>
      <c r="G700" t="s">
        <v>74</v>
      </c>
      <c r="H700" t="s">
        <v>74</v>
      </c>
      <c r="I700" t="s">
        <v>13119</v>
      </c>
      <c r="J700" t="s">
        <v>3444</v>
      </c>
      <c r="K700" t="s">
        <v>74</v>
      </c>
      <c r="L700" t="s">
        <v>74</v>
      </c>
      <c r="M700" t="s">
        <v>78</v>
      </c>
      <c r="N700" t="s">
        <v>79</v>
      </c>
      <c r="O700" t="s">
        <v>74</v>
      </c>
      <c r="P700" t="s">
        <v>74</v>
      </c>
      <c r="Q700" t="s">
        <v>74</v>
      </c>
      <c r="R700" t="s">
        <v>74</v>
      </c>
      <c r="S700" t="s">
        <v>74</v>
      </c>
      <c r="T700" t="s">
        <v>13120</v>
      </c>
      <c r="U700" t="s">
        <v>13121</v>
      </c>
      <c r="V700" t="s">
        <v>13122</v>
      </c>
      <c r="W700" t="s">
        <v>13123</v>
      </c>
      <c r="X700" t="s">
        <v>13124</v>
      </c>
      <c r="Y700" t="s">
        <v>13125</v>
      </c>
      <c r="Z700" t="s">
        <v>13126</v>
      </c>
      <c r="AA700" t="s">
        <v>74</v>
      </c>
      <c r="AB700" t="s">
        <v>74</v>
      </c>
      <c r="AC700" t="s">
        <v>13127</v>
      </c>
      <c r="AD700" t="s">
        <v>13128</v>
      </c>
      <c r="AE700" t="s">
        <v>13129</v>
      </c>
      <c r="AF700" t="s">
        <v>74</v>
      </c>
      <c r="AG700">
        <v>57</v>
      </c>
      <c r="AH700">
        <v>25</v>
      </c>
      <c r="AI700">
        <v>32</v>
      </c>
      <c r="AJ700">
        <v>0</v>
      </c>
      <c r="AK700">
        <v>20</v>
      </c>
      <c r="AL700" t="s">
        <v>333</v>
      </c>
      <c r="AM700" t="s">
        <v>334</v>
      </c>
      <c r="AN700" t="s">
        <v>335</v>
      </c>
      <c r="AO700" t="s">
        <v>3457</v>
      </c>
      <c r="AP700" t="s">
        <v>3458</v>
      </c>
      <c r="AQ700" t="s">
        <v>74</v>
      </c>
      <c r="AR700" t="s">
        <v>3459</v>
      </c>
      <c r="AS700" t="s">
        <v>3460</v>
      </c>
      <c r="AT700" t="s">
        <v>13130</v>
      </c>
      <c r="AU700">
        <v>2011</v>
      </c>
      <c r="AV700">
        <v>79</v>
      </c>
      <c r="AW700" t="s">
        <v>1776</v>
      </c>
      <c r="AX700" t="s">
        <v>74</v>
      </c>
      <c r="AY700" t="s">
        <v>74</v>
      </c>
      <c r="AZ700" t="s">
        <v>74</v>
      </c>
      <c r="BA700" t="s">
        <v>74</v>
      </c>
      <c r="BB700">
        <v>61</v>
      </c>
      <c r="BC700">
        <v>72</v>
      </c>
      <c r="BD700" t="s">
        <v>74</v>
      </c>
      <c r="BE700" t="s">
        <v>13131</v>
      </c>
      <c r="BF700" t="str">
        <f>HYPERLINK("http://dx.doi.org/10.1016/j.gloplacha.2011.07.012","http://dx.doi.org/10.1016/j.gloplacha.2011.07.012")</f>
        <v>http://dx.doi.org/10.1016/j.gloplacha.2011.07.012</v>
      </c>
      <c r="BG700" t="s">
        <v>74</v>
      </c>
      <c r="BH700" t="s">
        <v>74</v>
      </c>
      <c r="BI700">
        <v>12</v>
      </c>
      <c r="BJ700" t="s">
        <v>226</v>
      </c>
      <c r="BK700" t="s">
        <v>100</v>
      </c>
      <c r="BL700" t="s">
        <v>227</v>
      </c>
      <c r="BM700" t="s">
        <v>13132</v>
      </c>
      <c r="BN700" t="s">
        <v>74</v>
      </c>
      <c r="BO700" t="s">
        <v>74</v>
      </c>
      <c r="BP700" t="s">
        <v>74</v>
      </c>
      <c r="BQ700" t="s">
        <v>74</v>
      </c>
      <c r="BR700" t="s">
        <v>102</v>
      </c>
      <c r="BS700" t="s">
        <v>13133</v>
      </c>
      <c r="BT700" t="str">
        <f>HYPERLINK("https%3A%2F%2Fwww.webofscience.com%2Fwos%2Fwoscc%2Ffull-record%2FWOS:000297428600006","View Full Record in Web of Science")</f>
        <v>View Full Record in Web of Science</v>
      </c>
    </row>
    <row r="701" spans="1:72" x14ac:dyDescent="0.15">
      <c r="A701" t="s">
        <v>72</v>
      </c>
      <c r="B701" t="s">
        <v>13134</v>
      </c>
      <c r="C701" t="s">
        <v>74</v>
      </c>
      <c r="D701" t="s">
        <v>74</v>
      </c>
      <c r="E701" t="s">
        <v>74</v>
      </c>
      <c r="F701" t="s">
        <v>13135</v>
      </c>
      <c r="G701" t="s">
        <v>74</v>
      </c>
      <c r="H701" t="s">
        <v>74</v>
      </c>
      <c r="I701" t="s">
        <v>13136</v>
      </c>
      <c r="J701" t="s">
        <v>13137</v>
      </c>
      <c r="K701" t="s">
        <v>74</v>
      </c>
      <c r="L701" t="s">
        <v>74</v>
      </c>
      <c r="M701" t="s">
        <v>78</v>
      </c>
      <c r="N701" t="s">
        <v>79</v>
      </c>
      <c r="O701" t="s">
        <v>74</v>
      </c>
      <c r="P701" t="s">
        <v>74</v>
      </c>
      <c r="Q701" t="s">
        <v>74</v>
      </c>
      <c r="R701" t="s">
        <v>74</v>
      </c>
      <c r="S701" t="s">
        <v>74</v>
      </c>
      <c r="T701" t="s">
        <v>13138</v>
      </c>
      <c r="U701" t="s">
        <v>13139</v>
      </c>
      <c r="V701" t="s">
        <v>13140</v>
      </c>
      <c r="W701" t="s">
        <v>13141</v>
      </c>
      <c r="X701" t="s">
        <v>13142</v>
      </c>
      <c r="Y701" t="s">
        <v>13143</v>
      </c>
      <c r="Z701" t="s">
        <v>13144</v>
      </c>
      <c r="AA701" t="s">
        <v>74</v>
      </c>
      <c r="AB701" t="s">
        <v>74</v>
      </c>
      <c r="AC701" t="s">
        <v>13145</v>
      </c>
      <c r="AD701" t="s">
        <v>13146</v>
      </c>
      <c r="AE701" t="s">
        <v>13147</v>
      </c>
      <c r="AF701" t="s">
        <v>74</v>
      </c>
      <c r="AG701">
        <v>35</v>
      </c>
      <c r="AH701">
        <v>7</v>
      </c>
      <c r="AI701">
        <v>11</v>
      </c>
      <c r="AJ701">
        <v>0</v>
      </c>
      <c r="AK701">
        <v>9</v>
      </c>
      <c r="AL701" t="s">
        <v>795</v>
      </c>
      <c r="AM701" t="s">
        <v>1468</v>
      </c>
      <c r="AN701" t="s">
        <v>1469</v>
      </c>
      <c r="AO701" t="s">
        <v>13148</v>
      </c>
      <c r="AP701" t="s">
        <v>74</v>
      </c>
      <c r="AQ701" t="s">
        <v>74</v>
      </c>
      <c r="AR701" t="s">
        <v>13149</v>
      </c>
      <c r="AS701" t="s">
        <v>13150</v>
      </c>
      <c r="AT701" t="s">
        <v>12989</v>
      </c>
      <c r="AU701">
        <v>2011</v>
      </c>
      <c r="AV701">
        <v>137</v>
      </c>
      <c r="AW701">
        <v>660</v>
      </c>
      <c r="AX701" t="s">
        <v>13151</v>
      </c>
      <c r="AY701" t="s">
        <v>74</v>
      </c>
      <c r="AZ701" t="s">
        <v>339</v>
      </c>
      <c r="BA701" t="s">
        <v>74</v>
      </c>
      <c r="BB701">
        <v>1804</v>
      </c>
      <c r="BC701">
        <v>1811</v>
      </c>
      <c r="BD701" t="s">
        <v>74</v>
      </c>
      <c r="BE701" t="s">
        <v>13152</v>
      </c>
      <c r="BF701" t="str">
        <f>HYPERLINK("http://dx.doi.org/10.1002/qj.874","http://dx.doi.org/10.1002/qj.874")</f>
        <v>http://dx.doi.org/10.1002/qj.874</v>
      </c>
      <c r="BG701" t="s">
        <v>74</v>
      </c>
      <c r="BH701" t="s">
        <v>74</v>
      </c>
      <c r="BI701">
        <v>8</v>
      </c>
      <c r="BJ701" t="s">
        <v>463</v>
      </c>
      <c r="BK701" t="s">
        <v>100</v>
      </c>
      <c r="BL701" t="s">
        <v>463</v>
      </c>
      <c r="BM701" t="s">
        <v>13153</v>
      </c>
      <c r="BN701" t="s">
        <v>74</v>
      </c>
      <c r="BO701" t="s">
        <v>74</v>
      </c>
      <c r="BP701" t="s">
        <v>74</v>
      </c>
      <c r="BQ701" t="s">
        <v>74</v>
      </c>
      <c r="BR701" t="s">
        <v>102</v>
      </c>
      <c r="BS701" t="s">
        <v>13154</v>
      </c>
      <c r="BT701" t="str">
        <f>HYPERLINK("https%3A%2F%2Fwww.webofscience.com%2Fwos%2Fwoscc%2Ffull-record%2FWOS:000297513500013","View Full Record in Web of Science")</f>
        <v>View Full Record in Web of Science</v>
      </c>
    </row>
    <row r="702" spans="1:72" x14ac:dyDescent="0.15">
      <c r="A702" t="s">
        <v>72</v>
      </c>
      <c r="B702" t="s">
        <v>13155</v>
      </c>
      <c r="C702" t="s">
        <v>74</v>
      </c>
      <c r="D702" t="s">
        <v>74</v>
      </c>
      <c r="E702" t="s">
        <v>74</v>
      </c>
      <c r="F702" t="s">
        <v>13156</v>
      </c>
      <c r="G702" t="s">
        <v>74</v>
      </c>
      <c r="H702" t="s">
        <v>74</v>
      </c>
      <c r="I702" t="s">
        <v>13157</v>
      </c>
      <c r="J702" t="s">
        <v>5283</v>
      </c>
      <c r="K702" t="s">
        <v>74</v>
      </c>
      <c r="L702" t="s">
        <v>74</v>
      </c>
      <c r="M702" t="s">
        <v>78</v>
      </c>
      <c r="N702" t="s">
        <v>79</v>
      </c>
      <c r="O702" t="s">
        <v>74</v>
      </c>
      <c r="P702" t="s">
        <v>74</v>
      </c>
      <c r="Q702" t="s">
        <v>74</v>
      </c>
      <c r="R702" t="s">
        <v>74</v>
      </c>
      <c r="S702" t="s">
        <v>74</v>
      </c>
      <c r="T702" t="s">
        <v>13158</v>
      </c>
      <c r="U702" t="s">
        <v>13159</v>
      </c>
      <c r="V702" t="s">
        <v>13160</v>
      </c>
      <c r="W702" t="s">
        <v>13161</v>
      </c>
      <c r="X702" t="s">
        <v>375</v>
      </c>
      <c r="Y702" t="s">
        <v>13162</v>
      </c>
      <c r="Z702" t="s">
        <v>13163</v>
      </c>
      <c r="AA702" t="s">
        <v>74</v>
      </c>
      <c r="AB702" t="s">
        <v>13164</v>
      </c>
      <c r="AC702" t="s">
        <v>13165</v>
      </c>
      <c r="AD702" t="s">
        <v>13166</v>
      </c>
      <c r="AE702" t="s">
        <v>13167</v>
      </c>
      <c r="AF702" t="s">
        <v>74</v>
      </c>
      <c r="AG702">
        <v>53</v>
      </c>
      <c r="AH702">
        <v>5</v>
      </c>
      <c r="AI702">
        <v>7</v>
      </c>
      <c r="AJ702">
        <v>0</v>
      </c>
      <c r="AK702">
        <v>28</v>
      </c>
      <c r="AL702" t="s">
        <v>250</v>
      </c>
      <c r="AM702" t="s">
        <v>413</v>
      </c>
      <c r="AN702" t="s">
        <v>490</v>
      </c>
      <c r="AO702" t="s">
        <v>5295</v>
      </c>
      <c r="AP702" t="s">
        <v>5296</v>
      </c>
      <c r="AQ702" t="s">
        <v>74</v>
      </c>
      <c r="AR702" t="s">
        <v>5297</v>
      </c>
      <c r="AS702" t="s">
        <v>5298</v>
      </c>
      <c r="AT702" t="s">
        <v>12989</v>
      </c>
      <c r="AU702">
        <v>2011</v>
      </c>
      <c r="AV702">
        <v>34</v>
      </c>
      <c r="AW702">
        <v>10</v>
      </c>
      <c r="AX702" t="s">
        <v>74</v>
      </c>
      <c r="AY702" t="s">
        <v>74</v>
      </c>
      <c r="AZ702" t="s">
        <v>74</v>
      </c>
      <c r="BA702" t="s">
        <v>74</v>
      </c>
      <c r="BB702">
        <v>1467</v>
      </c>
      <c r="BC702">
        <v>1474</v>
      </c>
      <c r="BD702" t="s">
        <v>74</v>
      </c>
      <c r="BE702" t="s">
        <v>13168</v>
      </c>
      <c r="BF702" t="str">
        <f>HYPERLINK("http://dx.doi.org/10.1007/s00300-011-1004-3","http://dx.doi.org/10.1007/s00300-011-1004-3")</f>
        <v>http://dx.doi.org/10.1007/s00300-011-1004-3</v>
      </c>
      <c r="BG702" t="s">
        <v>74</v>
      </c>
      <c r="BH702" t="s">
        <v>74</v>
      </c>
      <c r="BI702">
        <v>8</v>
      </c>
      <c r="BJ702" t="s">
        <v>5300</v>
      </c>
      <c r="BK702" t="s">
        <v>100</v>
      </c>
      <c r="BL702" t="s">
        <v>3505</v>
      </c>
      <c r="BM702" t="s">
        <v>13169</v>
      </c>
      <c r="BN702" t="s">
        <v>74</v>
      </c>
      <c r="BO702" t="s">
        <v>74</v>
      </c>
      <c r="BP702" t="s">
        <v>74</v>
      </c>
      <c r="BQ702" t="s">
        <v>74</v>
      </c>
      <c r="BR702" t="s">
        <v>102</v>
      </c>
      <c r="BS702" t="s">
        <v>13170</v>
      </c>
      <c r="BT702" t="str">
        <f>HYPERLINK("https%3A%2F%2Fwww.webofscience.com%2Fwos%2Fwoscc%2Ffull-record%2FWOS:000297202300005","View Full Record in Web of Science")</f>
        <v>View Full Record in Web of Science</v>
      </c>
    </row>
    <row r="703" spans="1:72" x14ac:dyDescent="0.15">
      <c r="A703" t="s">
        <v>72</v>
      </c>
      <c r="B703" t="s">
        <v>13171</v>
      </c>
      <c r="C703" t="s">
        <v>74</v>
      </c>
      <c r="D703" t="s">
        <v>74</v>
      </c>
      <c r="E703" t="s">
        <v>74</v>
      </c>
      <c r="F703" t="s">
        <v>13172</v>
      </c>
      <c r="G703" t="s">
        <v>74</v>
      </c>
      <c r="H703" t="s">
        <v>74</v>
      </c>
      <c r="I703" t="s">
        <v>13173</v>
      </c>
      <c r="J703" t="s">
        <v>5283</v>
      </c>
      <c r="K703" t="s">
        <v>74</v>
      </c>
      <c r="L703" t="s">
        <v>74</v>
      </c>
      <c r="M703" t="s">
        <v>78</v>
      </c>
      <c r="N703" t="s">
        <v>79</v>
      </c>
      <c r="O703" t="s">
        <v>74</v>
      </c>
      <c r="P703" t="s">
        <v>74</v>
      </c>
      <c r="Q703" t="s">
        <v>74</v>
      </c>
      <c r="R703" t="s">
        <v>74</v>
      </c>
      <c r="S703" t="s">
        <v>74</v>
      </c>
      <c r="T703" t="s">
        <v>13174</v>
      </c>
      <c r="U703" t="s">
        <v>13175</v>
      </c>
      <c r="V703" t="s">
        <v>13176</v>
      </c>
      <c r="W703" t="s">
        <v>13177</v>
      </c>
      <c r="X703" t="s">
        <v>13178</v>
      </c>
      <c r="Y703" t="s">
        <v>13179</v>
      </c>
      <c r="Z703" t="s">
        <v>13180</v>
      </c>
      <c r="AA703" t="s">
        <v>13181</v>
      </c>
      <c r="AB703" t="s">
        <v>13182</v>
      </c>
      <c r="AC703" t="s">
        <v>13183</v>
      </c>
      <c r="AD703" t="s">
        <v>13184</v>
      </c>
      <c r="AE703" t="s">
        <v>13185</v>
      </c>
      <c r="AF703" t="s">
        <v>74</v>
      </c>
      <c r="AG703">
        <v>55</v>
      </c>
      <c r="AH703">
        <v>12</v>
      </c>
      <c r="AI703">
        <v>12</v>
      </c>
      <c r="AJ703">
        <v>1</v>
      </c>
      <c r="AK703">
        <v>40</v>
      </c>
      <c r="AL703" t="s">
        <v>250</v>
      </c>
      <c r="AM703" t="s">
        <v>413</v>
      </c>
      <c r="AN703" t="s">
        <v>514</v>
      </c>
      <c r="AO703" t="s">
        <v>5295</v>
      </c>
      <c r="AP703" t="s">
        <v>74</v>
      </c>
      <c r="AQ703" t="s">
        <v>74</v>
      </c>
      <c r="AR703" t="s">
        <v>5297</v>
      </c>
      <c r="AS703" t="s">
        <v>5298</v>
      </c>
      <c r="AT703" t="s">
        <v>12989</v>
      </c>
      <c r="AU703">
        <v>2011</v>
      </c>
      <c r="AV703">
        <v>34</v>
      </c>
      <c r="AW703">
        <v>10</v>
      </c>
      <c r="AX703" t="s">
        <v>74</v>
      </c>
      <c r="AY703" t="s">
        <v>74</v>
      </c>
      <c r="AZ703" t="s">
        <v>74</v>
      </c>
      <c r="BA703" t="s">
        <v>74</v>
      </c>
      <c r="BB703">
        <v>1579</v>
      </c>
      <c r="BC703">
        <v>1590</v>
      </c>
      <c r="BD703" t="s">
        <v>74</v>
      </c>
      <c r="BE703" t="s">
        <v>13186</v>
      </c>
      <c r="BF703" t="str">
        <f>HYPERLINK("http://dx.doi.org/10.1007/s00300-011-1018-x","http://dx.doi.org/10.1007/s00300-011-1018-x")</f>
        <v>http://dx.doi.org/10.1007/s00300-011-1018-x</v>
      </c>
      <c r="BG703" t="s">
        <v>74</v>
      </c>
      <c r="BH703" t="s">
        <v>74</v>
      </c>
      <c r="BI703">
        <v>12</v>
      </c>
      <c r="BJ703" t="s">
        <v>5300</v>
      </c>
      <c r="BK703" t="s">
        <v>100</v>
      </c>
      <c r="BL703" t="s">
        <v>3505</v>
      </c>
      <c r="BM703" t="s">
        <v>13169</v>
      </c>
      <c r="BN703" t="s">
        <v>74</v>
      </c>
      <c r="BO703" t="s">
        <v>74</v>
      </c>
      <c r="BP703" t="s">
        <v>74</v>
      </c>
      <c r="BQ703" t="s">
        <v>74</v>
      </c>
      <c r="BR703" t="s">
        <v>102</v>
      </c>
      <c r="BS703" t="s">
        <v>13187</v>
      </c>
      <c r="BT703" t="str">
        <f>HYPERLINK("https%3A%2F%2Fwww.webofscience.com%2Fwos%2Fwoscc%2Ffull-record%2FWOS:000297202300015","View Full Record in Web of Science")</f>
        <v>View Full Record in Web of Science</v>
      </c>
    </row>
    <row r="704" spans="1:72" x14ac:dyDescent="0.15">
      <c r="A704" t="s">
        <v>72</v>
      </c>
      <c r="B704" t="s">
        <v>13188</v>
      </c>
      <c r="C704" t="s">
        <v>74</v>
      </c>
      <c r="D704" t="s">
        <v>74</v>
      </c>
      <c r="E704" t="s">
        <v>74</v>
      </c>
      <c r="F704" t="s">
        <v>13189</v>
      </c>
      <c r="G704" t="s">
        <v>74</v>
      </c>
      <c r="H704" t="s">
        <v>74</v>
      </c>
      <c r="I704" t="s">
        <v>13190</v>
      </c>
      <c r="J704" t="s">
        <v>5283</v>
      </c>
      <c r="K704" t="s">
        <v>74</v>
      </c>
      <c r="L704" t="s">
        <v>74</v>
      </c>
      <c r="M704" t="s">
        <v>78</v>
      </c>
      <c r="N704" t="s">
        <v>79</v>
      </c>
      <c r="O704" t="s">
        <v>74</v>
      </c>
      <c r="P704" t="s">
        <v>74</v>
      </c>
      <c r="Q704" t="s">
        <v>74</v>
      </c>
      <c r="R704" t="s">
        <v>74</v>
      </c>
      <c r="S704" t="s">
        <v>74</v>
      </c>
      <c r="T704" t="s">
        <v>13191</v>
      </c>
      <c r="U704" t="s">
        <v>13192</v>
      </c>
      <c r="V704" t="s">
        <v>13193</v>
      </c>
      <c r="W704" t="s">
        <v>13194</v>
      </c>
      <c r="X704" t="s">
        <v>13195</v>
      </c>
      <c r="Y704" t="s">
        <v>13196</v>
      </c>
      <c r="Z704" t="s">
        <v>13197</v>
      </c>
      <c r="AA704" t="s">
        <v>74</v>
      </c>
      <c r="AB704" t="s">
        <v>13198</v>
      </c>
      <c r="AC704" t="s">
        <v>13199</v>
      </c>
      <c r="AD704" t="s">
        <v>13200</v>
      </c>
      <c r="AE704" t="s">
        <v>13201</v>
      </c>
      <c r="AF704" t="s">
        <v>74</v>
      </c>
      <c r="AG704">
        <v>31</v>
      </c>
      <c r="AH704">
        <v>8</v>
      </c>
      <c r="AI704">
        <v>8</v>
      </c>
      <c r="AJ704">
        <v>0</v>
      </c>
      <c r="AK704">
        <v>23</v>
      </c>
      <c r="AL704" t="s">
        <v>250</v>
      </c>
      <c r="AM704" t="s">
        <v>413</v>
      </c>
      <c r="AN704" t="s">
        <v>514</v>
      </c>
      <c r="AO704" t="s">
        <v>5295</v>
      </c>
      <c r="AP704" t="s">
        <v>5296</v>
      </c>
      <c r="AQ704" t="s">
        <v>74</v>
      </c>
      <c r="AR704" t="s">
        <v>5297</v>
      </c>
      <c r="AS704" t="s">
        <v>5298</v>
      </c>
      <c r="AT704" t="s">
        <v>12989</v>
      </c>
      <c r="AU704">
        <v>2011</v>
      </c>
      <c r="AV704">
        <v>34</v>
      </c>
      <c r="AW704">
        <v>10</v>
      </c>
      <c r="AX704" t="s">
        <v>74</v>
      </c>
      <c r="AY704" t="s">
        <v>74</v>
      </c>
      <c r="AZ704" t="s">
        <v>74</v>
      </c>
      <c r="BA704" t="s">
        <v>74</v>
      </c>
      <c r="BB704">
        <v>1591</v>
      </c>
      <c r="BC704">
        <v>1595</v>
      </c>
      <c r="BD704" t="s">
        <v>74</v>
      </c>
      <c r="BE704" t="s">
        <v>13202</v>
      </c>
      <c r="BF704" t="str">
        <f>HYPERLINK("http://dx.doi.org/10.1007/s00300-011-1020-3","http://dx.doi.org/10.1007/s00300-011-1020-3")</f>
        <v>http://dx.doi.org/10.1007/s00300-011-1020-3</v>
      </c>
      <c r="BG704" t="s">
        <v>74</v>
      </c>
      <c r="BH704" t="s">
        <v>74</v>
      </c>
      <c r="BI704">
        <v>5</v>
      </c>
      <c r="BJ704" t="s">
        <v>5300</v>
      </c>
      <c r="BK704" t="s">
        <v>100</v>
      </c>
      <c r="BL704" t="s">
        <v>3505</v>
      </c>
      <c r="BM704" t="s">
        <v>13169</v>
      </c>
      <c r="BN704" t="s">
        <v>74</v>
      </c>
      <c r="BO704" t="s">
        <v>74</v>
      </c>
      <c r="BP704" t="s">
        <v>74</v>
      </c>
      <c r="BQ704" t="s">
        <v>74</v>
      </c>
      <c r="BR704" t="s">
        <v>102</v>
      </c>
      <c r="BS704" t="s">
        <v>13203</v>
      </c>
      <c r="BT704" t="str">
        <f>HYPERLINK("https%3A%2F%2Fwww.webofscience.com%2Fwos%2Fwoscc%2Ffull-record%2FWOS:000297202300016","View Full Record in Web of Science")</f>
        <v>View Full Record in Web of Science</v>
      </c>
    </row>
    <row r="705" spans="1:72" x14ac:dyDescent="0.15">
      <c r="A705" t="s">
        <v>72</v>
      </c>
      <c r="B705" t="s">
        <v>13204</v>
      </c>
      <c r="C705" t="s">
        <v>74</v>
      </c>
      <c r="D705" t="s">
        <v>74</v>
      </c>
      <c r="E705" t="s">
        <v>74</v>
      </c>
      <c r="F705" t="s">
        <v>13205</v>
      </c>
      <c r="G705" t="s">
        <v>74</v>
      </c>
      <c r="H705" t="s">
        <v>74</v>
      </c>
      <c r="I705" t="s">
        <v>13206</v>
      </c>
      <c r="J705" t="s">
        <v>13207</v>
      </c>
      <c r="K705" t="s">
        <v>74</v>
      </c>
      <c r="L705" t="s">
        <v>74</v>
      </c>
      <c r="M705" t="s">
        <v>78</v>
      </c>
      <c r="N705" t="s">
        <v>79</v>
      </c>
      <c r="O705" t="s">
        <v>74</v>
      </c>
      <c r="P705" t="s">
        <v>74</v>
      </c>
      <c r="Q705" t="s">
        <v>74</v>
      </c>
      <c r="R705" t="s">
        <v>74</v>
      </c>
      <c r="S705" t="s">
        <v>74</v>
      </c>
      <c r="T705" t="s">
        <v>74</v>
      </c>
      <c r="U705" t="s">
        <v>13208</v>
      </c>
      <c r="V705" t="s">
        <v>13209</v>
      </c>
      <c r="W705" t="s">
        <v>13210</v>
      </c>
      <c r="X705" t="s">
        <v>13211</v>
      </c>
      <c r="Y705" t="s">
        <v>13212</v>
      </c>
      <c r="Z705" t="s">
        <v>13213</v>
      </c>
      <c r="AA705" t="s">
        <v>74</v>
      </c>
      <c r="AB705" t="s">
        <v>13214</v>
      </c>
      <c r="AC705" t="s">
        <v>13215</v>
      </c>
      <c r="AD705" t="s">
        <v>13215</v>
      </c>
      <c r="AE705" t="s">
        <v>13216</v>
      </c>
      <c r="AF705" t="s">
        <v>74</v>
      </c>
      <c r="AG705">
        <v>8</v>
      </c>
      <c r="AH705">
        <v>2</v>
      </c>
      <c r="AI705">
        <v>2</v>
      </c>
      <c r="AJ705">
        <v>0</v>
      </c>
      <c r="AK705">
        <v>1</v>
      </c>
      <c r="AL705" t="s">
        <v>7404</v>
      </c>
      <c r="AM705" t="s">
        <v>7405</v>
      </c>
      <c r="AN705" t="s">
        <v>7406</v>
      </c>
      <c r="AO705" t="s">
        <v>13217</v>
      </c>
      <c r="AP705" t="s">
        <v>74</v>
      </c>
      <c r="AQ705" t="s">
        <v>74</v>
      </c>
      <c r="AR705" t="s">
        <v>13218</v>
      </c>
      <c r="AS705" t="s">
        <v>13219</v>
      </c>
      <c r="AT705" t="s">
        <v>12989</v>
      </c>
      <c r="AU705">
        <v>2011</v>
      </c>
      <c r="AV705">
        <v>126</v>
      </c>
      <c r="AW705">
        <v>10</v>
      </c>
      <c r="AX705" t="s">
        <v>74</v>
      </c>
      <c r="AY705" t="s">
        <v>74</v>
      </c>
      <c r="AZ705" t="s">
        <v>74</v>
      </c>
      <c r="BA705" t="s">
        <v>74</v>
      </c>
      <c r="BB705" t="s">
        <v>74</v>
      </c>
      <c r="BC705" t="s">
        <v>74</v>
      </c>
      <c r="BD705">
        <v>99</v>
      </c>
      <c r="BE705" t="s">
        <v>13220</v>
      </c>
      <c r="BF705" t="str">
        <f>HYPERLINK("http://dx.doi.org/10.1140/epjp/i2011-11099-3","http://dx.doi.org/10.1140/epjp/i2011-11099-3")</f>
        <v>http://dx.doi.org/10.1140/epjp/i2011-11099-3</v>
      </c>
      <c r="BG705" t="s">
        <v>74</v>
      </c>
      <c r="BH705" t="s">
        <v>74</v>
      </c>
      <c r="BI705">
        <v>3</v>
      </c>
      <c r="BJ705" t="s">
        <v>13221</v>
      </c>
      <c r="BK705" t="s">
        <v>100</v>
      </c>
      <c r="BL705" t="s">
        <v>13222</v>
      </c>
      <c r="BM705" t="s">
        <v>13223</v>
      </c>
      <c r="BN705" t="s">
        <v>74</v>
      </c>
      <c r="BO705" t="s">
        <v>74</v>
      </c>
      <c r="BP705" t="s">
        <v>74</v>
      </c>
      <c r="BQ705" t="s">
        <v>74</v>
      </c>
      <c r="BR705" t="s">
        <v>102</v>
      </c>
      <c r="BS705" t="s">
        <v>13224</v>
      </c>
      <c r="BT705" t="str">
        <f>HYPERLINK("https%3A%2F%2Fwww.webofscience.com%2Fwos%2Fwoscc%2Ffull-record%2FWOS:000296630100004","View Full Record in Web of Science")</f>
        <v>View Full Record in Web of Science</v>
      </c>
    </row>
    <row r="706" spans="1:72" x14ac:dyDescent="0.15">
      <c r="A706" t="s">
        <v>72</v>
      </c>
      <c r="B706" t="s">
        <v>13225</v>
      </c>
      <c r="C706" t="s">
        <v>74</v>
      </c>
      <c r="D706" t="s">
        <v>74</v>
      </c>
      <c r="E706" t="s">
        <v>74</v>
      </c>
      <c r="F706" t="s">
        <v>13226</v>
      </c>
      <c r="G706" t="s">
        <v>74</v>
      </c>
      <c r="H706" t="s">
        <v>74</v>
      </c>
      <c r="I706" t="s">
        <v>13227</v>
      </c>
      <c r="J706" t="s">
        <v>13228</v>
      </c>
      <c r="K706" t="s">
        <v>74</v>
      </c>
      <c r="L706" t="s">
        <v>74</v>
      </c>
      <c r="M706" t="s">
        <v>78</v>
      </c>
      <c r="N706" t="s">
        <v>79</v>
      </c>
      <c r="O706" t="s">
        <v>74</v>
      </c>
      <c r="P706" t="s">
        <v>74</v>
      </c>
      <c r="Q706" t="s">
        <v>74</v>
      </c>
      <c r="R706" t="s">
        <v>74</v>
      </c>
      <c r="S706" t="s">
        <v>74</v>
      </c>
      <c r="T706" t="s">
        <v>13229</v>
      </c>
      <c r="U706" t="s">
        <v>13230</v>
      </c>
      <c r="V706" t="s">
        <v>13231</v>
      </c>
      <c r="W706" t="s">
        <v>13232</v>
      </c>
      <c r="X706" t="s">
        <v>13233</v>
      </c>
      <c r="Y706" t="s">
        <v>13234</v>
      </c>
      <c r="Z706" t="s">
        <v>13235</v>
      </c>
      <c r="AA706" t="s">
        <v>13236</v>
      </c>
      <c r="AB706" t="s">
        <v>13237</v>
      </c>
      <c r="AC706" t="s">
        <v>13238</v>
      </c>
      <c r="AD706" t="s">
        <v>13239</v>
      </c>
      <c r="AE706" t="s">
        <v>13240</v>
      </c>
      <c r="AF706" t="s">
        <v>74</v>
      </c>
      <c r="AG706">
        <v>49</v>
      </c>
      <c r="AH706">
        <v>9</v>
      </c>
      <c r="AI706">
        <v>9</v>
      </c>
      <c r="AJ706">
        <v>0</v>
      </c>
      <c r="AK706">
        <v>17</v>
      </c>
      <c r="AL706" t="s">
        <v>155</v>
      </c>
      <c r="AM706" t="s">
        <v>156</v>
      </c>
      <c r="AN706" t="s">
        <v>157</v>
      </c>
      <c r="AO706" t="s">
        <v>13241</v>
      </c>
      <c r="AP706" t="s">
        <v>13242</v>
      </c>
      <c r="AQ706" t="s">
        <v>74</v>
      </c>
      <c r="AR706" t="s">
        <v>13243</v>
      </c>
      <c r="AS706" t="s">
        <v>13244</v>
      </c>
      <c r="AT706" t="s">
        <v>12989</v>
      </c>
      <c r="AU706">
        <v>2011</v>
      </c>
      <c r="AV706">
        <v>73</v>
      </c>
      <c r="AW706">
        <v>16</v>
      </c>
      <c r="AX706" t="s">
        <v>74</v>
      </c>
      <c r="AY706" t="s">
        <v>74</v>
      </c>
      <c r="AZ706" t="s">
        <v>74</v>
      </c>
      <c r="BA706" t="s">
        <v>74</v>
      </c>
      <c r="BB706">
        <v>2237</v>
      </c>
      <c r="BC706">
        <v>2271</v>
      </c>
      <c r="BD706" t="s">
        <v>74</v>
      </c>
      <c r="BE706" t="s">
        <v>13245</v>
      </c>
      <c r="BF706" t="str">
        <f>HYPERLINK("http://dx.doi.org/10.1016/j.jastp.2011.06.018","http://dx.doi.org/10.1016/j.jastp.2011.06.018")</f>
        <v>http://dx.doi.org/10.1016/j.jastp.2011.06.018</v>
      </c>
      <c r="BG706" t="s">
        <v>74</v>
      </c>
      <c r="BH706" t="s">
        <v>74</v>
      </c>
      <c r="BI706">
        <v>35</v>
      </c>
      <c r="BJ706" t="s">
        <v>1474</v>
      </c>
      <c r="BK706" t="s">
        <v>100</v>
      </c>
      <c r="BL706" t="s">
        <v>1474</v>
      </c>
      <c r="BM706" t="s">
        <v>13246</v>
      </c>
      <c r="BN706" t="s">
        <v>74</v>
      </c>
      <c r="BO706" t="s">
        <v>74</v>
      </c>
      <c r="BP706" t="s">
        <v>74</v>
      </c>
      <c r="BQ706" t="s">
        <v>74</v>
      </c>
      <c r="BR706" t="s">
        <v>102</v>
      </c>
      <c r="BS706" t="s">
        <v>13247</v>
      </c>
      <c r="BT706" t="str">
        <f>HYPERLINK("https%3A%2F%2Fwww.webofscience.com%2Fwos%2Fwoscc%2Ffull-record%2FWOS:000297141400001","View Full Record in Web of Science")</f>
        <v>View Full Record in Web of Science</v>
      </c>
    </row>
    <row r="707" spans="1:72" x14ac:dyDescent="0.15">
      <c r="A707" t="s">
        <v>72</v>
      </c>
      <c r="B707" t="s">
        <v>13248</v>
      </c>
      <c r="C707" t="s">
        <v>74</v>
      </c>
      <c r="D707" t="s">
        <v>74</v>
      </c>
      <c r="E707" t="s">
        <v>74</v>
      </c>
      <c r="F707" t="s">
        <v>13249</v>
      </c>
      <c r="G707" t="s">
        <v>74</v>
      </c>
      <c r="H707" t="s">
        <v>74</v>
      </c>
      <c r="I707" t="s">
        <v>13250</v>
      </c>
      <c r="J707" t="s">
        <v>13228</v>
      </c>
      <c r="K707" t="s">
        <v>74</v>
      </c>
      <c r="L707" t="s">
        <v>74</v>
      </c>
      <c r="M707" t="s">
        <v>78</v>
      </c>
      <c r="N707" t="s">
        <v>79</v>
      </c>
      <c r="O707" t="s">
        <v>74</v>
      </c>
      <c r="P707" t="s">
        <v>74</v>
      </c>
      <c r="Q707" t="s">
        <v>74</v>
      </c>
      <c r="R707" t="s">
        <v>74</v>
      </c>
      <c r="S707" t="s">
        <v>74</v>
      </c>
      <c r="T707" t="s">
        <v>13251</v>
      </c>
      <c r="U707" t="s">
        <v>13252</v>
      </c>
      <c r="V707" t="s">
        <v>13253</v>
      </c>
      <c r="W707" t="s">
        <v>13254</v>
      </c>
      <c r="X707" t="s">
        <v>13255</v>
      </c>
      <c r="Y707" t="s">
        <v>13256</v>
      </c>
      <c r="Z707" t="s">
        <v>13257</v>
      </c>
      <c r="AA707" t="s">
        <v>13258</v>
      </c>
      <c r="AB707" t="s">
        <v>13259</v>
      </c>
      <c r="AC707" t="s">
        <v>13260</v>
      </c>
      <c r="AD707" t="s">
        <v>13261</v>
      </c>
      <c r="AE707" t="s">
        <v>13262</v>
      </c>
      <c r="AF707" t="s">
        <v>74</v>
      </c>
      <c r="AG707">
        <v>49</v>
      </c>
      <c r="AH707">
        <v>15</v>
      </c>
      <c r="AI707">
        <v>15</v>
      </c>
      <c r="AJ707">
        <v>0</v>
      </c>
      <c r="AK707">
        <v>6</v>
      </c>
      <c r="AL707" t="s">
        <v>155</v>
      </c>
      <c r="AM707" t="s">
        <v>156</v>
      </c>
      <c r="AN707" t="s">
        <v>157</v>
      </c>
      <c r="AO707" t="s">
        <v>13241</v>
      </c>
      <c r="AP707" t="s">
        <v>13242</v>
      </c>
      <c r="AQ707" t="s">
        <v>74</v>
      </c>
      <c r="AR707" t="s">
        <v>13243</v>
      </c>
      <c r="AS707" t="s">
        <v>13244</v>
      </c>
      <c r="AT707" t="s">
        <v>12989</v>
      </c>
      <c r="AU707">
        <v>2011</v>
      </c>
      <c r="AV707">
        <v>73</v>
      </c>
      <c r="AW707">
        <v>16</v>
      </c>
      <c r="AX707" t="s">
        <v>74</v>
      </c>
      <c r="AY707" t="s">
        <v>74</v>
      </c>
      <c r="AZ707" t="s">
        <v>74</v>
      </c>
      <c r="BA707" t="s">
        <v>74</v>
      </c>
      <c r="BB707">
        <v>2272</v>
      </c>
      <c r="BC707">
        <v>2278</v>
      </c>
      <c r="BD707" t="s">
        <v>74</v>
      </c>
      <c r="BE707" t="s">
        <v>13263</v>
      </c>
      <c r="BF707" t="str">
        <f>HYPERLINK("http://dx.doi.org/10.1016/j.jastp.2011.06.008","http://dx.doi.org/10.1016/j.jastp.2011.06.008")</f>
        <v>http://dx.doi.org/10.1016/j.jastp.2011.06.008</v>
      </c>
      <c r="BG707" t="s">
        <v>74</v>
      </c>
      <c r="BH707" t="s">
        <v>74</v>
      </c>
      <c r="BI707">
        <v>7</v>
      </c>
      <c r="BJ707" t="s">
        <v>1474</v>
      </c>
      <c r="BK707" t="s">
        <v>100</v>
      </c>
      <c r="BL707" t="s">
        <v>1474</v>
      </c>
      <c r="BM707" t="s">
        <v>13246</v>
      </c>
      <c r="BN707" t="s">
        <v>74</v>
      </c>
      <c r="BO707" t="s">
        <v>2679</v>
      </c>
      <c r="BP707" t="s">
        <v>74</v>
      </c>
      <c r="BQ707" t="s">
        <v>74</v>
      </c>
      <c r="BR707" t="s">
        <v>102</v>
      </c>
      <c r="BS707" t="s">
        <v>13264</v>
      </c>
      <c r="BT707" t="str">
        <f>HYPERLINK("https%3A%2F%2Fwww.webofscience.com%2Fwos%2Fwoscc%2Ffull-record%2FWOS:000297141400002","View Full Record in Web of Science")</f>
        <v>View Full Record in Web of Science</v>
      </c>
    </row>
    <row r="708" spans="1:72" x14ac:dyDescent="0.15">
      <c r="A708" t="s">
        <v>72</v>
      </c>
      <c r="B708" t="s">
        <v>13265</v>
      </c>
      <c r="C708" t="s">
        <v>74</v>
      </c>
      <c r="D708" t="s">
        <v>74</v>
      </c>
      <c r="E708" t="s">
        <v>74</v>
      </c>
      <c r="F708" t="s">
        <v>13266</v>
      </c>
      <c r="G708" t="s">
        <v>74</v>
      </c>
      <c r="H708" t="s">
        <v>74</v>
      </c>
      <c r="I708" t="s">
        <v>13267</v>
      </c>
      <c r="J708" t="s">
        <v>13228</v>
      </c>
      <c r="K708" t="s">
        <v>74</v>
      </c>
      <c r="L708" t="s">
        <v>74</v>
      </c>
      <c r="M708" t="s">
        <v>78</v>
      </c>
      <c r="N708" t="s">
        <v>79</v>
      </c>
      <c r="O708" t="s">
        <v>74</v>
      </c>
      <c r="P708" t="s">
        <v>74</v>
      </c>
      <c r="Q708" t="s">
        <v>74</v>
      </c>
      <c r="R708" t="s">
        <v>74</v>
      </c>
      <c r="S708" t="s">
        <v>74</v>
      </c>
      <c r="T708" t="s">
        <v>13268</v>
      </c>
      <c r="U708" t="s">
        <v>13269</v>
      </c>
      <c r="V708" t="s">
        <v>13270</v>
      </c>
      <c r="W708" t="s">
        <v>13271</v>
      </c>
      <c r="X708" t="s">
        <v>3018</v>
      </c>
      <c r="Y708" t="s">
        <v>13272</v>
      </c>
      <c r="Z708" t="s">
        <v>13273</v>
      </c>
      <c r="AA708" t="s">
        <v>74</v>
      </c>
      <c r="AB708" t="s">
        <v>74</v>
      </c>
      <c r="AC708" t="s">
        <v>74</v>
      </c>
      <c r="AD708" t="s">
        <v>74</v>
      </c>
      <c r="AE708" t="s">
        <v>74</v>
      </c>
      <c r="AF708" t="s">
        <v>74</v>
      </c>
      <c r="AG708">
        <v>22</v>
      </c>
      <c r="AH708">
        <v>7</v>
      </c>
      <c r="AI708">
        <v>8</v>
      </c>
      <c r="AJ708">
        <v>0</v>
      </c>
      <c r="AK708">
        <v>1</v>
      </c>
      <c r="AL708" t="s">
        <v>155</v>
      </c>
      <c r="AM708" t="s">
        <v>156</v>
      </c>
      <c r="AN708" t="s">
        <v>157</v>
      </c>
      <c r="AO708" t="s">
        <v>13241</v>
      </c>
      <c r="AP708" t="s">
        <v>74</v>
      </c>
      <c r="AQ708" t="s">
        <v>74</v>
      </c>
      <c r="AR708" t="s">
        <v>13243</v>
      </c>
      <c r="AS708" t="s">
        <v>13244</v>
      </c>
      <c r="AT708" t="s">
        <v>12989</v>
      </c>
      <c r="AU708">
        <v>2011</v>
      </c>
      <c r="AV708">
        <v>73</v>
      </c>
      <c r="AW708">
        <v>16</v>
      </c>
      <c r="AX708" t="s">
        <v>74</v>
      </c>
      <c r="AY708" t="s">
        <v>74</v>
      </c>
      <c r="AZ708" t="s">
        <v>74</v>
      </c>
      <c r="BA708" t="s">
        <v>74</v>
      </c>
      <c r="BB708">
        <v>2373</v>
      </c>
      <c r="BC708">
        <v>2378</v>
      </c>
      <c r="BD708" t="s">
        <v>74</v>
      </c>
      <c r="BE708" t="s">
        <v>13274</v>
      </c>
      <c r="BF708" t="str">
        <f>HYPERLINK("http://dx.doi.org/10.1016/j.jastp.2011.08.003","http://dx.doi.org/10.1016/j.jastp.2011.08.003")</f>
        <v>http://dx.doi.org/10.1016/j.jastp.2011.08.003</v>
      </c>
      <c r="BG708" t="s">
        <v>74</v>
      </c>
      <c r="BH708" t="s">
        <v>74</v>
      </c>
      <c r="BI708">
        <v>6</v>
      </c>
      <c r="BJ708" t="s">
        <v>1474</v>
      </c>
      <c r="BK708" t="s">
        <v>100</v>
      </c>
      <c r="BL708" t="s">
        <v>1474</v>
      </c>
      <c r="BM708" t="s">
        <v>13246</v>
      </c>
      <c r="BN708" t="s">
        <v>74</v>
      </c>
      <c r="BO708" t="s">
        <v>74</v>
      </c>
      <c r="BP708" t="s">
        <v>74</v>
      </c>
      <c r="BQ708" t="s">
        <v>74</v>
      </c>
      <c r="BR708" t="s">
        <v>102</v>
      </c>
      <c r="BS708" t="s">
        <v>13275</v>
      </c>
      <c r="BT708" t="str">
        <f>HYPERLINK("https%3A%2F%2Fwww.webofscience.com%2Fwos%2Fwoscc%2Ffull-record%2FWOS:000297141400013","View Full Record in Web of Science")</f>
        <v>View Full Record in Web of Science</v>
      </c>
    </row>
    <row r="709" spans="1:72" x14ac:dyDescent="0.15">
      <c r="A709" t="s">
        <v>72</v>
      </c>
      <c r="B709" t="s">
        <v>13276</v>
      </c>
      <c r="C709" t="s">
        <v>74</v>
      </c>
      <c r="D709" t="s">
        <v>74</v>
      </c>
      <c r="E709" t="s">
        <v>74</v>
      </c>
      <c r="F709" t="s">
        <v>13277</v>
      </c>
      <c r="G709" t="s">
        <v>74</v>
      </c>
      <c r="H709" t="s">
        <v>74</v>
      </c>
      <c r="I709" t="s">
        <v>13278</v>
      </c>
      <c r="J709" t="s">
        <v>13228</v>
      </c>
      <c r="K709" t="s">
        <v>74</v>
      </c>
      <c r="L709" t="s">
        <v>74</v>
      </c>
      <c r="M709" t="s">
        <v>78</v>
      </c>
      <c r="N709" t="s">
        <v>79</v>
      </c>
      <c r="O709" t="s">
        <v>74</v>
      </c>
      <c r="P709" t="s">
        <v>74</v>
      </c>
      <c r="Q709" t="s">
        <v>74</v>
      </c>
      <c r="R709" t="s">
        <v>74</v>
      </c>
      <c r="S709" t="s">
        <v>74</v>
      </c>
      <c r="T709" t="s">
        <v>13279</v>
      </c>
      <c r="U709" t="s">
        <v>13280</v>
      </c>
      <c r="V709" t="s">
        <v>13281</v>
      </c>
      <c r="W709" t="s">
        <v>13282</v>
      </c>
      <c r="X709" t="s">
        <v>13283</v>
      </c>
      <c r="Y709" t="s">
        <v>13284</v>
      </c>
      <c r="Z709" t="s">
        <v>13285</v>
      </c>
      <c r="AA709" t="s">
        <v>74</v>
      </c>
      <c r="AB709" t="s">
        <v>74</v>
      </c>
      <c r="AC709" t="s">
        <v>13286</v>
      </c>
      <c r="AD709" t="s">
        <v>13287</v>
      </c>
      <c r="AE709" t="s">
        <v>13288</v>
      </c>
      <c r="AF709" t="s">
        <v>74</v>
      </c>
      <c r="AG709">
        <v>34</v>
      </c>
      <c r="AH709">
        <v>4</v>
      </c>
      <c r="AI709">
        <v>4</v>
      </c>
      <c r="AJ709">
        <v>1</v>
      </c>
      <c r="AK709">
        <v>13</v>
      </c>
      <c r="AL709" t="s">
        <v>155</v>
      </c>
      <c r="AM709" t="s">
        <v>156</v>
      </c>
      <c r="AN709" t="s">
        <v>157</v>
      </c>
      <c r="AO709" t="s">
        <v>13241</v>
      </c>
      <c r="AP709" t="s">
        <v>13242</v>
      </c>
      <c r="AQ709" t="s">
        <v>74</v>
      </c>
      <c r="AR709" t="s">
        <v>13243</v>
      </c>
      <c r="AS709" t="s">
        <v>13244</v>
      </c>
      <c r="AT709" t="s">
        <v>12989</v>
      </c>
      <c r="AU709">
        <v>2011</v>
      </c>
      <c r="AV709">
        <v>73</v>
      </c>
      <c r="AW709">
        <v>16</v>
      </c>
      <c r="AX709" t="s">
        <v>74</v>
      </c>
      <c r="AY709" t="s">
        <v>74</v>
      </c>
      <c r="AZ709" t="s">
        <v>74</v>
      </c>
      <c r="BA709" t="s">
        <v>74</v>
      </c>
      <c r="BB709">
        <v>2379</v>
      </c>
      <c r="BC709">
        <v>2385</v>
      </c>
      <c r="BD709" t="s">
        <v>74</v>
      </c>
      <c r="BE709" t="s">
        <v>13289</v>
      </c>
      <c r="BF709" t="str">
        <f>HYPERLINK("http://dx.doi.org/10.1016/j.jastp.2011.08.006","http://dx.doi.org/10.1016/j.jastp.2011.08.006")</f>
        <v>http://dx.doi.org/10.1016/j.jastp.2011.08.006</v>
      </c>
      <c r="BG709" t="s">
        <v>74</v>
      </c>
      <c r="BH709" t="s">
        <v>74</v>
      </c>
      <c r="BI709">
        <v>7</v>
      </c>
      <c r="BJ709" t="s">
        <v>1474</v>
      </c>
      <c r="BK709" t="s">
        <v>100</v>
      </c>
      <c r="BL709" t="s">
        <v>1474</v>
      </c>
      <c r="BM709" t="s">
        <v>13246</v>
      </c>
      <c r="BN709" t="s">
        <v>74</v>
      </c>
      <c r="BO709" t="s">
        <v>74</v>
      </c>
      <c r="BP709" t="s">
        <v>74</v>
      </c>
      <c r="BQ709" t="s">
        <v>74</v>
      </c>
      <c r="BR709" t="s">
        <v>102</v>
      </c>
      <c r="BS709" t="s">
        <v>13290</v>
      </c>
      <c r="BT709" t="str">
        <f>HYPERLINK("https%3A%2F%2Fwww.webofscience.com%2Fwos%2Fwoscc%2Ffull-record%2FWOS:000297141400014","View Full Record in Web of Science")</f>
        <v>View Full Record in Web of Science</v>
      </c>
    </row>
    <row r="710" spans="1:72" x14ac:dyDescent="0.15">
      <c r="A710" t="s">
        <v>72</v>
      </c>
      <c r="B710" t="s">
        <v>13291</v>
      </c>
      <c r="C710" t="s">
        <v>74</v>
      </c>
      <c r="D710" t="s">
        <v>74</v>
      </c>
      <c r="E710" t="s">
        <v>74</v>
      </c>
      <c r="F710" t="s">
        <v>13292</v>
      </c>
      <c r="G710" t="s">
        <v>74</v>
      </c>
      <c r="H710" t="s">
        <v>74</v>
      </c>
      <c r="I710" t="s">
        <v>13293</v>
      </c>
      <c r="J710" t="s">
        <v>7417</v>
      </c>
      <c r="K710" t="s">
        <v>74</v>
      </c>
      <c r="L710" t="s">
        <v>74</v>
      </c>
      <c r="M710" t="s">
        <v>78</v>
      </c>
      <c r="N710" t="s">
        <v>79</v>
      </c>
      <c r="O710" t="s">
        <v>74</v>
      </c>
      <c r="P710" t="s">
        <v>74</v>
      </c>
      <c r="Q710" t="s">
        <v>74</v>
      </c>
      <c r="R710" t="s">
        <v>74</v>
      </c>
      <c r="S710" t="s">
        <v>74</v>
      </c>
      <c r="T710" t="s">
        <v>13294</v>
      </c>
      <c r="U710" t="s">
        <v>13295</v>
      </c>
      <c r="V710" t="s">
        <v>13296</v>
      </c>
      <c r="W710" t="s">
        <v>13297</v>
      </c>
      <c r="X710" t="s">
        <v>13298</v>
      </c>
      <c r="Y710" t="s">
        <v>13299</v>
      </c>
      <c r="Z710" t="s">
        <v>13300</v>
      </c>
      <c r="AA710" t="s">
        <v>13301</v>
      </c>
      <c r="AB710" t="s">
        <v>13302</v>
      </c>
      <c r="AC710" t="s">
        <v>13303</v>
      </c>
      <c r="AD710" t="s">
        <v>13303</v>
      </c>
      <c r="AE710" t="s">
        <v>13304</v>
      </c>
      <c r="AF710" t="s">
        <v>74</v>
      </c>
      <c r="AG710">
        <v>48</v>
      </c>
      <c r="AH710">
        <v>2</v>
      </c>
      <c r="AI710">
        <v>3</v>
      </c>
      <c r="AJ710">
        <v>1</v>
      </c>
      <c r="AK710">
        <v>22</v>
      </c>
      <c r="AL710" t="s">
        <v>813</v>
      </c>
      <c r="AM710" t="s">
        <v>413</v>
      </c>
      <c r="AN710" t="s">
        <v>7426</v>
      </c>
      <c r="AO710" t="s">
        <v>7427</v>
      </c>
      <c r="AP710" t="s">
        <v>7428</v>
      </c>
      <c r="AQ710" t="s">
        <v>74</v>
      </c>
      <c r="AR710" t="s">
        <v>7429</v>
      </c>
      <c r="AS710" t="s">
        <v>7430</v>
      </c>
      <c r="AT710" t="s">
        <v>12989</v>
      </c>
      <c r="AU710">
        <v>2011</v>
      </c>
      <c r="AV710">
        <v>23</v>
      </c>
      <c r="AW710">
        <v>5</v>
      </c>
      <c r="AX710" t="s">
        <v>74</v>
      </c>
      <c r="AY710" t="s">
        <v>74</v>
      </c>
      <c r="AZ710" t="s">
        <v>74</v>
      </c>
      <c r="BA710" t="s">
        <v>74</v>
      </c>
      <c r="BB710">
        <v>431</v>
      </c>
      <c r="BC710">
        <v>441</v>
      </c>
      <c r="BD710" t="s">
        <v>74</v>
      </c>
      <c r="BE710" t="s">
        <v>13305</v>
      </c>
      <c r="BF710" t="str">
        <f>HYPERLINK("http://dx.doi.org/10.1017/S0954102011000277","http://dx.doi.org/10.1017/S0954102011000277")</f>
        <v>http://dx.doi.org/10.1017/S0954102011000277</v>
      </c>
      <c r="BG710" t="s">
        <v>74</v>
      </c>
      <c r="BH710" t="s">
        <v>74</v>
      </c>
      <c r="BI710">
        <v>11</v>
      </c>
      <c r="BJ710" t="s">
        <v>7432</v>
      </c>
      <c r="BK710" t="s">
        <v>100</v>
      </c>
      <c r="BL710" t="s">
        <v>2855</v>
      </c>
      <c r="BM710" t="s">
        <v>13306</v>
      </c>
      <c r="BN710" t="s">
        <v>74</v>
      </c>
      <c r="BO710" t="s">
        <v>1796</v>
      </c>
      <c r="BP710" t="s">
        <v>74</v>
      </c>
      <c r="BQ710" t="s">
        <v>74</v>
      </c>
      <c r="BR710" t="s">
        <v>102</v>
      </c>
      <c r="BS710" t="s">
        <v>13307</v>
      </c>
      <c r="BT710" t="str">
        <f>HYPERLINK("https%3A%2F%2Fwww.webofscience.com%2Fwos%2Fwoscc%2Ffull-record%2FWOS:000296911000003","View Full Record in Web of Science")</f>
        <v>View Full Record in Web of Science</v>
      </c>
    </row>
    <row r="711" spans="1:72" x14ac:dyDescent="0.15">
      <c r="A711" t="s">
        <v>72</v>
      </c>
      <c r="B711" t="s">
        <v>13308</v>
      </c>
      <c r="C711" t="s">
        <v>74</v>
      </c>
      <c r="D711" t="s">
        <v>74</v>
      </c>
      <c r="E711" t="s">
        <v>74</v>
      </c>
      <c r="F711" t="s">
        <v>13309</v>
      </c>
      <c r="G711" t="s">
        <v>74</v>
      </c>
      <c r="H711" t="s">
        <v>74</v>
      </c>
      <c r="I711" t="s">
        <v>13310</v>
      </c>
      <c r="J711" t="s">
        <v>7417</v>
      </c>
      <c r="K711" t="s">
        <v>74</v>
      </c>
      <c r="L711" t="s">
        <v>74</v>
      </c>
      <c r="M711" t="s">
        <v>78</v>
      </c>
      <c r="N711" t="s">
        <v>79</v>
      </c>
      <c r="O711" t="s">
        <v>74</v>
      </c>
      <c r="P711" t="s">
        <v>74</v>
      </c>
      <c r="Q711" t="s">
        <v>74</v>
      </c>
      <c r="R711" t="s">
        <v>74</v>
      </c>
      <c r="S711" t="s">
        <v>74</v>
      </c>
      <c r="T711" t="s">
        <v>13311</v>
      </c>
      <c r="U711" t="s">
        <v>13312</v>
      </c>
      <c r="V711" t="s">
        <v>13313</v>
      </c>
      <c r="W711" t="s">
        <v>13314</v>
      </c>
      <c r="X711" t="s">
        <v>13315</v>
      </c>
      <c r="Y711" t="s">
        <v>13316</v>
      </c>
      <c r="Z711" t="s">
        <v>13317</v>
      </c>
      <c r="AA711" t="s">
        <v>74</v>
      </c>
      <c r="AB711" t="s">
        <v>74</v>
      </c>
      <c r="AC711" t="s">
        <v>74</v>
      </c>
      <c r="AD711" t="s">
        <v>74</v>
      </c>
      <c r="AE711" t="s">
        <v>74</v>
      </c>
      <c r="AF711" t="s">
        <v>74</v>
      </c>
      <c r="AG711">
        <v>43</v>
      </c>
      <c r="AH711">
        <v>3</v>
      </c>
      <c r="AI711">
        <v>3</v>
      </c>
      <c r="AJ711">
        <v>0</v>
      </c>
      <c r="AK711">
        <v>13</v>
      </c>
      <c r="AL711" t="s">
        <v>813</v>
      </c>
      <c r="AM711" t="s">
        <v>413</v>
      </c>
      <c r="AN711" t="s">
        <v>7426</v>
      </c>
      <c r="AO711" t="s">
        <v>7427</v>
      </c>
      <c r="AP711" t="s">
        <v>7428</v>
      </c>
      <c r="AQ711" t="s">
        <v>74</v>
      </c>
      <c r="AR711" t="s">
        <v>7429</v>
      </c>
      <c r="AS711" t="s">
        <v>7430</v>
      </c>
      <c r="AT711" t="s">
        <v>12989</v>
      </c>
      <c r="AU711">
        <v>2011</v>
      </c>
      <c r="AV711">
        <v>23</v>
      </c>
      <c r="AW711">
        <v>5</v>
      </c>
      <c r="AX711" t="s">
        <v>74</v>
      </c>
      <c r="AY711" t="s">
        <v>74</v>
      </c>
      <c r="AZ711" t="s">
        <v>74</v>
      </c>
      <c r="BA711" t="s">
        <v>74</v>
      </c>
      <c r="BB711">
        <v>442</v>
      </c>
      <c r="BC711">
        <v>448</v>
      </c>
      <c r="BD711" t="s">
        <v>74</v>
      </c>
      <c r="BE711" t="s">
        <v>13318</v>
      </c>
      <c r="BF711" t="str">
        <f>HYPERLINK("http://dx.doi.org/10.1017/S0954102011000289","http://dx.doi.org/10.1017/S0954102011000289")</f>
        <v>http://dx.doi.org/10.1017/S0954102011000289</v>
      </c>
      <c r="BG711" t="s">
        <v>74</v>
      </c>
      <c r="BH711" t="s">
        <v>74</v>
      </c>
      <c r="BI711">
        <v>7</v>
      </c>
      <c r="BJ711" t="s">
        <v>7432</v>
      </c>
      <c r="BK711" t="s">
        <v>100</v>
      </c>
      <c r="BL711" t="s">
        <v>2855</v>
      </c>
      <c r="BM711" t="s">
        <v>13306</v>
      </c>
      <c r="BN711" t="s">
        <v>74</v>
      </c>
      <c r="BO711" t="s">
        <v>74</v>
      </c>
      <c r="BP711" t="s">
        <v>74</v>
      </c>
      <c r="BQ711" t="s">
        <v>74</v>
      </c>
      <c r="BR711" t="s">
        <v>102</v>
      </c>
      <c r="BS711" t="s">
        <v>13319</v>
      </c>
      <c r="BT711" t="str">
        <f>HYPERLINK("https%3A%2F%2Fwww.webofscience.com%2Fwos%2Fwoscc%2Ffull-record%2FWOS:000296911000004","View Full Record in Web of Science")</f>
        <v>View Full Record in Web of Science</v>
      </c>
    </row>
    <row r="712" spans="1:72" x14ac:dyDescent="0.15">
      <c r="A712" t="s">
        <v>72</v>
      </c>
      <c r="B712" t="s">
        <v>13320</v>
      </c>
      <c r="C712" t="s">
        <v>74</v>
      </c>
      <c r="D712" t="s">
        <v>74</v>
      </c>
      <c r="E712" t="s">
        <v>74</v>
      </c>
      <c r="F712" t="s">
        <v>13321</v>
      </c>
      <c r="G712" t="s">
        <v>74</v>
      </c>
      <c r="H712" t="s">
        <v>74</v>
      </c>
      <c r="I712" t="s">
        <v>13322</v>
      </c>
      <c r="J712" t="s">
        <v>7417</v>
      </c>
      <c r="K712" t="s">
        <v>74</v>
      </c>
      <c r="L712" t="s">
        <v>74</v>
      </c>
      <c r="M712" t="s">
        <v>78</v>
      </c>
      <c r="N712" t="s">
        <v>79</v>
      </c>
      <c r="O712" t="s">
        <v>74</v>
      </c>
      <c r="P712" t="s">
        <v>74</v>
      </c>
      <c r="Q712" t="s">
        <v>74</v>
      </c>
      <c r="R712" t="s">
        <v>74</v>
      </c>
      <c r="S712" t="s">
        <v>74</v>
      </c>
      <c r="T712" t="s">
        <v>13323</v>
      </c>
      <c r="U712" t="s">
        <v>13324</v>
      </c>
      <c r="V712" t="s">
        <v>13325</v>
      </c>
      <c r="W712" t="s">
        <v>13326</v>
      </c>
      <c r="X712" t="s">
        <v>13327</v>
      </c>
      <c r="Y712" t="s">
        <v>13328</v>
      </c>
      <c r="Z712" t="s">
        <v>13329</v>
      </c>
      <c r="AA712" t="s">
        <v>74</v>
      </c>
      <c r="AB712" t="s">
        <v>74</v>
      </c>
      <c r="AC712" t="s">
        <v>13330</v>
      </c>
      <c r="AD712" t="s">
        <v>13331</v>
      </c>
      <c r="AE712" t="s">
        <v>13332</v>
      </c>
      <c r="AF712" t="s">
        <v>74</v>
      </c>
      <c r="AG712">
        <v>47</v>
      </c>
      <c r="AH712">
        <v>8</v>
      </c>
      <c r="AI712">
        <v>8</v>
      </c>
      <c r="AJ712">
        <v>0</v>
      </c>
      <c r="AK712">
        <v>19</v>
      </c>
      <c r="AL712" t="s">
        <v>813</v>
      </c>
      <c r="AM712" t="s">
        <v>413</v>
      </c>
      <c r="AN712" t="s">
        <v>7426</v>
      </c>
      <c r="AO712" t="s">
        <v>7427</v>
      </c>
      <c r="AP712" t="s">
        <v>7428</v>
      </c>
      <c r="AQ712" t="s">
        <v>74</v>
      </c>
      <c r="AR712" t="s">
        <v>7429</v>
      </c>
      <c r="AS712" t="s">
        <v>7430</v>
      </c>
      <c r="AT712" t="s">
        <v>12989</v>
      </c>
      <c r="AU712">
        <v>2011</v>
      </c>
      <c r="AV712">
        <v>23</v>
      </c>
      <c r="AW712">
        <v>5</v>
      </c>
      <c r="AX712" t="s">
        <v>74</v>
      </c>
      <c r="AY712" t="s">
        <v>74</v>
      </c>
      <c r="AZ712" t="s">
        <v>74</v>
      </c>
      <c r="BA712" t="s">
        <v>74</v>
      </c>
      <c r="BB712">
        <v>449</v>
      </c>
      <c r="BC712">
        <v>455</v>
      </c>
      <c r="BD712" t="s">
        <v>74</v>
      </c>
      <c r="BE712" t="s">
        <v>13333</v>
      </c>
      <c r="BF712" t="str">
        <f>HYPERLINK("http://dx.doi.org/10.1017/S0954102011000290","http://dx.doi.org/10.1017/S0954102011000290")</f>
        <v>http://dx.doi.org/10.1017/S0954102011000290</v>
      </c>
      <c r="BG712" t="s">
        <v>74</v>
      </c>
      <c r="BH712" t="s">
        <v>74</v>
      </c>
      <c r="BI712">
        <v>7</v>
      </c>
      <c r="BJ712" t="s">
        <v>7432</v>
      </c>
      <c r="BK712" t="s">
        <v>100</v>
      </c>
      <c r="BL712" t="s">
        <v>2855</v>
      </c>
      <c r="BM712" t="s">
        <v>13306</v>
      </c>
      <c r="BN712" t="s">
        <v>74</v>
      </c>
      <c r="BO712" t="s">
        <v>74</v>
      </c>
      <c r="BP712" t="s">
        <v>74</v>
      </c>
      <c r="BQ712" t="s">
        <v>74</v>
      </c>
      <c r="BR712" t="s">
        <v>102</v>
      </c>
      <c r="BS712" t="s">
        <v>13334</v>
      </c>
      <c r="BT712" t="str">
        <f>HYPERLINK("https%3A%2F%2Fwww.webofscience.com%2Fwos%2Fwoscc%2Ffull-record%2FWOS:000296911000005","View Full Record in Web of Science")</f>
        <v>View Full Record in Web of Science</v>
      </c>
    </row>
    <row r="713" spans="1:72" x14ac:dyDescent="0.15">
      <c r="A713" t="s">
        <v>72</v>
      </c>
      <c r="B713" t="s">
        <v>13335</v>
      </c>
      <c r="C713" t="s">
        <v>74</v>
      </c>
      <c r="D713" t="s">
        <v>74</v>
      </c>
      <c r="E713" t="s">
        <v>74</v>
      </c>
      <c r="F713" t="s">
        <v>13336</v>
      </c>
      <c r="G713" t="s">
        <v>74</v>
      </c>
      <c r="H713" t="s">
        <v>74</v>
      </c>
      <c r="I713" t="s">
        <v>13337</v>
      </c>
      <c r="J713" t="s">
        <v>7417</v>
      </c>
      <c r="K713" t="s">
        <v>74</v>
      </c>
      <c r="L713" t="s">
        <v>74</v>
      </c>
      <c r="M713" t="s">
        <v>78</v>
      </c>
      <c r="N713" t="s">
        <v>79</v>
      </c>
      <c r="O713" t="s">
        <v>74</v>
      </c>
      <c r="P713" t="s">
        <v>74</v>
      </c>
      <c r="Q713" t="s">
        <v>74</v>
      </c>
      <c r="R713" t="s">
        <v>74</v>
      </c>
      <c r="S713" t="s">
        <v>74</v>
      </c>
      <c r="T713" t="s">
        <v>13338</v>
      </c>
      <c r="U713" t="s">
        <v>13339</v>
      </c>
      <c r="V713" t="s">
        <v>13340</v>
      </c>
      <c r="W713" t="s">
        <v>13341</v>
      </c>
      <c r="X713" t="s">
        <v>13342</v>
      </c>
      <c r="Y713" t="s">
        <v>13343</v>
      </c>
      <c r="Z713" t="s">
        <v>13344</v>
      </c>
      <c r="AA713" t="s">
        <v>74</v>
      </c>
      <c r="AB713" t="s">
        <v>74</v>
      </c>
      <c r="AC713" t="s">
        <v>74</v>
      </c>
      <c r="AD713" t="s">
        <v>74</v>
      </c>
      <c r="AE713" t="s">
        <v>74</v>
      </c>
      <c r="AF713" t="s">
        <v>74</v>
      </c>
      <c r="AG713">
        <v>23</v>
      </c>
      <c r="AH713">
        <v>12</v>
      </c>
      <c r="AI713">
        <v>12</v>
      </c>
      <c r="AJ713">
        <v>2</v>
      </c>
      <c r="AK713">
        <v>11</v>
      </c>
      <c r="AL713" t="s">
        <v>813</v>
      </c>
      <c r="AM713" t="s">
        <v>413</v>
      </c>
      <c r="AN713" t="s">
        <v>7426</v>
      </c>
      <c r="AO713" t="s">
        <v>7427</v>
      </c>
      <c r="AP713" t="s">
        <v>74</v>
      </c>
      <c r="AQ713" t="s">
        <v>74</v>
      </c>
      <c r="AR713" t="s">
        <v>7429</v>
      </c>
      <c r="AS713" t="s">
        <v>7430</v>
      </c>
      <c r="AT713" t="s">
        <v>12989</v>
      </c>
      <c r="AU713">
        <v>2011</v>
      </c>
      <c r="AV713">
        <v>23</v>
      </c>
      <c r="AW713">
        <v>5</v>
      </c>
      <c r="AX713" t="s">
        <v>74</v>
      </c>
      <c r="AY713" t="s">
        <v>74</v>
      </c>
      <c r="AZ713" t="s">
        <v>74</v>
      </c>
      <c r="BA713" t="s">
        <v>74</v>
      </c>
      <c r="BB713">
        <v>456</v>
      </c>
      <c r="BC713">
        <v>460</v>
      </c>
      <c r="BD713" t="s">
        <v>74</v>
      </c>
      <c r="BE713" t="s">
        <v>13345</v>
      </c>
      <c r="BF713" t="str">
        <f>HYPERLINK("http://dx.doi.org/10.1017/S0954102011000307","http://dx.doi.org/10.1017/S0954102011000307")</f>
        <v>http://dx.doi.org/10.1017/S0954102011000307</v>
      </c>
      <c r="BG713" t="s">
        <v>74</v>
      </c>
      <c r="BH713" t="s">
        <v>74</v>
      </c>
      <c r="BI713">
        <v>5</v>
      </c>
      <c r="BJ713" t="s">
        <v>7432</v>
      </c>
      <c r="BK713" t="s">
        <v>100</v>
      </c>
      <c r="BL713" t="s">
        <v>2855</v>
      </c>
      <c r="BM713" t="s">
        <v>13306</v>
      </c>
      <c r="BN713" t="s">
        <v>74</v>
      </c>
      <c r="BO713" t="s">
        <v>74</v>
      </c>
      <c r="BP713" t="s">
        <v>74</v>
      </c>
      <c r="BQ713" t="s">
        <v>74</v>
      </c>
      <c r="BR713" t="s">
        <v>102</v>
      </c>
      <c r="BS713" t="s">
        <v>13346</v>
      </c>
      <c r="BT713" t="str">
        <f>HYPERLINK("https%3A%2F%2Fwww.webofscience.com%2Fwos%2Fwoscc%2Ffull-record%2FWOS:000296911000006","View Full Record in Web of Science")</f>
        <v>View Full Record in Web of Science</v>
      </c>
    </row>
    <row r="714" spans="1:72" x14ac:dyDescent="0.15">
      <c r="A714" t="s">
        <v>72</v>
      </c>
      <c r="B714" t="s">
        <v>13347</v>
      </c>
      <c r="C714" t="s">
        <v>74</v>
      </c>
      <c r="D714" t="s">
        <v>74</v>
      </c>
      <c r="E714" t="s">
        <v>74</v>
      </c>
      <c r="F714" t="s">
        <v>13348</v>
      </c>
      <c r="G714" t="s">
        <v>74</v>
      </c>
      <c r="H714" t="s">
        <v>74</v>
      </c>
      <c r="I714" t="s">
        <v>13349</v>
      </c>
      <c r="J714" t="s">
        <v>7417</v>
      </c>
      <c r="K714" t="s">
        <v>74</v>
      </c>
      <c r="L714" t="s">
        <v>74</v>
      </c>
      <c r="M714" t="s">
        <v>78</v>
      </c>
      <c r="N714" t="s">
        <v>79</v>
      </c>
      <c r="O714" t="s">
        <v>74</v>
      </c>
      <c r="P714" t="s">
        <v>74</v>
      </c>
      <c r="Q714" t="s">
        <v>74</v>
      </c>
      <c r="R714" t="s">
        <v>74</v>
      </c>
      <c r="S714" t="s">
        <v>74</v>
      </c>
      <c r="T714" t="s">
        <v>13350</v>
      </c>
      <c r="U714" t="s">
        <v>13351</v>
      </c>
      <c r="V714" t="s">
        <v>13352</v>
      </c>
      <c r="W714" t="s">
        <v>13353</v>
      </c>
      <c r="X714" t="s">
        <v>13354</v>
      </c>
      <c r="Y714" t="s">
        <v>13355</v>
      </c>
      <c r="Z714" t="s">
        <v>4730</v>
      </c>
      <c r="AA714" t="s">
        <v>13356</v>
      </c>
      <c r="AB714" t="s">
        <v>13357</v>
      </c>
      <c r="AC714" t="s">
        <v>13358</v>
      </c>
      <c r="AD714" t="s">
        <v>13359</v>
      </c>
      <c r="AE714" t="s">
        <v>13360</v>
      </c>
      <c r="AF714" t="s">
        <v>74</v>
      </c>
      <c r="AG714">
        <v>46</v>
      </c>
      <c r="AH714">
        <v>34</v>
      </c>
      <c r="AI714">
        <v>35</v>
      </c>
      <c r="AJ714">
        <v>1</v>
      </c>
      <c r="AK714">
        <v>77</v>
      </c>
      <c r="AL714" t="s">
        <v>813</v>
      </c>
      <c r="AM714" t="s">
        <v>413</v>
      </c>
      <c r="AN714" t="s">
        <v>7426</v>
      </c>
      <c r="AO714" t="s">
        <v>7427</v>
      </c>
      <c r="AP714" t="s">
        <v>74</v>
      </c>
      <c r="AQ714" t="s">
        <v>74</v>
      </c>
      <c r="AR714" t="s">
        <v>7429</v>
      </c>
      <c r="AS714" t="s">
        <v>7430</v>
      </c>
      <c r="AT714" t="s">
        <v>12989</v>
      </c>
      <c r="AU714">
        <v>2011</v>
      </c>
      <c r="AV714">
        <v>23</v>
      </c>
      <c r="AW714">
        <v>5</v>
      </c>
      <c r="AX714" t="s">
        <v>74</v>
      </c>
      <c r="AY714" t="s">
        <v>74</v>
      </c>
      <c r="AZ714" t="s">
        <v>74</v>
      </c>
      <c r="BA714" t="s">
        <v>74</v>
      </c>
      <c r="BB714">
        <v>461</v>
      </c>
      <c r="BC714">
        <v>468</v>
      </c>
      <c r="BD714" t="s">
        <v>74</v>
      </c>
      <c r="BE714" t="s">
        <v>13361</v>
      </c>
      <c r="BF714" t="str">
        <f>HYPERLINK("http://dx.doi.org/10.1017/S0954102011000356","http://dx.doi.org/10.1017/S0954102011000356")</f>
        <v>http://dx.doi.org/10.1017/S0954102011000356</v>
      </c>
      <c r="BG714" t="s">
        <v>74</v>
      </c>
      <c r="BH714" t="s">
        <v>74</v>
      </c>
      <c r="BI714">
        <v>8</v>
      </c>
      <c r="BJ714" t="s">
        <v>7432</v>
      </c>
      <c r="BK714" t="s">
        <v>100</v>
      </c>
      <c r="BL714" t="s">
        <v>2855</v>
      </c>
      <c r="BM714" t="s">
        <v>13306</v>
      </c>
      <c r="BN714" t="s">
        <v>74</v>
      </c>
      <c r="BO714" t="s">
        <v>74</v>
      </c>
      <c r="BP714" t="s">
        <v>74</v>
      </c>
      <c r="BQ714" t="s">
        <v>74</v>
      </c>
      <c r="BR714" t="s">
        <v>102</v>
      </c>
      <c r="BS714" t="s">
        <v>13362</v>
      </c>
      <c r="BT714" t="str">
        <f>HYPERLINK("https%3A%2F%2Fwww.webofscience.com%2Fwos%2Fwoscc%2Ffull-record%2FWOS:000296911000007","View Full Record in Web of Science")</f>
        <v>View Full Record in Web of Science</v>
      </c>
    </row>
    <row r="715" spans="1:72" x14ac:dyDescent="0.15">
      <c r="A715" t="s">
        <v>72</v>
      </c>
      <c r="B715" t="s">
        <v>13363</v>
      </c>
      <c r="C715" t="s">
        <v>74</v>
      </c>
      <c r="D715" t="s">
        <v>74</v>
      </c>
      <c r="E715" t="s">
        <v>74</v>
      </c>
      <c r="F715" t="s">
        <v>13364</v>
      </c>
      <c r="G715" t="s">
        <v>74</v>
      </c>
      <c r="H715" t="s">
        <v>74</v>
      </c>
      <c r="I715" t="s">
        <v>13365</v>
      </c>
      <c r="J715" t="s">
        <v>7417</v>
      </c>
      <c r="K715" t="s">
        <v>74</v>
      </c>
      <c r="L715" t="s">
        <v>74</v>
      </c>
      <c r="M715" t="s">
        <v>78</v>
      </c>
      <c r="N715" t="s">
        <v>79</v>
      </c>
      <c r="O715" t="s">
        <v>74</v>
      </c>
      <c r="P715" t="s">
        <v>74</v>
      </c>
      <c r="Q715" t="s">
        <v>74</v>
      </c>
      <c r="R715" t="s">
        <v>74</v>
      </c>
      <c r="S715" t="s">
        <v>74</v>
      </c>
      <c r="T715" t="s">
        <v>74</v>
      </c>
      <c r="U715" t="s">
        <v>13366</v>
      </c>
      <c r="V715" t="s">
        <v>74</v>
      </c>
      <c r="W715" t="s">
        <v>13367</v>
      </c>
      <c r="X715" t="s">
        <v>13368</v>
      </c>
      <c r="Y715" t="s">
        <v>5944</v>
      </c>
      <c r="Z715" t="s">
        <v>1027</v>
      </c>
      <c r="AA715" t="s">
        <v>13369</v>
      </c>
      <c r="AB715" t="s">
        <v>13370</v>
      </c>
      <c r="AC715" t="s">
        <v>13371</v>
      </c>
      <c r="AD715" t="s">
        <v>10589</v>
      </c>
      <c r="AE715" t="s">
        <v>13372</v>
      </c>
      <c r="AF715" t="s">
        <v>74</v>
      </c>
      <c r="AG715">
        <v>13</v>
      </c>
      <c r="AH715">
        <v>5</v>
      </c>
      <c r="AI715">
        <v>7</v>
      </c>
      <c r="AJ715">
        <v>0</v>
      </c>
      <c r="AK715">
        <v>8</v>
      </c>
      <c r="AL715" t="s">
        <v>813</v>
      </c>
      <c r="AM715" t="s">
        <v>413</v>
      </c>
      <c r="AN715" t="s">
        <v>7426</v>
      </c>
      <c r="AO715" t="s">
        <v>7427</v>
      </c>
      <c r="AP715" t="s">
        <v>7428</v>
      </c>
      <c r="AQ715" t="s">
        <v>74</v>
      </c>
      <c r="AR715" t="s">
        <v>7429</v>
      </c>
      <c r="AS715" t="s">
        <v>7430</v>
      </c>
      <c r="AT715" t="s">
        <v>12989</v>
      </c>
      <c r="AU715">
        <v>2011</v>
      </c>
      <c r="AV715">
        <v>23</v>
      </c>
      <c r="AW715">
        <v>5</v>
      </c>
      <c r="AX715" t="s">
        <v>74</v>
      </c>
      <c r="AY715" t="s">
        <v>74</v>
      </c>
      <c r="AZ715" t="s">
        <v>74</v>
      </c>
      <c r="BA715" t="s">
        <v>74</v>
      </c>
      <c r="BB715">
        <v>469</v>
      </c>
      <c r="BC715">
        <v>470</v>
      </c>
      <c r="BD715" t="s">
        <v>74</v>
      </c>
      <c r="BE715" t="s">
        <v>13373</v>
      </c>
      <c r="BF715" t="str">
        <f>HYPERLINK("http://dx.doi.org/10.1017/S095410201100040X","http://dx.doi.org/10.1017/S095410201100040X")</f>
        <v>http://dx.doi.org/10.1017/S095410201100040X</v>
      </c>
      <c r="BG715" t="s">
        <v>74</v>
      </c>
      <c r="BH715" t="s">
        <v>74</v>
      </c>
      <c r="BI715">
        <v>2</v>
      </c>
      <c r="BJ715" t="s">
        <v>7432</v>
      </c>
      <c r="BK715" t="s">
        <v>100</v>
      </c>
      <c r="BL715" t="s">
        <v>2855</v>
      </c>
      <c r="BM715" t="s">
        <v>13306</v>
      </c>
      <c r="BN715" t="s">
        <v>74</v>
      </c>
      <c r="BO715" t="s">
        <v>74</v>
      </c>
      <c r="BP715" t="s">
        <v>74</v>
      </c>
      <c r="BQ715" t="s">
        <v>74</v>
      </c>
      <c r="BR715" t="s">
        <v>102</v>
      </c>
      <c r="BS715" t="s">
        <v>13374</v>
      </c>
      <c r="BT715" t="str">
        <f>HYPERLINK("https%3A%2F%2Fwww.webofscience.com%2Fwos%2Fwoscc%2Ffull-record%2FWOS:000296911000008","View Full Record in Web of Science")</f>
        <v>View Full Record in Web of Science</v>
      </c>
    </row>
    <row r="716" spans="1:72" x14ac:dyDescent="0.15">
      <c r="A716" t="s">
        <v>72</v>
      </c>
      <c r="B716" t="s">
        <v>13375</v>
      </c>
      <c r="C716" t="s">
        <v>74</v>
      </c>
      <c r="D716" t="s">
        <v>74</v>
      </c>
      <c r="E716" t="s">
        <v>74</v>
      </c>
      <c r="F716" t="s">
        <v>13376</v>
      </c>
      <c r="G716" t="s">
        <v>74</v>
      </c>
      <c r="H716" t="s">
        <v>74</v>
      </c>
      <c r="I716" t="s">
        <v>13377</v>
      </c>
      <c r="J716" t="s">
        <v>13378</v>
      </c>
      <c r="K716" t="s">
        <v>74</v>
      </c>
      <c r="L716" t="s">
        <v>74</v>
      </c>
      <c r="M716" t="s">
        <v>78</v>
      </c>
      <c r="N716" t="s">
        <v>79</v>
      </c>
      <c r="O716" t="s">
        <v>74</v>
      </c>
      <c r="P716" t="s">
        <v>74</v>
      </c>
      <c r="Q716" t="s">
        <v>74</v>
      </c>
      <c r="R716" t="s">
        <v>74</v>
      </c>
      <c r="S716" t="s">
        <v>74</v>
      </c>
      <c r="T716" t="s">
        <v>13379</v>
      </c>
      <c r="U716" t="s">
        <v>13380</v>
      </c>
      <c r="V716" t="s">
        <v>13381</v>
      </c>
      <c r="W716" t="s">
        <v>13382</v>
      </c>
      <c r="X716" t="s">
        <v>13383</v>
      </c>
      <c r="Y716" t="s">
        <v>13384</v>
      </c>
      <c r="Z716" t="s">
        <v>13385</v>
      </c>
      <c r="AA716" t="s">
        <v>13386</v>
      </c>
      <c r="AB716" t="s">
        <v>13387</v>
      </c>
      <c r="AC716" t="s">
        <v>74</v>
      </c>
      <c r="AD716" t="s">
        <v>74</v>
      </c>
      <c r="AE716" t="s">
        <v>74</v>
      </c>
      <c r="AF716" t="s">
        <v>74</v>
      </c>
      <c r="AG716">
        <v>22</v>
      </c>
      <c r="AH716">
        <v>0</v>
      </c>
      <c r="AI716">
        <v>0</v>
      </c>
      <c r="AJ716">
        <v>0</v>
      </c>
      <c r="AK716">
        <v>1</v>
      </c>
      <c r="AL716" t="s">
        <v>13388</v>
      </c>
      <c r="AM716" t="s">
        <v>7259</v>
      </c>
      <c r="AN716" t="s">
        <v>13389</v>
      </c>
      <c r="AO716" t="s">
        <v>13390</v>
      </c>
      <c r="AP716" t="s">
        <v>74</v>
      </c>
      <c r="AQ716" t="s">
        <v>74</v>
      </c>
      <c r="AR716" t="s">
        <v>13378</v>
      </c>
      <c r="AS716" t="s">
        <v>13391</v>
      </c>
      <c r="AT716" t="s">
        <v>12989</v>
      </c>
      <c r="AU716">
        <v>2011</v>
      </c>
      <c r="AV716">
        <v>62</v>
      </c>
      <c r="AW716">
        <v>4</v>
      </c>
      <c r="AX716" t="s">
        <v>74</v>
      </c>
      <c r="AY716" t="s">
        <v>74</v>
      </c>
      <c r="AZ716" t="s">
        <v>339</v>
      </c>
      <c r="BA716" t="s">
        <v>74</v>
      </c>
      <c r="BB716">
        <v>547</v>
      </c>
      <c r="BC716">
        <v>556</v>
      </c>
      <c r="BD716" t="s">
        <v>74</v>
      </c>
      <c r="BE716" t="s">
        <v>74</v>
      </c>
      <c r="BF716" t="s">
        <v>74</v>
      </c>
      <c r="BG716" t="s">
        <v>74</v>
      </c>
      <c r="BH716" t="s">
        <v>74</v>
      </c>
      <c r="BI716">
        <v>10</v>
      </c>
      <c r="BJ716" t="s">
        <v>463</v>
      </c>
      <c r="BK716" t="s">
        <v>100</v>
      </c>
      <c r="BL716" t="s">
        <v>463</v>
      </c>
      <c r="BM716" t="s">
        <v>13392</v>
      </c>
      <c r="BN716" t="s">
        <v>74</v>
      </c>
      <c r="BO716" t="s">
        <v>74</v>
      </c>
      <c r="BP716" t="s">
        <v>74</v>
      </c>
      <c r="BQ716" t="s">
        <v>74</v>
      </c>
      <c r="BR716" t="s">
        <v>102</v>
      </c>
      <c r="BS716" t="s">
        <v>13393</v>
      </c>
      <c r="BT716" t="str">
        <f>HYPERLINK("https%3A%2F%2Fwww.webofscience.com%2Fwos%2Fwoscc%2Ffull-record%2FWOS:000296935900005","View Full Record in Web of Science")</f>
        <v>View Full Record in Web of Science</v>
      </c>
    </row>
    <row r="717" spans="1:72" x14ac:dyDescent="0.15">
      <c r="A717" t="s">
        <v>72</v>
      </c>
      <c r="B717" t="s">
        <v>13394</v>
      </c>
      <c r="C717" t="s">
        <v>74</v>
      </c>
      <c r="D717" t="s">
        <v>74</v>
      </c>
      <c r="E717" t="s">
        <v>74</v>
      </c>
      <c r="F717" t="s">
        <v>13395</v>
      </c>
      <c r="G717" t="s">
        <v>74</v>
      </c>
      <c r="H717" t="s">
        <v>74</v>
      </c>
      <c r="I717" t="s">
        <v>13396</v>
      </c>
      <c r="J717" t="s">
        <v>13378</v>
      </c>
      <c r="K717" t="s">
        <v>74</v>
      </c>
      <c r="L717" t="s">
        <v>74</v>
      </c>
      <c r="M717" t="s">
        <v>78</v>
      </c>
      <c r="N717" t="s">
        <v>79</v>
      </c>
      <c r="O717" t="s">
        <v>74</v>
      </c>
      <c r="P717" t="s">
        <v>74</v>
      </c>
      <c r="Q717" t="s">
        <v>74</v>
      </c>
      <c r="R717" t="s">
        <v>74</v>
      </c>
      <c r="S717" t="s">
        <v>74</v>
      </c>
      <c r="T717" t="s">
        <v>13397</v>
      </c>
      <c r="U717" t="s">
        <v>13398</v>
      </c>
      <c r="V717" t="s">
        <v>13399</v>
      </c>
      <c r="W717" t="s">
        <v>13400</v>
      </c>
      <c r="X717" t="s">
        <v>13401</v>
      </c>
      <c r="Y717" t="s">
        <v>13402</v>
      </c>
      <c r="Z717" t="s">
        <v>13403</v>
      </c>
      <c r="AA717" t="s">
        <v>74</v>
      </c>
      <c r="AB717" t="s">
        <v>13404</v>
      </c>
      <c r="AC717" t="s">
        <v>74</v>
      </c>
      <c r="AD717" t="s">
        <v>74</v>
      </c>
      <c r="AE717" t="s">
        <v>74</v>
      </c>
      <c r="AF717" t="s">
        <v>74</v>
      </c>
      <c r="AG717">
        <v>17</v>
      </c>
      <c r="AH717">
        <v>3</v>
      </c>
      <c r="AI717">
        <v>3</v>
      </c>
      <c r="AJ717">
        <v>0</v>
      </c>
      <c r="AK717">
        <v>7</v>
      </c>
      <c r="AL717" t="s">
        <v>13388</v>
      </c>
      <c r="AM717" t="s">
        <v>7259</v>
      </c>
      <c r="AN717" t="s">
        <v>13389</v>
      </c>
      <c r="AO717" t="s">
        <v>13390</v>
      </c>
      <c r="AP717" t="s">
        <v>74</v>
      </c>
      <c r="AQ717" t="s">
        <v>74</v>
      </c>
      <c r="AR717" t="s">
        <v>13378</v>
      </c>
      <c r="AS717" t="s">
        <v>13391</v>
      </c>
      <c r="AT717" t="s">
        <v>12989</v>
      </c>
      <c r="AU717">
        <v>2011</v>
      </c>
      <c r="AV717">
        <v>62</v>
      </c>
      <c r="AW717">
        <v>4</v>
      </c>
      <c r="AX717" t="s">
        <v>74</v>
      </c>
      <c r="AY717" t="s">
        <v>74</v>
      </c>
      <c r="AZ717" t="s">
        <v>339</v>
      </c>
      <c r="BA717" t="s">
        <v>74</v>
      </c>
      <c r="BB717">
        <v>557</v>
      </c>
      <c r="BC717">
        <v>566</v>
      </c>
      <c r="BD717" t="s">
        <v>74</v>
      </c>
      <c r="BE717" t="s">
        <v>74</v>
      </c>
      <c r="BF717" t="s">
        <v>74</v>
      </c>
      <c r="BG717" t="s">
        <v>74</v>
      </c>
      <c r="BH717" t="s">
        <v>74</v>
      </c>
      <c r="BI717">
        <v>10</v>
      </c>
      <c r="BJ717" t="s">
        <v>463</v>
      </c>
      <c r="BK717" t="s">
        <v>100</v>
      </c>
      <c r="BL717" t="s">
        <v>463</v>
      </c>
      <c r="BM717" t="s">
        <v>13392</v>
      </c>
      <c r="BN717" t="s">
        <v>74</v>
      </c>
      <c r="BO717" t="s">
        <v>74</v>
      </c>
      <c r="BP717" t="s">
        <v>74</v>
      </c>
      <c r="BQ717" t="s">
        <v>74</v>
      </c>
      <c r="BR717" t="s">
        <v>102</v>
      </c>
      <c r="BS717" t="s">
        <v>13405</v>
      </c>
      <c r="BT717" t="str">
        <f>HYPERLINK("https%3A%2F%2Fwww.webofscience.com%2Fwos%2Fwoscc%2Ffull-record%2FWOS:000296935900006","View Full Record in Web of Science")</f>
        <v>View Full Record in Web of Science</v>
      </c>
    </row>
    <row r="718" spans="1:72" x14ac:dyDescent="0.15">
      <c r="A718" t="s">
        <v>72</v>
      </c>
      <c r="B718" t="s">
        <v>13406</v>
      </c>
      <c r="C718" t="s">
        <v>74</v>
      </c>
      <c r="D718" t="s">
        <v>74</v>
      </c>
      <c r="E718" t="s">
        <v>74</v>
      </c>
      <c r="F718" t="s">
        <v>13407</v>
      </c>
      <c r="G718" t="s">
        <v>74</v>
      </c>
      <c r="H718" t="s">
        <v>74</v>
      </c>
      <c r="I718" t="s">
        <v>13408</v>
      </c>
      <c r="J718" t="s">
        <v>13378</v>
      </c>
      <c r="K718" t="s">
        <v>74</v>
      </c>
      <c r="L718" t="s">
        <v>74</v>
      </c>
      <c r="M718" t="s">
        <v>78</v>
      </c>
      <c r="N718" t="s">
        <v>79</v>
      </c>
      <c r="O718" t="s">
        <v>74</v>
      </c>
      <c r="P718" t="s">
        <v>74</v>
      </c>
      <c r="Q718" t="s">
        <v>74</v>
      </c>
      <c r="R718" t="s">
        <v>74</v>
      </c>
      <c r="S718" t="s">
        <v>74</v>
      </c>
      <c r="T718" t="s">
        <v>13409</v>
      </c>
      <c r="U718" t="s">
        <v>13410</v>
      </c>
      <c r="V718" t="s">
        <v>13411</v>
      </c>
      <c r="W718" t="s">
        <v>13412</v>
      </c>
      <c r="X718" t="s">
        <v>13413</v>
      </c>
      <c r="Y718" t="s">
        <v>13414</v>
      </c>
      <c r="Z718" t="s">
        <v>13415</v>
      </c>
      <c r="AA718" t="s">
        <v>13416</v>
      </c>
      <c r="AB718" t="s">
        <v>74</v>
      </c>
      <c r="AC718" t="s">
        <v>13417</v>
      </c>
      <c r="AD718" t="s">
        <v>13418</v>
      </c>
      <c r="AE718" t="s">
        <v>13419</v>
      </c>
      <c r="AF718" t="s">
        <v>74</v>
      </c>
      <c r="AG718">
        <v>18</v>
      </c>
      <c r="AH718">
        <v>0</v>
      </c>
      <c r="AI718">
        <v>0</v>
      </c>
      <c r="AJ718">
        <v>0</v>
      </c>
      <c r="AK718">
        <v>4</v>
      </c>
      <c r="AL718" t="s">
        <v>13388</v>
      </c>
      <c r="AM718" t="s">
        <v>7259</v>
      </c>
      <c r="AN718" t="s">
        <v>13389</v>
      </c>
      <c r="AO718" t="s">
        <v>13390</v>
      </c>
      <c r="AP718" t="s">
        <v>74</v>
      </c>
      <c r="AQ718" t="s">
        <v>74</v>
      </c>
      <c r="AR718" t="s">
        <v>13378</v>
      </c>
      <c r="AS718" t="s">
        <v>13391</v>
      </c>
      <c r="AT718" t="s">
        <v>12989</v>
      </c>
      <c r="AU718">
        <v>2011</v>
      </c>
      <c r="AV718">
        <v>62</v>
      </c>
      <c r="AW718">
        <v>4</v>
      </c>
      <c r="AX718" t="s">
        <v>74</v>
      </c>
      <c r="AY718" t="s">
        <v>74</v>
      </c>
      <c r="AZ718" t="s">
        <v>339</v>
      </c>
      <c r="BA718" t="s">
        <v>74</v>
      </c>
      <c r="BB718">
        <v>585</v>
      </c>
      <c r="BC718">
        <v>594</v>
      </c>
      <c r="BD718" t="s">
        <v>74</v>
      </c>
      <c r="BE718" t="s">
        <v>74</v>
      </c>
      <c r="BF718" t="s">
        <v>74</v>
      </c>
      <c r="BG718" t="s">
        <v>74</v>
      </c>
      <c r="BH718" t="s">
        <v>74</v>
      </c>
      <c r="BI718">
        <v>10</v>
      </c>
      <c r="BJ718" t="s">
        <v>463</v>
      </c>
      <c r="BK718" t="s">
        <v>100</v>
      </c>
      <c r="BL718" t="s">
        <v>463</v>
      </c>
      <c r="BM718" t="s">
        <v>13392</v>
      </c>
      <c r="BN718" t="s">
        <v>74</v>
      </c>
      <c r="BO718" t="s">
        <v>74</v>
      </c>
      <c r="BP718" t="s">
        <v>74</v>
      </c>
      <c r="BQ718" t="s">
        <v>74</v>
      </c>
      <c r="BR718" t="s">
        <v>102</v>
      </c>
      <c r="BS718" t="s">
        <v>13420</v>
      </c>
      <c r="BT718" t="str">
        <f>HYPERLINK("https%3A%2F%2Fwww.webofscience.com%2Fwos%2Fwoscc%2Ffull-record%2FWOS:000296935900009","View Full Record in Web of Science")</f>
        <v>View Full Record in Web of Science</v>
      </c>
    </row>
    <row r="719" spans="1:72" x14ac:dyDescent="0.15">
      <c r="A719" t="s">
        <v>72</v>
      </c>
      <c r="B719" t="s">
        <v>13421</v>
      </c>
      <c r="C719" t="s">
        <v>74</v>
      </c>
      <c r="D719" t="s">
        <v>74</v>
      </c>
      <c r="E719" t="s">
        <v>74</v>
      </c>
      <c r="F719" t="s">
        <v>13422</v>
      </c>
      <c r="G719" t="s">
        <v>74</v>
      </c>
      <c r="H719" t="s">
        <v>74</v>
      </c>
      <c r="I719" t="s">
        <v>13423</v>
      </c>
      <c r="J719" t="s">
        <v>13378</v>
      </c>
      <c r="K719" t="s">
        <v>74</v>
      </c>
      <c r="L719" t="s">
        <v>74</v>
      </c>
      <c r="M719" t="s">
        <v>78</v>
      </c>
      <c r="N719" t="s">
        <v>79</v>
      </c>
      <c r="O719" t="s">
        <v>74</v>
      </c>
      <c r="P719" t="s">
        <v>74</v>
      </c>
      <c r="Q719" t="s">
        <v>74</v>
      </c>
      <c r="R719" t="s">
        <v>74</v>
      </c>
      <c r="S719" t="s">
        <v>74</v>
      </c>
      <c r="T719" t="s">
        <v>13424</v>
      </c>
      <c r="U719" t="s">
        <v>13425</v>
      </c>
      <c r="V719" t="s">
        <v>13426</v>
      </c>
      <c r="W719" t="s">
        <v>13427</v>
      </c>
      <c r="X719" t="s">
        <v>13428</v>
      </c>
      <c r="Y719" t="s">
        <v>13429</v>
      </c>
      <c r="Z719" t="s">
        <v>13430</v>
      </c>
      <c r="AA719" t="s">
        <v>74</v>
      </c>
      <c r="AB719" t="s">
        <v>74</v>
      </c>
      <c r="AC719" t="s">
        <v>13431</v>
      </c>
      <c r="AD719" t="s">
        <v>13432</v>
      </c>
      <c r="AE719" t="s">
        <v>13433</v>
      </c>
      <c r="AF719" t="s">
        <v>74</v>
      </c>
      <c r="AG719">
        <v>9</v>
      </c>
      <c r="AH719">
        <v>1</v>
      </c>
      <c r="AI719">
        <v>2</v>
      </c>
      <c r="AJ719">
        <v>0</v>
      </c>
      <c r="AK719">
        <v>9</v>
      </c>
      <c r="AL719" t="s">
        <v>13388</v>
      </c>
      <c r="AM719" t="s">
        <v>7259</v>
      </c>
      <c r="AN719" t="s">
        <v>13389</v>
      </c>
      <c r="AO719" t="s">
        <v>13390</v>
      </c>
      <c r="AP719" t="s">
        <v>74</v>
      </c>
      <c r="AQ719" t="s">
        <v>74</v>
      </c>
      <c r="AR719" t="s">
        <v>13378</v>
      </c>
      <c r="AS719" t="s">
        <v>13391</v>
      </c>
      <c r="AT719" t="s">
        <v>12989</v>
      </c>
      <c r="AU719">
        <v>2011</v>
      </c>
      <c r="AV719">
        <v>62</v>
      </c>
      <c r="AW719">
        <v>4</v>
      </c>
      <c r="AX719" t="s">
        <v>74</v>
      </c>
      <c r="AY719" t="s">
        <v>74</v>
      </c>
      <c r="AZ719" t="s">
        <v>339</v>
      </c>
      <c r="BA719" t="s">
        <v>74</v>
      </c>
      <c r="BB719">
        <v>601</v>
      </c>
      <c r="BC719">
        <v>608</v>
      </c>
      <c r="BD719" t="s">
        <v>74</v>
      </c>
      <c r="BE719" t="s">
        <v>74</v>
      </c>
      <c r="BF719" t="s">
        <v>74</v>
      </c>
      <c r="BG719" t="s">
        <v>74</v>
      </c>
      <c r="BH719" t="s">
        <v>74</v>
      </c>
      <c r="BI719">
        <v>8</v>
      </c>
      <c r="BJ719" t="s">
        <v>463</v>
      </c>
      <c r="BK719" t="s">
        <v>100</v>
      </c>
      <c r="BL719" t="s">
        <v>463</v>
      </c>
      <c r="BM719" t="s">
        <v>13392</v>
      </c>
      <c r="BN719" t="s">
        <v>74</v>
      </c>
      <c r="BO719" t="s">
        <v>74</v>
      </c>
      <c r="BP719" t="s">
        <v>74</v>
      </c>
      <c r="BQ719" t="s">
        <v>74</v>
      </c>
      <c r="BR719" t="s">
        <v>102</v>
      </c>
      <c r="BS719" t="s">
        <v>13434</v>
      </c>
      <c r="BT719" t="str">
        <f>HYPERLINK("https%3A%2F%2Fwww.webofscience.com%2Fwos%2Fwoscc%2Ffull-record%2FWOS:000296935900011","View Full Record in Web of Science")</f>
        <v>View Full Record in Web of Science</v>
      </c>
    </row>
    <row r="720" spans="1:72" x14ac:dyDescent="0.15">
      <c r="A720" t="s">
        <v>72</v>
      </c>
      <c r="B720" t="s">
        <v>13435</v>
      </c>
      <c r="C720" t="s">
        <v>74</v>
      </c>
      <c r="D720" t="s">
        <v>74</v>
      </c>
      <c r="E720" t="s">
        <v>74</v>
      </c>
      <c r="F720" t="s">
        <v>13436</v>
      </c>
      <c r="G720" t="s">
        <v>74</v>
      </c>
      <c r="H720" t="s">
        <v>74</v>
      </c>
      <c r="I720" t="s">
        <v>13437</v>
      </c>
      <c r="J720" t="s">
        <v>13378</v>
      </c>
      <c r="K720" t="s">
        <v>74</v>
      </c>
      <c r="L720" t="s">
        <v>74</v>
      </c>
      <c r="M720" t="s">
        <v>78</v>
      </c>
      <c r="N720" t="s">
        <v>79</v>
      </c>
      <c r="O720" t="s">
        <v>74</v>
      </c>
      <c r="P720" t="s">
        <v>74</v>
      </c>
      <c r="Q720" t="s">
        <v>74</v>
      </c>
      <c r="R720" t="s">
        <v>74</v>
      </c>
      <c r="S720" t="s">
        <v>74</v>
      </c>
      <c r="T720" t="s">
        <v>13438</v>
      </c>
      <c r="U720" t="s">
        <v>13439</v>
      </c>
      <c r="V720" t="s">
        <v>13440</v>
      </c>
      <c r="W720" t="s">
        <v>13441</v>
      </c>
      <c r="X720" t="s">
        <v>13413</v>
      </c>
      <c r="Y720" t="s">
        <v>13442</v>
      </c>
      <c r="Z720" t="s">
        <v>13443</v>
      </c>
      <c r="AA720" t="s">
        <v>74</v>
      </c>
      <c r="AB720" t="s">
        <v>74</v>
      </c>
      <c r="AC720" t="s">
        <v>74</v>
      </c>
      <c r="AD720" t="s">
        <v>74</v>
      </c>
      <c r="AE720" t="s">
        <v>74</v>
      </c>
      <c r="AF720" t="s">
        <v>74</v>
      </c>
      <c r="AG720">
        <v>27</v>
      </c>
      <c r="AH720">
        <v>1</v>
      </c>
      <c r="AI720">
        <v>1</v>
      </c>
      <c r="AJ720">
        <v>0</v>
      </c>
      <c r="AK720">
        <v>10</v>
      </c>
      <c r="AL720" t="s">
        <v>13388</v>
      </c>
      <c r="AM720" t="s">
        <v>7259</v>
      </c>
      <c r="AN720" t="s">
        <v>13389</v>
      </c>
      <c r="AO720" t="s">
        <v>13390</v>
      </c>
      <c r="AP720" t="s">
        <v>74</v>
      </c>
      <c r="AQ720" t="s">
        <v>74</v>
      </c>
      <c r="AR720" t="s">
        <v>13378</v>
      </c>
      <c r="AS720" t="s">
        <v>13391</v>
      </c>
      <c r="AT720" t="s">
        <v>12989</v>
      </c>
      <c r="AU720">
        <v>2011</v>
      </c>
      <c r="AV720">
        <v>62</v>
      </c>
      <c r="AW720">
        <v>4</v>
      </c>
      <c r="AX720" t="s">
        <v>74</v>
      </c>
      <c r="AY720" t="s">
        <v>74</v>
      </c>
      <c r="AZ720" t="s">
        <v>339</v>
      </c>
      <c r="BA720" t="s">
        <v>74</v>
      </c>
      <c r="BB720">
        <v>609</v>
      </c>
      <c r="BC720">
        <v>616</v>
      </c>
      <c r="BD720" t="s">
        <v>74</v>
      </c>
      <c r="BE720" t="s">
        <v>74</v>
      </c>
      <c r="BF720" t="s">
        <v>74</v>
      </c>
      <c r="BG720" t="s">
        <v>74</v>
      </c>
      <c r="BH720" t="s">
        <v>74</v>
      </c>
      <c r="BI720">
        <v>8</v>
      </c>
      <c r="BJ720" t="s">
        <v>463</v>
      </c>
      <c r="BK720" t="s">
        <v>100</v>
      </c>
      <c r="BL720" t="s">
        <v>463</v>
      </c>
      <c r="BM720" t="s">
        <v>13392</v>
      </c>
      <c r="BN720" t="s">
        <v>74</v>
      </c>
      <c r="BO720" t="s">
        <v>74</v>
      </c>
      <c r="BP720" t="s">
        <v>74</v>
      </c>
      <c r="BQ720" t="s">
        <v>74</v>
      </c>
      <c r="BR720" t="s">
        <v>102</v>
      </c>
      <c r="BS720" t="s">
        <v>13444</v>
      </c>
      <c r="BT720" t="str">
        <f>HYPERLINK("https%3A%2F%2Fwww.webofscience.com%2Fwos%2Fwoscc%2Ffull-record%2FWOS:000296935900012","View Full Record in Web of Science")</f>
        <v>View Full Record in Web of Science</v>
      </c>
    </row>
    <row r="721" spans="1:72" x14ac:dyDescent="0.15">
      <c r="A721" t="s">
        <v>72</v>
      </c>
      <c r="B721" t="s">
        <v>13445</v>
      </c>
      <c r="C721" t="s">
        <v>74</v>
      </c>
      <c r="D721" t="s">
        <v>74</v>
      </c>
      <c r="E721" t="s">
        <v>74</v>
      </c>
      <c r="F721" t="s">
        <v>13446</v>
      </c>
      <c r="G721" t="s">
        <v>74</v>
      </c>
      <c r="H721" t="s">
        <v>74</v>
      </c>
      <c r="I721" t="s">
        <v>13447</v>
      </c>
      <c r="J721" t="s">
        <v>13378</v>
      </c>
      <c r="K721" t="s">
        <v>74</v>
      </c>
      <c r="L721" t="s">
        <v>74</v>
      </c>
      <c r="M721" t="s">
        <v>78</v>
      </c>
      <c r="N721" t="s">
        <v>79</v>
      </c>
      <c r="O721" t="s">
        <v>74</v>
      </c>
      <c r="P721" t="s">
        <v>74</v>
      </c>
      <c r="Q721" t="s">
        <v>74</v>
      </c>
      <c r="R721" t="s">
        <v>74</v>
      </c>
      <c r="S721" t="s">
        <v>74</v>
      </c>
      <c r="T721" t="s">
        <v>13448</v>
      </c>
      <c r="U721" t="s">
        <v>74</v>
      </c>
      <c r="V721" t="s">
        <v>13449</v>
      </c>
      <c r="W721" t="s">
        <v>13450</v>
      </c>
      <c r="X721" t="s">
        <v>13383</v>
      </c>
      <c r="Y721" t="s">
        <v>13451</v>
      </c>
      <c r="Z721" t="s">
        <v>13452</v>
      </c>
      <c r="AA721" t="s">
        <v>74</v>
      </c>
      <c r="AB721" t="s">
        <v>74</v>
      </c>
      <c r="AC721" t="s">
        <v>74</v>
      </c>
      <c r="AD721" t="s">
        <v>74</v>
      </c>
      <c r="AE721" t="s">
        <v>74</v>
      </c>
      <c r="AF721" t="s">
        <v>74</v>
      </c>
      <c r="AG721">
        <v>3</v>
      </c>
      <c r="AH721">
        <v>0</v>
      </c>
      <c r="AI721">
        <v>0</v>
      </c>
      <c r="AJ721">
        <v>0</v>
      </c>
      <c r="AK721">
        <v>1</v>
      </c>
      <c r="AL721" t="s">
        <v>13388</v>
      </c>
      <c r="AM721" t="s">
        <v>7259</v>
      </c>
      <c r="AN721" t="s">
        <v>13389</v>
      </c>
      <c r="AO721" t="s">
        <v>13390</v>
      </c>
      <c r="AP721" t="s">
        <v>74</v>
      </c>
      <c r="AQ721" t="s">
        <v>74</v>
      </c>
      <c r="AR721" t="s">
        <v>13378</v>
      </c>
      <c r="AS721" t="s">
        <v>13391</v>
      </c>
      <c r="AT721" t="s">
        <v>12989</v>
      </c>
      <c r="AU721">
        <v>2011</v>
      </c>
      <c r="AV721">
        <v>62</v>
      </c>
      <c r="AW721">
        <v>4</v>
      </c>
      <c r="AX721" t="s">
        <v>74</v>
      </c>
      <c r="AY721" t="s">
        <v>74</v>
      </c>
      <c r="AZ721" t="s">
        <v>339</v>
      </c>
      <c r="BA721" t="s">
        <v>74</v>
      </c>
      <c r="BB721">
        <v>617</v>
      </c>
      <c r="BC721">
        <v>626</v>
      </c>
      <c r="BD721" t="s">
        <v>74</v>
      </c>
      <c r="BE721" t="s">
        <v>74</v>
      </c>
      <c r="BF721" t="s">
        <v>74</v>
      </c>
      <c r="BG721" t="s">
        <v>74</v>
      </c>
      <c r="BH721" t="s">
        <v>74</v>
      </c>
      <c r="BI721">
        <v>10</v>
      </c>
      <c r="BJ721" t="s">
        <v>463</v>
      </c>
      <c r="BK721" t="s">
        <v>100</v>
      </c>
      <c r="BL721" t="s">
        <v>463</v>
      </c>
      <c r="BM721" t="s">
        <v>13392</v>
      </c>
      <c r="BN721" t="s">
        <v>74</v>
      </c>
      <c r="BO721" t="s">
        <v>74</v>
      </c>
      <c r="BP721" t="s">
        <v>74</v>
      </c>
      <c r="BQ721" t="s">
        <v>74</v>
      </c>
      <c r="BR721" t="s">
        <v>102</v>
      </c>
      <c r="BS721" t="s">
        <v>13453</v>
      </c>
      <c r="BT721" t="str">
        <f>HYPERLINK("https%3A%2F%2Fwww.webofscience.com%2Fwos%2Fwoscc%2Ffull-record%2FWOS:000296935900013","View Full Record in Web of Science")</f>
        <v>View Full Record in Web of Science</v>
      </c>
    </row>
    <row r="722" spans="1:72" x14ac:dyDescent="0.15">
      <c r="A722" t="s">
        <v>72</v>
      </c>
      <c r="B722" t="s">
        <v>13454</v>
      </c>
      <c r="C722" t="s">
        <v>74</v>
      </c>
      <c r="D722" t="s">
        <v>74</v>
      </c>
      <c r="E722" t="s">
        <v>74</v>
      </c>
      <c r="F722" t="s">
        <v>13455</v>
      </c>
      <c r="G722" t="s">
        <v>74</v>
      </c>
      <c r="H722" t="s">
        <v>74</v>
      </c>
      <c r="I722" t="s">
        <v>13456</v>
      </c>
      <c r="J722" t="s">
        <v>13378</v>
      </c>
      <c r="K722" t="s">
        <v>74</v>
      </c>
      <c r="L722" t="s">
        <v>74</v>
      </c>
      <c r="M722" t="s">
        <v>78</v>
      </c>
      <c r="N722" t="s">
        <v>79</v>
      </c>
      <c r="O722" t="s">
        <v>74</v>
      </c>
      <c r="P722" t="s">
        <v>74</v>
      </c>
      <c r="Q722" t="s">
        <v>74</v>
      </c>
      <c r="R722" t="s">
        <v>74</v>
      </c>
      <c r="S722" t="s">
        <v>74</v>
      </c>
      <c r="T722" t="s">
        <v>13457</v>
      </c>
      <c r="U722" t="s">
        <v>13458</v>
      </c>
      <c r="V722" t="s">
        <v>13459</v>
      </c>
      <c r="W722" t="s">
        <v>13460</v>
      </c>
      <c r="X722" t="s">
        <v>13461</v>
      </c>
      <c r="Y722" t="s">
        <v>13462</v>
      </c>
      <c r="Z722" t="s">
        <v>13463</v>
      </c>
      <c r="AA722" t="s">
        <v>74</v>
      </c>
      <c r="AB722" t="s">
        <v>74</v>
      </c>
      <c r="AC722" t="s">
        <v>74</v>
      </c>
      <c r="AD722" t="s">
        <v>74</v>
      </c>
      <c r="AE722" t="s">
        <v>74</v>
      </c>
      <c r="AF722" t="s">
        <v>74</v>
      </c>
      <c r="AG722">
        <v>11</v>
      </c>
      <c r="AH722">
        <v>0</v>
      </c>
      <c r="AI722">
        <v>0</v>
      </c>
      <c r="AJ722">
        <v>0</v>
      </c>
      <c r="AK722">
        <v>13</v>
      </c>
      <c r="AL722" t="s">
        <v>13388</v>
      </c>
      <c r="AM722" t="s">
        <v>7259</v>
      </c>
      <c r="AN722" t="s">
        <v>13389</v>
      </c>
      <c r="AO722" t="s">
        <v>13390</v>
      </c>
      <c r="AP722" t="s">
        <v>74</v>
      </c>
      <c r="AQ722" t="s">
        <v>74</v>
      </c>
      <c r="AR722" t="s">
        <v>13378</v>
      </c>
      <c r="AS722" t="s">
        <v>13391</v>
      </c>
      <c r="AT722" t="s">
        <v>12989</v>
      </c>
      <c r="AU722">
        <v>2011</v>
      </c>
      <c r="AV722">
        <v>62</v>
      </c>
      <c r="AW722">
        <v>4</v>
      </c>
      <c r="AX722" t="s">
        <v>74</v>
      </c>
      <c r="AY722" t="s">
        <v>74</v>
      </c>
      <c r="AZ722" t="s">
        <v>339</v>
      </c>
      <c r="BA722" t="s">
        <v>74</v>
      </c>
      <c r="BB722">
        <v>627</v>
      </c>
      <c r="BC722">
        <v>632</v>
      </c>
      <c r="BD722" t="s">
        <v>74</v>
      </c>
      <c r="BE722" t="s">
        <v>74</v>
      </c>
      <c r="BF722" t="s">
        <v>74</v>
      </c>
      <c r="BG722" t="s">
        <v>74</v>
      </c>
      <c r="BH722" t="s">
        <v>74</v>
      </c>
      <c r="BI722">
        <v>6</v>
      </c>
      <c r="BJ722" t="s">
        <v>463</v>
      </c>
      <c r="BK722" t="s">
        <v>100</v>
      </c>
      <c r="BL722" t="s">
        <v>463</v>
      </c>
      <c r="BM722" t="s">
        <v>13392</v>
      </c>
      <c r="BN722" t="s">
        <v>74</v>
      </c>
      <c r="BO722" t="s">
        <v>74</v>
      </c>
      <c r="BP722" t="s">
        <v>74</v>
      </c>
      <c r="BQ722" t="s">
        <v>74</v>
      </c>
      <c r="BR722" t="s">
        <v>102</v>
      </c>
      <c r="BS722" t="s">
        <v>13464</v>
      </c>
      <c r="BT722" t="str">
        <f>HYPERLINK("https%3A%2F%2Fwww.webofscience.com%2Fwos%2Fwoscc%2Ffull-record%2FWOS:000296935900014","View Full Record in Web of Science")</f>
        <v>View Full Record in Web of Science</v>
      </c>
    </row>
    <row r="723" spans="1:72" x14ac:dyDescent="0.15">
      <c r="A723" t="s">
        <v>72</v>
      </c>
      <c r="B723" t="s">
        <v>13465</v>
      </c>
      <c r="C723" t="s">
        <v>74</v>
      </c>
      <c r="D723" t="s">
        <v>74</v>
      </c>
      <c r="E723" t="s">
        <v>74</v>
      </c>
      <c r="F723" t="s">
        <v>13466</v>
      </c>
      <c r="G723" t="s">
        <v>74</v>
      </c>
      <c r="H723" t="s">
        <v>74</v>
      </c>
      <c r="I723" t="s">
        <v>13467</v>
      </c>
      <c r="J723" t="s">
        <v>13378</v>
      </c>
      <c r="K723" t="s">
        <v>74</v>
      </c>
      <c r="L723" t="s">
        <v>74</v>
      </c>
      <c r="M723" t="s">
        <v>78</v>
      </c>
      <c r="N723" t="s">
        <v>79</v>
      </c>
      <c r="O723" t="s">
        <v>74</v>
      </c>
      <c r="P723" t="s">
        <v>74</v>
      </c>
      <c r="Q723" t="s">
        <v>74</v>
      </c>
      <c r="R723" t="s">
        <v>74</v>
      </c>
      <c r="S723" t="s">
        <v>74</v>
      </c>
      <c r="T723" t="s">
        <v>13468</v>
      </c>
      <c r="U723" t="s">
        <v>74</v>
      </c>
      <c r="V723" t="s">
        <v>13469</v>
      </c>
      <c r="W723" t="s">
        <v>13470</v>
      </c>
      <c r="X723" t="s">
        <v>13471</v>
      </c>
      <c r="Y723" t="s">
        <v>13472</v>
      </c>
      <c r="Z723" t="s">
        <v>13473</v>
      </c>
      <c r="AA723" t="s">
        <v>13474</v>
      </c>
      <c r="AB723" t="s">
        <v>13475</v>
      </c>
      <c r="AC723" t="s">
        <v>74</v>
      </c>
      <c r="AD723" t="s">
        <v>74</v>
      </c>
      <c r="AE723" t="s">
        <v>74</v>
      </c>
      <c r="AF723" t="s">
        <v>74</v>
      </c>
      <c r="AG723">
        <v>16</v>
      </c>
      <c r="AH723">
        <v>7</v>
      </c>
      <c r="AI723">
        <v>7</v>
      </c>
      <c r="AJ723">
        <v>0</v>
      </c>
      <c r="AK723">
        <v>4</v>
      </c>
      <c r="AL723" t="s">
        <v>13388</v>
      </c>
      <c r="AM723" t="s">
        <v>7259</v>
      </c>
      <c r="AN723" t="s">
        <v>13389</v>
      </c>
      <c r="AO723" t="s">
        <v>13390</v>
      </c>
      <c r="AP723" t="s">
        <v>74</v>
      </c>
      <c r="AQ723" t="s">
        <v>74</v>
      </c>
      <c r="AR723" t="s">
        <v>13378</v>
      </c>
      <c r="AS723" t="s">
        <v>13391</v>
      </c>
      <c r="AT723" t="s">
        <v>12989</v>
      </c>
      <c r="AU723">
        <v>2011</v>
      </c>
      <c r="AV723">
        <v>62</v>
      </c>
      <c r="AW723">
        <v>4</v>
      </c>
      <c r="AX723" t="s">
        <v>74</v>
      </c>
      <c r="AY723" t="s">
        <v>74</v>
      </c>
      <c r="AZ723" t="s">
        <v>339</v>
      </c>
      <c r="BA723" t="s">
        <v>74</v>
      </c>
      <c r="BB723">
        <v>633</v>
      </c>
      <c r="BC723">
        <v>640</v>
      </c>
      <c r="BD723" t="s">
        <v>74</v>
      </c>
      <c r="BE723" t="s">
        <v>74</v>
      </c>
      <c r="BF723" t="s">
        <v>74</v>
      </c>
      <c r="BG723" t="s">
        <v>74</v>
      </c>
      <c r="BH723" t="s">
        <v>74</v>
      </c>
      <c r="BI723">
        <v>8</v>
      </c>
      <c r="BJ723" t="s">
        <v>463</v>
      </c>
      <c r="BK723" t="s">
        <v>100</v>
      </c>
      <c r="BL723" t="s">
        <v>463</v>
      </c>
      <c r="BM723" t="s">
        <v>13392</v>
      </c>
      <c r="BN723" t="s">
        <v>74</v>
      </c>
      <c r="BO723" t="s">
        <v>74</v>
      </c>
      <c r="BP723" t="s">
        <v>74</v>
      </c>
      <c r="BQ723" t="s">
        <v>74</v>
      </c>
      <c r="BR723" t="s">
        <v>102</v>
      </c>
      <c r="BS723" t="s">
        <v>13476</v>
      </c>
      <c r="BT723" t="str">
        <f>HYPERLINK("https%3A%2F%2Fwww.webofscience.com%2Fwos%2Fwoscc%2Ffull-record%2FWOS:000296935900015","View Full Record in Web of Science")</f>
        <v>View Full Record in Web of Science</v>
      </c>
    </row>
    <row r="724" spans="1:72" x14ac:dyDescent="0.15">
      <c r="A724" t="s">
        <v>72</v>
      </c>
      <c r="B724" t="s">
        <v>13477</v>
      </c>
      <c r="C724" t="s">
        <v>74</v>
      </c>
      <c r="D724" t="s">
        <v>74</v>
      </c>
      <c r="E724" t="s">
        <v>74</v>
      </c>
      <c r="F724" t="s">
        <v>13478</v>
      </c>
      <c r="G724" t="s">
        <v>74</v>
      </c>
      <c r="H724" t="s">
        <v>74</v>
      </c>
      <c r="I724" t="s">
        <v>13479</v>
      </c>
      <c r="J724" t="s">
        <v>13378</v>
      </c>
      <c r="K724" t="s">
        <v>74</v>
      </c>
      <c r="L724" t="s">
        <v>74</v>
      </c>
      <c r="M724" t="s">
        <v>78</v>
      </c>
      <c r="N724" t="s">
        <v>79</v>
      </c>
      <c r="O724" t="s">
        <v>74</v>
      </c>
      <c r="P724" t="s">
        <v>74</v>
      </c>
      <c r="Q724" t="s">
        <v>74</v>
      </c>
      <c r="R724" t="s">
        <v>74</v>
      </c>
      <c r="S724" t="s">
        <v>74</v>
      </c>
      <c r="T724" t="s">
        <v>13480</v>
      </c>
      <c r="U724" t="s">
        <v>74</v>
      </c>
      <c r="V724" t="s">
        <v>13481</v>
      </c>
      <c r="W724" t="s">
        <v>13482</v>
      </c>
      <c r="X724" t="s">
        <v>13483</v>
      </c>
      <c r="Y724" t="s">
        <v>13484</v>
      </c>
      <c r="Z724" t="s">
        <v>13485</v>
      </c>
      <c r="AA724" t="s">
        <v>74</v>
      </c>
      <c r="AB724" t="s">
        <v>74</v>
      </c>
      <c r="AC724" t="s">
        <v>74</v>
      </c>
      <c r="AD724" t="s">
        <v>74</v>
      </c>
      <c r="AE724" t="s">
        <v>74</v>
      </c>
      <c r="AF724" t="s">
        <v>74</v>
      </c>
      <c r="AG724">
        <v>9</v>
      </c>
      <c r="AH724">
        <v>1</v>
      </c>
      <c r="AI724">
        <v>1</v>
      </c>
      <c r="AJ724">
        <v>0</v>
      </c>
      <c r="AK724">
        <v>9</v>
      </c>
      <c r="AL724" t="s">
        <v>13388</v>
      </c>
      <c r="AM724" t="s">
        <v>7259</v>
      </c>
      <c r="AN724" t="s">
        <v>13389</v>
      </c>
      <c r="AO724" t="s">
        <v>13390</v>
      </c>
      <c r="AP724" t="s">
        <v>74</v>
      </c>
      <c r="AQ724" t="s">
        <v>74</v>
      </c>
      <c r="AR724" t="s">
        <v>13378</v>
      </c>
      <c r="AS724" t="s">
        <v>13391</v>
      </c>
      <c r="AT724" t="s">
        <v>12989</v>
      </c>
      <c r="AU724">
        <v>2011</v>
      </c>
      <c r="AV724">
        <v>62</v>
      </c>
      <c r="AW724">
        <v>4</v>
      </c>
      <c r="AX724" t="s">
        <v>74</v>
      </c>
      <c r="AY724" t="s">
        <v>74</v>
      </c>
      <c r="AZ724" t="s">
        <v>339</v>
      </c>
      <c r="BA724" t="s">
        <v>74</v>
      </c>
      <c r="BB724">
        <v>641</v>
      </c>
      <c r="BC724">
        <v>646</v>
      </c>
      <c r="BD724" t="s">
        <v>74</v>
      </c>
      <c r="BE724" t="s">
        <v>74</v>
      </c>
      <c r="BF724" t="s">
        <v>74</v>
      </c>
      <c r="BG724" t="s">
        <v>74</v>
      </c>
      <c r="BH724" t="s">
        <v>74</v>
      </c>
      <c r="BI724">
        <v>6</v>
      </c>
      <c r="BJ724" t="s">
        <v>463</v>
      </c>
      <c r="BK724" t="s">
        <v>100</v>
      </c>
      <c r="BL724" t="s">
        <v>463</v>
      </c>
      <c r="BM724" t="s">
        <v>13392</v>
      </c>
      <c r="BN724" t="s">
        <v>74</v>
      </c>
      <c r="BO724" t="s">
        <v>74</v>
      </c>
      <c r="BP724" t="s">
        <v>74</v>
      </c>
      <c r="BQ724" t="s">
        <v>74</v>
      </c>
      <c r="BR724" t="s">
        <v>102</v>
      </c>
      <c r="BS724" t="s">
        <v>13486</v>
      </c>
      <c r="BT724" t="str">
        <f>HYPERLINK("https%3A%2F%2Fwww.webofscience.com%2Fwos%2Fwoscc%2Ffull-record%2FWOS:000296935900016","View Full Record in Web of Science")</f>
        <v>View Full Record in Web of Science</v>
      </c>
    </row>
    <row r="725" spans="1:72" x14ac:dyDescent="0.15">
      <c r="A725" t="s">
        <v>72</v>
      </c>
      <c r="B725" t="s">
        <v>13487</v>
      </c>
      <c r="C725" t="s">
        <v>74</v>
      </c>
      <c r="D725" t="s">
        <v>74</v>
      </c>
      <c r="E725" t="s">
        <v>74</v>
      </c>
      <c r="F725" t="s">
        <v>13488</v>
      </c>
      <c r="G725" t="s">
        <v>74</v>
      </c>
      <c r="H725" t="s">
        <v>74</v>
      </c>
      <c r="I725" t="s">
        <v>13489</v>
      </c>
      <c r="J725" t="s">
        <v>13378</v>
      </c>
      <c r="K725" t="s">
        <v>74</v>
      </c>
      <c r="L725" t="s">
        <v>74</v>
      </c>
      <c r="M725" t="s">
        <v>78</v>
      </c>
      <c r="N725" t="s">
        <v>79</v>
      </c>
      <c r="O725" t="s">
        <v>74</v>
      </c>
      <c r="P725" t="s">
        <v>74</v>
      </c>
      <c r="Q725" t="s">
        <v>74</v>
      </c>
      <c r="R725" t="s">
        <v>74</v>
      </c>
      <c r="S725" t="s">
        <v>74</v>
      </c>
      <c r="T725" t="s">
        <v>13490</v>
      </c>
      <c r="U725" t="s">
        <v>13491</v>
      </c>
      <c r="V725" t="s">
        <v>13492</v>
      </c>
      <c r="W725" t="s">
        <v>13493</v>
      </c>
      <c r="X725" t="s">
        <v>13494</v>
      </c>
      <c r="Y725" t="s">
        <v>13495</v>
      </c>
      <c r="Z725" t="s">
        <v>13496</v>
      </c>
      <c r="AA725" t="s">
        <v>13497</v>
      </c>
      <c r="AB725" t="s">
        <v>13498</v>
      </c>
      <c r="AC725" t="s">
        <v>13499</v>
      </c>
      <c r="AD725" t="s">
        <v>13499</v>
      </c>
      <c r="AE725" t="s">
        <v>13500</v>
      </c>
      <c r="AF725" t="s">
        <v>74</v>
      </c>
      <c r="AG725">
        <v>42</v>
      </c>
      <c r="AH725">
        <v>0</v>
      </c>
      <c r="AI725">
        <v>0</v>
      </c>
      <c r="AJ725">
        <v>0</v>
      </c>
      <c r="AK725">
        <v>4</v>
      </c>
      <c r="AL725" t="s">
        <v>13388</v>
      </c>
      <c r="AM725" t="s">
        <v>7259</v>
      </c>
      <c r="AN725" t="s">
        <v>13389</v>
      </c>
      <c r="AO725" t="s">
        <v>13390</v>
      </c>
      <c r="AP725" t="s">
        <v>74</v>
      </c>
      <c r="AQ725" t="s">
        <v>74</v>
      </c>
      <c r="AR725" t="s">
        <v>13378</v>
      </c>
      <c r="AS725" t="s">
        <v>13391</v>
      </c>
      <c r="AT725" t="s">
        <v>12989</v>
      </c>
      <c r="AU725">
        <v>2011</v>
      </c>
      <c r="AV725">
        <v>62</v>
      </c>
      <c r="AW725">
        <v>4</v>
      </c>
      <c r="AX725" t="s">
        <v>74</v>
      </c>
      <c r="AY725" t="s">
        <v>74</v>
      </c>
      <c r="AZ725" t="s">
        <v>339</v>
      </c>
      <c r="BA725" t="s">
        <v>74</v>
      </c>
      <c r="BB725">
        <v>659</v>
      </c>
      <c r="BC725">
        <v>664</v>
      </c>
      <c r="BD725" t="s">
        <v>74</v>
      </c>
      <c r="BE725" t="s">
        <v>74</v>
      </c>
      <c r="BF725" t="s">
        <v>74</v>
      </c>
      <c r="BG725" t="s">
        <v>74</v>
      </c>
      <c r="BH725" t="s">
        <v>74</v>
      </c>
      <c r="BI725">
        <v>6</v>
      </c>
      <c r="BJ725" t="s">
        <v>463</v>
      </c>
      <c r="BK725" t="s">
        <v>100</v>
      </c>
      <c r="BL725" t="s">
        <v>463</v>
      </c>
      <c r="BM725" t="s">
        <v>13392</v>
      </c>
      <c r="BN725" t="s">
        <v>74</v>
      </c>
      <c r="BO725" t="s">
        <v>74</v>
      </c>
      <c r="BP725" t="s">
        <v>74</v>
      </c>
      <c r="BQ725" t="s">
        <v>74</v>
      </c>
      <c r="BR725" t="s">
        <v>102</v>
      </c>
      <c r="BS725" t="s">
        <v>13501</v>
      </c>
      <c r="BT725" t="str">
        <f>HYPERLINK("https%3A%2F%2Fwww.webofscience.com%2Fwos%2Fwoscc%2Ffull-record%2FWOS:000296935900019","View Full Record in Web of Science")</f>
        <v>View Full Record in Web of Science</v>
      </c>
    </row>
    <row r="726" spans="1:72" x14ac:dyDescent="0.15">
      <c r="A726" t="s">
        <v>72</v>
      </c>
      <c r="B726" t="s">
        <v>13502</v>
      </c>
      <c r="C726" t="s">
        <v>74</v>
      </c>
      <c r="D726" t="s">
        <v>74</v>
      </c>
      <c r="E726" t="s">
        <v>74</v>
      </c>
      <c r="F726" t="s">
        <v>13503</v>
      </c>
      <c r="G726" t="s">
        <v>74</v>
      </c>
      <c r="H726" t="s">
        <v>74</v>
      </c>
      <c r="I726" t="s">
        <v>13504</v>
      </c>
      <c r="J726" t="s">
        <v>13378</v>
      </c>
      <c r="K726" t="s">
        <v>74</v>
      </c>
      <c r="L726" t="s">
        <v>74</v>
      </c>
      <c r="M726" t="s">
        <v>78</v>
      </c>
      <c r="N726" t="s">
        <v>79</v>
      </c>
      <c r="O726" t="s">
        <v>74</v>
      </c>
      <c r="P726" t="s">
        <v>74</v>
      </c>
      <c r="Q726" t="s">
        <v>74</v>
      </c>
      <c r="R726" t="s">
        <v>74</v>
      </c>
      <c r="S726" t="s">
        <v>74</v>
      </c>
      <c r="T726" t="s">
        <v>13505</v>
      </c>
      <c r="U726" t="s">
        <v>13506</v>
      </c>
      <c r="V726" t="s">
        <v>13507</v>
      </c>
      <c r="W726" t="s">
        <v>13508</v>
      </c>
      <c r="X726" t="s">
        <v>8546</v>
      </c>
      <c r="Y726" t="s">
        <v>13509</v>
      </c>
      <c r="Z726" t="s">
        <v>13510</v>
      </c>
      <c r="AA726" t="s">
        <v>74</v>
      </c>
      <c r="AB726" t="s">
        <v>13511</v>
      </c>
      <c r="AC726" t="s">
        <v>13512</v>
      </c>
      <c r="AD726" t="s">
        <v>13512</v>
      </c>
      <c r="AE726" t="s">
        <v>13513</v>
      </c>
      <c r="AF726" t="s">
        <v>74</v>
      </c>
      <c r="AG726">
        <v>30</v>
      </c>
      <c r="AH726">
        <v>2</v>
      </c>
      <c r="AI726">
        <v>5</v>
      </c>
      <c r="AJ726">
        <v>1</v>
      </c>
      <c r="AK726">
        <v>13</v>
      </c>
      <c r="AL726" t="s">
        <v>13388</v>
      </c>
      <c r="AM726" t="s">
        <v>7259</v>
      </c>
      <c r="AN726" t="s">
        <v>13389</v>
      </c>
      <c r="AO726" t="s">
        <v>13390</v>
      </c>
      <c r="AP726" t="s">
        <v>74</v>
      </c>
      <c r="AQ726" t="s">
        <v>74</v>
      </c>
      <c r="AR726" t="s">
        <v>13378</v>
      </c>
      <c r="AS726" t="s">
        <v>13391</v>
      </c>
      <c r="AT726" t="s">
        <v>12989</v>
      </c>
      <c r="AU726">
        <v>2011</v>
      </c>
      <c r="AV726">
        <v>62</v>
      </c>
      <c r="AW726">
        <v>4</v>
      </c>
      <c r="AX726" t="s">
        <v>74</v>
      </c>
      <c r="AY726" t="s">
        <v>74</v>
      </c>
      <c r="AZ726" t="s">
        <v>339</v>
      </c>
      <c r="BA726" t="s">
        <v>74</v>
      </c>
      <c r="BB726">
        <v>665</v>
      </c>
      <c r="BC726">
        <v>672</v>
      </c>
      <c r="BD726" t="s">
        <v>74</v>
      </c>
      <c r="BE726" t="s">
        <v>74</v>
      </c>
      <c r="BF726" t="s">
        <v>74</v>
      </c>
      <c r="BG726" t="s">
        <v>74</v>
      </c>
      <c r="BH726" t="s">
        <v>74</v>
      </c>
      <c r="BI726">
        <v>8</v>
      </c>
      <c r="BJ726" t="s">
        <v>463</v>
      </c>
      <c r="BK726" t="s">
        <v>100</v>
      </c>
      <c r="BL726" t="s">
        <v>463</v>
      </c>
      <c r="BM726" t="s">
        <v>13392</v>
      </c>
      <c r="BN726" t="s">
        <v>74</v>
      </c>
      <c r="BO726" t="s">
        <v>74</v>
      </c>
      <c r="BP726" t="s">
        <v>74</v>
      </c>
      <c r="BQ726" t="s">
        <v>74</v>
      </c>
      <c r="BR726" t="s">
        <v>102</v>
      </c>
      <c r="BS726" t="s">
        <v>13514</v>
      </c>
      <c r="BT726" t="str">
        <f>HYPERLINK("https%3A%2F%2Fwww.webofscience.com%2Fwos%2Fwoscc%2Ffull-record%2FWOS:000296935900020","View Full Record in Web of Science")</f>
        <v>View Full Record in Web of Science</v>
      </c>
    </row>
    <row r="727" spans="1:72" x14ac:dyDescent="0.15">
      <c r="A727" t="s">
        <v>72</v>
      </c>
      <c r="B727" t="s">
        <v>13515</v>
      </c>
      <c r="C727" t="s">
        <v>74</v>
      </c>
      <c r="D727" t="s">
        <v>74</v>
      </c>
      <c r="E727" t="s">
        <v>74</v>
      </c>
      <c r="F727" t="s">
        <v>13516</v>
      </c>
      <c r="G727" t="s">
        <v>74</v>
      </c>
      <c r="H727" t="s">
        <v>74</v>
      </c>
      <c r="I727" t="s">
        <v>13517</v>
      </c>
      <c r="J727" t="s">
        <v>7775</v>
      </c>
      <c r="K727" t="s">
        <v>74</v>
      </c>
      <c r="L727" t="s">
        <v>74</v>
      </c>
      <c r="M727" t="s">
        <v>78</v>
      </c>
      <c r="N727" t="s">
        <v>79</v>
      </c>
      <c r="O727" t="s">
        <v>74</v>
      </c>
      <c r="P727" t="s">
        <v>74</v>
      </c>
      <c r="Q727" t="s">
        <v>74</v>
      </c>
      <c r="R727" t="s">
        <v>74</v>
      </c>
      <c r="S727" t="s">
        <v>74</v>
      </c>
      <c r="T727" t="s">
        <v>74</v>
      </c>
      <c r="U727" t="s">
        <v>13518</v>
      </c>
      <c r="V727" t="s">
        <v>13519</v>
      </c>
      <c r="W727" t="s">
        <v>13520</v>
      </c>
      <c r="X727" t="s">
        <v>13521</v>
      </c>
      <c r="Y727" t="s">
        <v>13522</v>
      </c>
      <c r="Z727" t="s">
        <v>13523</v>
      </c>
      <c r="AA727" t="s">
        <v>13524</v>
      </c>
      <c r="AB727" t="s">
        <v>13525</v>
      </c>
      <c r="AC727" t="s">
        <v>74</v>
      </c>
      <c r="AD727" t="s">
        <v>74</v>
      </c>
      <c r="AE727" t="s">
        <v>74</v>
      </c>
      <c r="AF727" t="s">
        <v>74</v>
      </c>
      <c r="AG727">
        <v>54</v>
      </c>
      <c r="AH727">
        <v>16</v>
      </c>
      <c r="AI727">
        <v>17</v>
      </c>
      <c r="AJ727">
        <v>0</v>
      </c>
      <c r="AK727">
        <v>8</v>
      </c>
      <c r="AL727" t="s">
        <v>3775</v>
      </c>
      <c r="AM727" t="s">
        <v>3776</v>
      </c>
      <c r="AN727" t="s">
        <v>3777</v>
      </c>
      <c r="AO727" t="s">
        <v>7788</v>
      </c>
      <c r="AP727" t="s">
        <v>7789</v>
      </c>
      <c r="AQ727" t="s">
        <v>74</v>
      </c>
      <c r="AR727" t="s">
        <v>7790</v>
      </c>
      <c r="AS727" t="s">
        <v>7791</v>
      </c>
      <c r="AT727" t="s">
        <v>12989</v>
      </c>
      <c r="AU727">
        <v>2011</v>
      </c>
      <c r="AV727">
        <v>41</v>
      </c>
      <c r="AW727">
        <v>10</v>
      </c>
      <c r="AX727" t="s">
        <v>74</v>
      </c>
      <c r="AY727" t="s">
        <v>74</v>
      </c>
      <c r="AZ727" t="s">
        <v>74</v>
      </c>
      <c r="BA727" t="s">
        <v>74</v>
      </c>
      <c r="BB727">
        <v>1941</v>
      </c>
      <c r="BC727">
        <v>1957</v>
      </c>
      <c r="BD727" t="s">
        <v>74</v>
      </c>
      <c r="BE727" t="s">
        <v>13526</v>
      </c>
      <c r="BF727" t="str">
        <f>HYPERLINK("http://dx.doi.org/10.1175/2011JPO4571.1","http://dx.doi.org/10.1175/2011JPO4571.1")</f>
        <v>http://dx.doi.org/10.1175/2011JPO4571.1</v>
      </c>
      <c r="BG727" t="s">
        <v>74</v>
      </c>
      <c r="BH727" t="s">
        <v>74</v>
      </c>
      <c r="BI727">
        <v>17</v>
      </c>
      <c r="BJ727" t="s">
        <v>496</v>
      </c>
      <c r="BK727" t="s">
        <v>100</v>
      </c>
      <c r="BL727" t="s">
        <v>496</v>
      </c>
      <c r="BM727" t="s">
        <v>13527</v>
      </c>
      <c r="BN727" t="s">
        <v>74</v>
      </c>
      <c r="BO727" t="s">
        <v>316</v>
      </c>
      <c r="BP727" t="s">
        <v>74</v>
      </c>
      <c r="BQ727" t="s">
        <v>74</v>
      </c>
      <c r="BR727" t="s">
        <v>102</v>
      </c>
      <c r="BS727" t="s">
        <v>13528</v>
      </c>
      <c r="BT727" t="str">
        <f>HYPERLINK("https%3A%2F%2Fwww.webofscience.com%2Fwos%2Fwoscc%2Ffull-record%2FWOS:000296799600008","View Full Record in Web of Science")</f>
        <v>View Full Record in Web of Science</v>
      </c>
    </row>
    <row r="728" spans="1:72" x14ac:dyDescent="0.15">
      <c r="A728" t="s">
        <v>72</v>
      </c>
      <c r="B728" t="s">
        <v>13529</v>
      </c>
      <c r="C728" t="s">
        <v>74</v>
      </c>
      <c r="D728" t="s">
        <v>74</v>
      </c>
      <c r="E728" t="s">
        <v>74</v>
      </c>
      <c r="F728" t="s">
        <v>13530</v>
      </c>
      <c r="G728" t="s">
        <v>74</v>
      </c>
      <c r="H728" t="s">
        <v>74</v>
      </c>
      <c r="I728" t="s">
        <v>13531</v>
      </c>
      <c r="J728" t="s">
        <v>13532</v>
      </c>
      <c r="K728" t="s">
        <v>74</v>
      </c>
      <c r="L728" t="s">
        <v>74</v>
      </c>
      <c r="M728" t="s">
        <v>78</v>
      </c>
      <c r="N728" t="s">
        <v>79</v>
      </c>
      <c r="O728" t="s">
        <v>74</v>
      </c>
      <c r="P728" t="s">
        <v>74</v>
      </c>
      <c r="Q728" t="s">
        <v>74</v>
      </c>
      <c r="R728" t="s">
        <v>74</v>
      </c>
      <c r="S728" t="s">
        <v>74</v>
      </c>
      <c r="T728" t="s">
        <v>74</v>
      </c>
      <c r="U728" t="s">
        <v>13533</v>
      </c>
      <c r="V728" t="s">
        <v>13534</v>
      </c>
      <c r="W728" t="s">
        <v>13535</v>
      </c>
      <c r="X728" t="s">
        <v>787</v>
      </c>
      <c r="Y728" t="s">
        <v>13536</v>
      </c>
      <c r="Z728" t="s">
        <v>74</v>
      </c>
      <c r="AA728" t="s">
        <v>13537</v>
      </c>
      <c r="AB728" t="s">
        <v>13538</v>
      </c>
      <c r="AC728" t="s">
        <v>13539</v>
      </c>
      <c r="AD728" t="s">
        <v>13540</v>
      </c>
      <c r="AE728" t="s">
        <v>13541</v>
      </c>
      <c r="AF728" t="s">
        <v>74</v>
      </c>
      <c r="AG728">
        <v>16</v>
      </c>
      <c r="AH728">
        <v>3</v>
      </c>
      <c r="AI728">
        <v>3</v>
      </c>
      <c r="AJ728">
        <v>0</v>
      </c>
      <c r="AK728">
        <v>7</v>
      </c>
      <c r="AL728" t="s">
        <v>13542</v>
      </c>
      <c r="AM728" t="s">
        <v>13543</v>
      </c>
      <c r="AN728" t="s">
        <v>13544</v>
      </c>
      <c r="AO728" t="s">
        <v>13545</v>
      </c>
      <c r="AP728" t="s">
        <v>74</v>
      </c>
      <c r="AQ728" t="s">
        <v>74</v>
      </c>
      <c r="AR728" t="s">
        <v>13546</v>
      </c>
      <c r="AS728" t="s">
        <v>13547</v>
      </c>
      <c r="AT728" t="s">
        <v>12989</v>
      </c>
      <c r="AU728">
        <v>2011</v>
      </c>
      <c r="AV728">
        <v>24</v>
      </c>
      <c r="AW728">
        <v>10</v>
      </c>
      <c r="AX728" t="s">
        <v>74</v>
      </c>
      <c r="AY728" t="s">
        <v>74</v>
      </c>
      <c r="AZ728" t="s">
        <v>74</v>
      </c>
      <c r="BA728" t="s">
        <v>74</v>
      </c>
      <c r="BB728">
        <v>548</v>
      </c>
      <c r="BC728" t="s">
        <v>1503</v>
      </c>
      <c r="BD728" t="s">
        <v>74</v>
      </c>
      <c r="BE728" t="s">
        <v>74</v>
      </c>
      <c r="BF728" t="s">
        <v>74</v>
      </c>
      <c r="BG728" t="s">
        <v>74</v>
      </c>
      <c r="BH728" t="s">
        <v>74</v>
      </c>
      <c r="BI728">
        <v>6</v>
      </c>
      <c r="BJ728" t="s">
        <v>721</v>
      </c>
      <c r="BK728" t="s">
        <v>100</v>
      </c>
      <c r="BL728" t="s">
        <v>722</v>
      </c>
      <c r="BM728" t="s">
        <v>13548</v>
      </c>
      <c r="BN728" t="s">
        <v>74</v>
      </c>
      <c r="BO728" t="s">
        <v>74</v>
      </c>
      <c r="BP728" t="s">
        <v>74</v>
      </c>
      <c r="BQ728" t="s">
        <v>74</v>
      </c>
      <c r="BR728" t="s">
        <v>102</v>
      </c>
      <c r="BS728" t="s">
        <v>13549</v>
      </c>
      <c r="BT728" t="str">
        <f>HYPERLINK("https%3A%2F%2Fwww.webofscience.com%2Fwos%2Fwoscc%2Ffull-record%2FWOS:000296931700004","View Full Record in Web of Science")</f>
        <v>View Full Record in Web of Science</v>
      </c>
    </row>
    <row r="729" spans="1:72" x14ac:dyDescent="0.15">
      <c r="A729" t="s">
        <v>72</v>
      </c>
      <c r="B729" t="s">
        <v>13550</v>
      </c>
      <c r="C729" t="s">
        <v>74</v>
      </c>
      <c r="D729" t="s">
        <v>74</v>
      </c>
      <c r="E729" t="s">
        <v>74</v>
      </c>
      <c r="F729" t="s">
        <v>13551</v>
      </c>
      <c r="G729" t="s">
        <v>74</v>
      </c>
      <c r="H729" t="s">
        <v>74</v>
      </c>
      <c r="I729" t="s">
        <v>13552</v>
      </c>
      <c r="J729" t="s">
        <v>7820</v>
      </c>
      <c r="K729" t="s">
        <v>74</v>
      </c>
      <c r="L729" t="s">
        <v>74</v>
      </c>
      <c r="M729" t="s">
        <v>78</v>
      </c>
      <c r="N729" t="s">
        <v>79</v>
      </c>
      <c r="O729" t="s">
        <v>74</v>
      </c>
      <c r="P729" t="s">
        <v>74</v>
      </c>
      <c r="Q729" t="s">
        <v>74</v>
      </c>
      <c r="R729" t="s">
        <v>74</v>
      </c>
      <c r="S729" t="s">
        <v>74</v>
      </c>
      <c r="T729" t="s">
        <v>13553</v>
      </c>
      <c r="U729" t="s">
        <v>13554</v>
      </c>
      <c r="V729" t="s">
        <v>13555</v>
      </c>
      <c r="W729" t="s">
        <v>13556</v>
      </c>
      <c r="X729" t="s">
        <v>9400</v>
      </c>
      <c r="Y729" t="s">
        <v>13557</v>
      </c>
      <c r="Z729" t="s">
        <v>13558</v>
      </c>
      <c r="AA729" t="s">
        <v>13559</v>
      </c>
      <c r="AB729" t="s">
        <v>13560</v>
      </c>
      <c r="AC729" t="s">
        <v>13561</v>
      </c>
      <c r="AD729" t="s">
        <v>13562</v>
      </c>
      <c r="AE729" t="s">
        <v>13563</v>
      </c>
      <c r="AF729" t="s">
        <v>74</v>
      </c>
      <c r="AG729">
        <v>77</v>
      </c>
      <c r="AH729">
        <v>14</v>
      </c>
      <c r="AI729">
        <v>15</v>
      </c>
      <c r="AJ729">
        <v>0</v>
      </c>
      <c r="AK729">
        <v>22</v>
      </c>
      <c r="AL729" t="s">
        <v>333</v>
      </c>
      <c r="AM729" t="s">
        <v>334</v>
      </c>
      <c r="AN729" t="s">
        <v>335</v>
      </c>
      <c r="AO729" t="s">
        <v>7833</v>
      </c>
      <c r="AP729" t="s">
        <v>7834</v>
      </c>
      <c r="AQ729" t="s">
        <v>74</v>
      </c>
      <c r="AR729" t="s">
        <v>7820</v>
      </c>
      <c r="AS729" t="s">
        <v>7835</v>
      </c>
      <c r="AT729" t="s">
        <v>12989</v>
      </c>
      <c r="AU729">
        <v>2011</v>
      </c>
      <c r="AV729">
        <v>126</v>
      </c>
      <c r="AW729" t="s">
        <v>6679</v>
      </c>
      <c r="AX729" t="s">
        <v>74</v>
      </c>
      <c r="AY729" t="s">
        <v>74</v>
      </c>
      <c r="AZ729" t="s">
        <v>74</v>
      </c>
      <c r="BA729" t="s">
        <v>74</v>
      </c>
      <c r="BB729">
        <v>355</v>
      </c>
      <c r="BC729">
        <v>368</v>
      </c>
      <c r="BD729" t="s">
        <v>74</v>
      </c>
      <c r="BE729" t="s">
        <v>13564</v>
      </c>
      <c r="BF729" t="str">
        <f>HYPERLINK("http://dx.doi.org/10.1016/j.lithos.2011.07.017","http://dx.doi.org/10.1016/j.lithos.2011.07.017")</f>
        <v>http://dx.doi.org/10.1016/j.lithos.2011.07.017</v>
      </c>
      <c r="BG729" t="s">
        <v>74</v>
      </c>
      <c r="BH729" t="s">
        <v>74</v>
      </c>
      <c r="BI729">
        <v>14</v>
      </c>
      <c r="BJ729" t="s">
        <v>2083</v>
      </c>
      <c r="BK729" t="s">
        <v>100</v>
      </c>
      <c r="BL729" t="s">
        <v>2083</v>
      </c>
      <c r="BM729" t="s">
        <v>13565</v>
      </c>
      <c r="BN729" t="s">
        <v>74</v>
      </c>
      <c r="BO729" t="s">
        <v>74</v>
      </c>
      <c r="BP729" t="s">
        <v>74</v>
      </c>
      <c r="BQ729" t="s">
        <v>74</v>
      </c>
      <c r="BR729" t="s">
        <v>102</v>
      </c>
      <c r="BS729" t="s">
        <v>13566</v>
      </c>
      <c r="BT729" t="str">
        <f>HYPERLINK("https%3A%2F%2Fwww.webofscience.com%2Fwos%2Fwoscc%2Ffull-record%2FWOS:000296822900016","View Full Record in Web of Science")</f>
        <v>View Full Record in Web of Science</v>
      </c>
    </row>
    <row r="730" spans="1:72" x14ac:dyDescent="0.15">
      <c r="A730" t="s">
        <v>72</v>
      </c>
      <c r="B730" t="s">
        <v>13567</v>
      </c>
      <c r="C730" t="s">
        <v>74</v>
      </c>
      <c r="D730" t="s">
        <v>74</v>
      </c>
      <c r="E730" t="s">
        <v>74</v>
      </c>
      <c r="F730" t="s">
        <v>13568</v>
      </c>
      <c r="G730" t="s">
        <v>74</v>
      </c>
      <c r="H730" t="s">
        <v>74</v>
      </c>
      <c r="I730" t="s">
        <v>13569</v>
      </c>
      <c r="J730" t="s">
        <v>13570</v>
      </c>
      <c r="K730" t="s">
        <v>74</v>
      </c>
      <c r="L730" t="s">
        <v>74</v>
      </c>
      <c r="M730" t="s">
        <v>78</v>
      </c>
      <c r="N730" t="s">
        <v>79</v>
      </c>
      <c r="O730" t="s">
        <v>74</v>
      </c>
      <c r="P730" t="s">
        <v>74</v>
      </c>
      <c r="Q730" t="s">
        <v>74</v>
      </c>
      <c r="R730" t="s">
        <v>74</v>
      </c>
      <c r="S730" t="s">
        <v>74</v>
      </c>
      <c r="T730" t="s">
        <v>74</v>
      </c>
      <c r="U730" t="s">
        <v>74</v>
      </c>
      <c r="V730" t="s">
        <v>13571</v>
      </c>
      <c r="W730" t="s">
        <v>74</v>
      </c>
      <c r="X730" t="s">
        <v>74</v>
      </c>
      <c r="Y730" t="s">
        <v>13572</v>
      </c>
      <c r="Z730" t="s">
        <v>13573</v>
      </c>
      <c r="AA730" t="s">
        <v>74</v>
      </c>
      <c r="AB730" t="s">
        <v>74</v>
      </c>
      <c r="AC730" t="s">
        <v>74</v>
      </c>
      <c r="AD730" t="s">
        <v>74</v>
      </c>
      <c r="AE730" t="s">
        <v>74</v>
      </c>
      <c r="AF730" t="s">
        <v>74</v>
      </c>
      <c r="AG730">
        <v>37</v>
      </c>
      <c r="AH730">
        <v>0</v>
      </c>
      <c r="AI730">
        <v>0</v>
      </c>
      <c r="AJ730">
        <v>0</v>
      </c>
      <c r="AK730">
        <v>2</v>
      </c>
      <c r="AL730" t="s">
        <v>813</v>
      </c>
      <c r="AM730" t="s">
        <v>413</v>
      </c>
      <c r="AN730" t="s">
        <v>7426</v>
      </c>
      <c r="AO730" t="s">
        <v>13574</v>
      </c>
      <c r="AP730" t="s">
        <v>74</v>
      </c>
      <c r="AQ730" t="s">
        <v>74</v>
      </c>
      <c r="AR730" t="s">
        <v>13575</v>
      </c>
      <c r="AS730" t="s">
        <v>13576</v>
      </c>
      <c r="AT730" t="s">
        <v>12989</v>
      </c>
      <c r="AU730">
        <v>2011</v>
      </c>
      <c r="AV730">
        <v>47</v>
      </c>
      <c r="AW730">
        <v>243</v>
      </c>
      <c r="AX730" t="s">
        <v>74</v>
      </c>
      <c r="AY730" t="s">
        <v>74</v>
      </c>
      <c r="AZ730" t="s">
        <v>74</v>
      </c>
      <c r="BA730" t="s">
        <v>74</v>
      </c>
      <c r="BB730">
        <v>310</v>
      </c>
      <c r="BC730">
        <v>326</v>
      </c>
      <c r="BD730" t="s">
        <v>74</v>
      </c>
      <c r="BE730" t="s">
        <v>13577</v>
      </c>
      <c r="BF730" t="str">
        <f>HYPERLINK("http://dx.doi.org/10.1017/S0032247410000549","http://dx.doi.org/10.1017/S0032247410000549")</f>
        <v>http://dx.doi.org/10.1017/S0032247410000549</v>
      </c>
      <c r="BG730" t="s">
        <v>74</v>
      </c>
      <c r="BH730" t="s">
        <v>74</v>
      </c>
      <c r="BI730">
        <v>17</v>
      </c>
      <c r="BJ730" t="s">
        <v>13578</v>
      </c>
      <c r="BK730" t="s">
        <v>100</v>
      </c>
      <c r="BL730" t="s">
        <v>2837</v>
      </c>
      <c r="BM730" t="s">
        <v>13579</v>
      </c>
      <c r="BN730" t="s">
        <v>74</v>
      </c>
      <c r="BO730" t="s">
        <v>74</v>
      </c>
      <c r="BP730" t="s">
        <v>74</v>
      </c>
      <c r="BQ730" t="s">
        <v>74</v>
      </c>
      <c r="BR730" t="s">
        <v>102</v>
      </c>
      <c r="BS730" t="s">
        <v>13580</v>
      </c>
      <c r="BT730" t="str">
        <f>HYPERLINK("https%3A%2F%2Fwww.webofscience.com%2Fwos%2Fwoscc%2Ffull-record%2FWOS:000295364900002","View Full Record in Web of Science")</f>
        <v>View Full Record in Web of Science</v>
      </c>
    </row>
    <row r="731" spans="1:72" x14ac:dyDescent="0.15">
      <c r="A731" t="s">
        <v>72</v>
      </c>
      <c r="B731" t="s">
        <v>13581</v>
      </c>
      <c r="C731" t="s">
        <v>74</v>
      </c>
      <c r="D731" t="s">
        <v>74</v>
      </c>
      <c r="E731" t="s">
        <v>74</v>
      </c>
      <c r="F731" t="s">
        <v>13582</v>
      </c>
      <c r="G731" t="s">
        <v>74</v>
      </c>
      <c r="H731" t="s">
        <v>74</v>
      </c>
      <c r="I731" t="s">
        <v>13583</v>
      </c>
      <c r="J731" t="s">
        <v>8305</v>
      </c>
      <c r="K731" t="s">
        <v>74</v>
      </c>
      <c r="L731" t="s">
        <v>74</v>
      </c>
      <c r="M731" t="s">
        <v>78</v>
      </c>
      <c r="N731" t="s">
        <v>79</v>
      </c>
      <c r="O731" t="s">
        <v>74</v>
      </c>
      <c r="P731" t="s">
        <v>74</v>
      </c>
      <c r="Q731" t="s">
        <v>74</v>
      </c>
      <c r="R731" t="s">
        <v>74</v>
      </c>
      <c r="S731" t="s">
        <v>74</v>
      </c>
      <c r="T731" t="s">
        <v>13584</v>
      </c>
      <c r="U731" t="s">
        <v>13585</v>
      </c>
      <c r="V731" t="s">
        <v>13586</v>
      </c>
      <c r="W731" t="s">
        <v>13587</v>
      </c>
      <c r="X731" t="s">
        <v>13588</v>
      </c>
      <c r="Y731" t="s">
        <v>13589</v>
      </c>
      <c r="Z731" t="s">
        <v>13590</v>
      </c>
      <c r="AA731" t="s">
        <v>13591</v>
      </c>
      <c r="AB731" t="s">
        <v>13592</v>
      </c>
      <c r="AC731" t="s">
        <v>13593</v>
      </c>
      <c r="AD731" t="s">
        <v>13594</v>
      </c>
      <c r="AE731" t="s">
        <v>13595</v>
      </c>
      <c r="AF731" t="s">
        <v>74</v>
      </c>
      <c r="AG731">
        <v>48</v>
      </c>
      <c r="AH731">
        <v>24</v>
      </c>
      <c r="AI731">
        <v>24</v>
      </c>
      <c r="AJ731">
        <v>0</v>
      </c>
      <c r="AK731">
        <v>42</v>
      </c>
      <c r="AL731" t="s">
        <v>2832</v>
      </c>
      <c r="AM731" t="s">
        <v>796</v>
      </c>
      <c r="AN731" t="s">
        <v>797</v>
      </c>
      <c r="AO731" t="s">
        <v>8317</v>
      </c>
      <c r="AP731" t="s">
        <v>8318</v>
      </c>
      <c r="AQ731" t="s">
        <v>74</v>
      </c>
      <c r="AR731" t="s">
        <v>8319</v>
      </c>
      <c r="AS731" t="s">
        <v>8320</v>
      </c>
      <c r="AT731" t="s">
        <v>12989</v>
      </c>
      <c r="AU731">
        <v>2011</v>
      </c>
      <c r="AV731">
        <v>14</v>
      </c>
      <c r="AW731">
        <v>5</v>
      </c>
      <c r="AX731" t="s">
        <v>74</v>
      </c>
      <c r="AY731" t="s">
        <v>74</v>
      </c>
      <c r="AZ731" t="s">
        <v>74</v>
      </c>
      <c r="BA731" t="s">
        <v>74</v>
      </c>
      <c r="BB731">
        <v>459</v>
      </c>
      <c r="BC731">
        <v>465</v>
      </c>
      <c r="BD731" t="s">
        <v>74</v>
      </c>
      <c r="BE731" t="s">
        <v>13596</v>
      </c>
      <c r="BF731" t="str">
        <f>HYPERLINK("http://dx.doi.org/10.1111/j.1469-1795.2011.00455.x","http://dx.doi.org/10.1111/j.1469-1795.2011.00455.x")</f>
        <v>http://dx.doi.org/10.1111/j.1469-1795.2011.00455.x</v>
      </c>
      <c r="BG731" t="s">
        <v>74</v>
      </c>
      <c r="BH731" t="s">
        <v>74</v>
      </c>
      <c r="BI731">
        <v>7</v>
      </c>
      <c r="BJ731" t="s">
        <v>5300</v>
      </c>
      <c r="BK731" t="s">
        <v>100</v>
      </c>
      <c r="BL731" t="s">
        <v>3505</v>
      </c>
      <c r="BM731" t="s">
        <v>13597</v>
      </c>
      <c r="BN731" t="s">
        <v>74</v>
      </c>
      <c r="BO731" t="s">
        <v>365</v>
      </c>
      <c r="BP731" t="s">
        <v>74</v>
      </c>
      <c r="BQ731" t="s">
        <v>74</v>
      </c>
      <c r="BR731" t="s">
        <v>102</v>
      </c>
      <c r="BS731" t="s">
        <v>13598</v>
      </c>
      <c r="BT731" t="str">
        <f>HYPERLINK("https%3A%2F%2Fwww.webofscience.com%2Fwos%2Fwoscc%2Ffull-record%2FWOS:000296894900001","View Full Record in Web of Science")</f>
        <v>View Full Record in Web of Science</v>
      </c>
    </row>
    <row r="732" spans="1:72" x14ac:dyDescent="0.15">
      <c r="A732" t="s">
        <v>72</v>
      </c>
      <c r="B732" t="s">
        <v>13599</v>
      </c>
      <c r="C732" t="s">
        <v>74</v>
      </c>
      <c r="D732" t="s">
        <v>74</v>
      </c>
      <c r="E732" t="s">
        <v>74</v>
      </c>
      <c r="F732" t="s">
        <v>13600</v>
      </c>
      <c r="G732" t="s">
        <v>74</v>
      </c>
      <c r="H732" t="s">
        <v>74</v>
      </c>
      <c r="I732" t="s">
        <v>13601</v>
      </c>
      <c r="J732" t="s">
        <v>13602</v>
      </c>
      <c r="K732" t="s">
        <v>74</v>
      </c>
      <c r="L732" t="s">
        <v>74</v>
      </c>
      <c r="M732" t="s">
        <v>78</v>
      </c>
      <c r="N732" t="s">
        <v>79</v>
      </c>
      <c r="O732" t="s">
        <v>74</v>
      </c>
      <c r="P732" t="s">
        <v>74</v>
      </c>
      <c r="Q732" t="s">
        <v>74</v>
      </c>
      <c r="R732" t="s">
        <v>74</v>
      </c>
      <c r="S732" t="s">
        <v>74</v>
      </c>
      <c r="T732" t="s">
        <v>74</v>
      </c>
      <c r="U732" t="s">
        <v>13603</v>
      </c>
      <c r="V732" t="s">
        <v>13604</v>
      </c>
      <c r="W732" t="s">
        <v>13605</v>
      </c>
      <c r="X732" t="s">
        <v>13606</v>
      </c>
      <c r="Y732" t="s">
        <v>13607</v>
      </c>
      <c r="Z732" t="s">
        <v>13608</v>
      </c>
      <c r="AA732" t="s">
        <v>13609</v>
      </c>
      <c r="AB732" t="s">
        <v>13610</v>
      </c>
      <c r="AC732" t="s">
        <v>13611</v>
      </c>
      <c r="AD732" t="s">
        <v>13612</v>
      </c>
      <c r="AE732" t="s">
        <v>13613</v>
      </c>
      <c r="AF732" t="s">
        <v>74</v>
      </c>
      <c r="AG732">
        <v>36</v>
      </c>
      <c r="AH732">
        <v>12</v>
      </c>
      <c r="AI732">
        <v>12</v>
      </c>
      <c r="AJ732">
        <v>0</v>
      </c>
      <c r="AK732">
        <v>18</v>
      </c>
      <c r="AL732" t="s">
        <v>13614</v>
      </c>
      <c r="AM732" t="s">
        <v>13615</v>
      </c>
      <c r="AN732" t="s">
        <v>13616</v>
      </c>
      <c r="AO732" t="s">
        <v>13617</v>
      </c>
      <c r="AP732" t="s">
        <v>74</v>
      </c>
      <c r="AQ732" t="s">
        <v>74</v>
      </c>
      <c r="AR732" t="s">
        <v>13618</v>
      </c>
      <c r="AS732" t="s">
        <v>13619</v>
      </c>
      <c r="AT732" t="s">
        <v>12989</v>
      </c>
      <c r="AU732">
        <v>2011</v>
      </c>
      <c r="AV732">
        <v>221</v>
      </c>
      <c r="AW732">
        <v>2</v>
      </c>
      <c r="AX732" t="s">
        <v>74</v>
      </c>
      <c r="AY732" t="s">
        <v>74</v>
      </c>
      <c r="AZ732" t="s">
        <v>74</v>
      </c>
      <c r="BA732" t="s">
        <v>74</v>
      </c>
      <c r="BB732">
        <v>155</v>
      </c>
      <c r="BC732">
        <v>163</v>
      </c>
      <c r="BD732" t="s">
        <v>74</v>
      </c>
      <c r="BE732" t="s">
        <v>13620</v>
      </c>
      <c r="BF732" t="str">
        <f>HYPERLINK("http://dx.doi.org/10.1086/BBLv221n2p155","http://dx.doi.org/10.1086/BBLv221n2p155")</f>
        <v>http://dx.doi.org/10.1086/BBLv221n2p155</v>
      </c>
      <c r="BG732" t="s">
        <v>74</v>
      </c>
      <c r="BH732" t="s">
        <v>74</v>
      </c>
      <c r="BI732">
        <v>9</v>
      </c>
      <c r="BJ732" t="s">
        <v>13621</v>
      </c>
      <c r="BK732" t="s">
        <v>100</v>
      </c>
      <c r="BL732" t="s">
        <v>13622</v>
      </c>
      <c r="BM732" t="s">
        <v>13623</v>
      </c>
      <c r="BN732">
        <v>22042434</v>
      </c>
      <c r="BO732" t="s">
        <v>342</v>
      </c>
      <c r="BP732" t="s">
        <v>74</v>
      </c>
      <c r="BQ732" t="s">
        <v>74</v>
      </c>
      <c r="BR732" t="s">
        <v>102</v>
      </c>
      <c r="BS732" t="s">
        <v>13624</v>
      </c>
      <c r="BT732" t="str">
        <f>HYPERLINK("https%3A%2F%2Fwww.webofscience.com%2Fwos%2Fwoscc%2Ffull-record%2FWOS:000296594800002","View Full Record in Web of Science")</f>
        <v>View Full Record in Web of Science</v>
      </c>
    </row>
    <row r="733" spans="1:72" x14ac:dyDescent="0.15">
      <c r="A733" t="s">
        <v>72</v>
      </c>
      <c r="B733" t="s">
        <v>13625</v>
      </c>
      <c r="C733" t="s">
        <v>74</v>
      </c>
      <c r="D733" t="s">
        <v>74</v>
      </c>
      <c r="E733" t="s">
        <v>74</v>
      </c>
      <c r="F733" t="s">
        <v>13626</v>
      </c>
      <c r="G733" t="s">
        <v>74</v>
      </c>
      <c r="H733" t="s">
        <v>74</v>
      </c>
      <c r="I733" t="s">
        <v>13627</v>
      </c>
      <c r="J733" t="s">
        <v>3766</v>
      </c>
      <c r="K733" t="s">
        <v>74</v>
      </c>
      <c r="L733" t="s">
        <v>74</v>
      </c>
      <c r="M733" t="s">
        <v>78</v>
      </c>
      <c r="N733" t="s">
        <v>79</v>
      </c>
      <c r="O733" t="s">
        <v>74</v>
      </c>
      <c r="P733" t="s">
        <v>74</v>
      </c>
      <c r="Q733" t="s">
        <v>74</v>
      </c>
      <c r="R733" t="s">
        <v>74</v>
      </c>
      <c r="S733" t="s">
        <v>74</v>
      </c>
      <c r="T733" t="s">
        <v>74</v>
      </c>
      <c r="U733" t="s">
        <v>13628</v>
      </c>
      <c r="V733" t="s">
        <v>13629</v>
      </c>
      <c r="W733" t="s">
        <v>13630</v>
      </c>
      <c r="X733" t="s">
        <v>13631</v>
      </c>
      <c r="Y733" t="s">
        <v>13632</v>
      </c>
      <c r="Z733" t="s">
        <v>13633</v>
      </c>
      <c r="AA733" t="s">
        <v>13634</v>
      </c>
      <c r="AB733" t="s">
        <v>13635</v>
      </c>
      <c r="AC733" t="s">
        <v>13636</v>
      </c>
      <c r="AD733" t="s">
        <v>13637</v>
      </c>
      <c r="AE733" t="s">
        <v>13638</v>
      </c>
      <c r="AF733" t="s">
        <v>74</v>
      </c>
      <c r="AG733">
        <v>33</v>
      </c>
      <c r="AH733">
        <v>9</v>
      </c>
      <c r="AI733">
        <v>9</v>
      </c>
      <c r="AJ733">
        <v>0</v>
      </c>
      <c r="AK733">
        <v>6</v>
      </c>
      <c r="AL733" t="s">
        <v>3775</v>
      </c>
      <c r="AM733" t="s">
        <v>3776</v>
      </c>
      <c r="AN733" t="s">
        <v>3777</v>
      </c>
      <c r="AO733" t="s">
        <v>3778</v>
      </c>
      <c r="AP733" t="s">
        <v>3779</v>
      </c>
      <c r="AQ733" t="s">
        <v>74</v>
      </c>
      <c r="AR733" t="s">
        <v>3780</v>
      </c>
      <c r="AS733" t="s">
        <v>3781</v>
      </c>
      <c r="AT733" t="s">
        <v>12989</v>
      </c>
      <c r="AU733">
        <v>2011</v>
      </c>
      <c r="AV733">
        <v>28</v>
      </c>
      <c r="AW733">
        <v>10</v>
      </c>
      <c r="AX733" t="s">
        <v>74</v>
      </c>
      <c r="AY733" t="s">
        <v>74</v>
      </c>
      <c r="AZ733" t="s">
        <v>74</v>
      </c>
      <c r="BA733" t="s">
        <v>74</v>
      </c>
      <c r="BB733">
        <v>1351</v>
      </c>
      <c r="BC733">
        <v>1360</v>
      </c>
      <c r="BD733" t="s">
        <v>74</v>
      </c>
      <c r="BE733" t="s">
        <v>13639</v>
      </c>
      <c r="BF733" t="str">
        <f>HYPERLINK("http://dx.doi.org/10.1175/JTECH-D-10-05033.1","http://dx.doi.org/10.1175/JTECH-D-10-05033.1")</f>
        <v>http://dx.doi.org/10.1175/JTECH-D-10-05033.1</v>
      </c>
      <c r="BG733" t="s">
        <v>74</v>
      </c>
      <c r="BH733" t="s">
        <v>74</v>
      </c>
      <c r="BI733">
        <v>10</v>
      </c>
      <c r="BJ733" t="s">
        <v>3783</v>
      </c>
      <c r="BK733" t="s">
        <v>100</v>
      </c>
      <c r="BL733" t="s">
        <v>3784</v>
      </c>
      <c r="BM733" t="s">
        <v>13640</v>
      </c>
      <c r="BN733" t="s">
        <v>74</v>
      </c>
      <c r="BO733" t="s">
        <v>3786</v>
      </c>
      <c r="BP733" t="s">
        <v>74</v>
      </c>
      <c r="BQ733" t="s">
        <v>74</v>
      </c>
      <c r="BR733" t="s">
        <v>102</v>
      </c>
      <c r="BS733" t="s">
        <v>13641</v>
      </c>
      <c r="BT733" t="str">
        <f>HYPERLINK("https%3A%2F%2Fwww.webofscience.com%2Fwos%2Fwoscc%2Ffull-record%2FWOS:000296658000015","View Full Record in Web of Science")</f>
        <v>View Full Record in Web of Science</v>
      </c>
    </row>
    <row r="734" spans="1:72" x14ac:dyDescent="0.15">
      <c r="A734" t="s">
        <v>72</v>
      </c>
      <c r="B734" t="s">
        <v>13642</v>
      </c>
      <c r="C734" t="s">
        <v>74</v>
      </c>
      <c r="D734" t="s">
        <v>74</v>
      </c>
      <c r="E734" t="s">
        <v>74</v>
      </c>
      <c r="F734" t="s">
        <v>13643</v>
      </c>
      <c r="G734" t="s">
        <v>74</v>
      </c>
      <c r="H734" t="s">
        <v>74</v>
      </c>
      <c r="I734" t="s">
        <v>13644</v>
      </c>
      <c r="J734" t="s">
        <v>13645</v>
      </c>
      <c r="K734" t="s">
        <v>74</v>
      </c>
      <c r="L734" t="s">
        <v>74</v>
      </c>
      <c r="M734" t="s">
        <v>78</v>
      </c>
      <c r="N734" t="s">
        <v>79</v>
      </c>
      <c r="O734" t="s">
        <v>74</v>
      </c>
      <c r="P734" t="s">
        <v>74</v>
      </c>
      <c r="Q734" t="s">
        <v>74</v>
      </c>
      <c r="R734" t="s">
        <v>74</v>
      </c>
      <c r="S734" t="s">
        <v>74</v>
      </c>
      <c r="T734" t="s">
        <v>13646</v>
      </c>
      <c r="U734" t="s">
        <v>13647</v>
      </c>
      <c r="V734" t="s">
        <v>13648</v>
      </c>
      <c r="W734" t="s">
        <v>13649</v>
      </c>
      <c r="X734" t="s">
        <v>13650</v>
      </c>
      <c r="Y734" t="s">
        <v>13651</v>
      </c>
      <c r="Z734" t="s">
        <v>13652</v>
      </c>
      <c r="AA734" t="s">
        <v>13653</v>
      </c>
      <c r="AB734" t="s">
        <v>13654</v>
      </c>
      <c r="AC734" t="s">
        <v>74</v>
      </c>
      <c r="AD734" t="s">
        <v>74</v>
      </c>
      <c r="AE734" t="s">
        <v>74</v>
      </c>
      <c r="AF734" t="s">
        <v>74</v>
      </c>
      <c r="AG734">
        <v>16</v>
      </c>
      <c r="AH734">
        <v>10</v>
      </c>
      <c r="AI734">
        <v>14</v>
      </c>
      <c r="AJ734">
        <v>0</v>
      </c>
      <c r="AK734">
        <v>4</v>
      </c>
      <c r="AL734" t="s">
        <v>3479</v>
      </c>
      <c r="AM734" t="s">
        <v>334</v>
      </c>
      <c r="AN734" t="s">
        <v>3480</v>
      </c>
      <c r="AO734" t="s">
        <v>13655</v>
      </c>
      <c r="AP734" t="s">
        <v>13656</v>
      </c>
      <c r="AQ734" t="s">
        <v>74</v>
      </c>
      <c r="AR734" t="s">
        <v>13657</v>
      </c>
      <c r="AS734" t="s">
        <v>13658</v>
      </c>
      <c r="AT734" t="s">
        <v>12989</v>
      </c>
      <c r="AU734">
        <v>2011</v>
      </c>
      <c r="AV734">
        <v>69</v>
      </c>
      <c r="AW734">
        <v>1</v>
      </c>
      <c r="AX734" t="s">
        <v>74</v>
      </c>
      <c r="AY734" t="s">
        <v>74</v>
      </c>
      <c r="AZ734" t="s">
        <v>74</v>
      </c>
      <c r="BA734" t="s">
        <v>74</v>
      </c>
      <c r="BB734">
        <v>39</v>
      </c>
      <c r="BC734">
        <v>51</v>
      </c>
      <c r="BD734" t="s">
        <v>74</v>
      </c>
      <c r="BE734" t="s">
        <v>13659</v>
      </c>
      <c r="BF734" t="str">
        <f>HYPERLINK("http://dx.doi.org/10.1016/j.coldregions.2011.07.006","http://dx.doi.org/10.1016/j.coldregions.2011.07.006")</f>
        <v>http://dx.doi.org/10.1016/j.coldregions.2011.07.006</v>
      </c>
      <c r="BG734" t="s">
        <v>74</v>
      </c>
      <c r="BH734" t="s">
        <v>74</v>
      </c>
      <c r="BI734">
        <v>13</v>
      </c>
      <c r="BJ734" t="s">
        <v>13660</v>
      </c>
      <c r="BK734" t="s">
        <v>100</v>
      </c>
      <c r="BL734" t="s">
        <v>13661</v>
      </c>
      <c r="BM734" t="s">
        <v>13662</v>
      </c>
      <c r="BN734" t="s">
        <v>74</v>
      </c>
      <c r="BO734" t="s">
        <v>74</v>
      </c>
      <c r="BP734" t="s">
        <v>74</v>
      </c>
      <c r="BQ734" t="s">
        <v>74</v>
      </c>
      <c r="BR734" t="s">
        <v>102</v>
      </c>
      <c r="BS734" t="s">
        <v>13663</v>
      </c>
      <c r="BT734" t="str">
        <f>HYPERLINK("https%3A%2F%2Fwww.webofscience.com%2Fwos%2Fwoscc%2Ffull-record%2FWOS:000296311100004","View Full Record in Web of Science")</f>
        <v>View Full Record in Web of Science</v>
      </c>
    </row>
    <row r="735" spans="1:72" x14ac:dyDescent="0.15">
      <c r="A735" t="s">
        <v>72</v>
      </c>
      <c r="B735" t="s">
        <v>13664</v>
      </c>
      <c r="C735" t="s">
        <v>74</v>
      </c>
      <c r="D735" t="s">
        <v>74</v>
      </c>
      <c r="E735" t="s">
        <v>74</v>
      </c>
      <c r="F735" t="s">
        <v>13665</v>
      </c>
      <c r="G735" t="s">
        <v>74</v>
      </c>
      <c r="H735" t="s">
        <v>74</v>
      </c>
      <c r="I735" t="s">
        <v>13666</v>
      </c>
      <c r="J735" t="s">
        <v>13667</v>
      </c>
      <c r="K735" t="s">
        <v>74</v>
      </c>
      <c r="L735" t="s">
        <v>74</v>
      </c>
      <c r="M735" t="s">
        <v>78</v>
      </c>
      <c r="N735" t="s">
        <v>79</v>
      </c>
      <c r="O735" t="s">
        <v>74</v>
      </c>
      <c r="P735" t="s">
        <v>74</v>
      </c>
      <c r="Q735" t="s">
        <v>74</v>
      </c>
      <c r="R735" t="s">
        <v>74</v>
      </c>
      <c r="S735" t="s">
        <v>74</v>
      </c>
      <c r="T735" t="s">
        <v>74</v>
      </c>
      <c r="U735" t="s">
        <v>13668</v>
      </c>
      <c r="V735" t="s">
        <v>13669</v>
      </c>
      <c r="W735" t="s">
        <v>13670</v>
      </c>
      <c r="X735" t="s">
        <v>13671</v>
      </c>
      <c r="Y735" t="s">
        <v>13672</v>
      </c>
      <c r="Z735" t="s">
        <v>13673</v>
      </c>
      <c r="AA735" t="s">
        <v>74</v>
      </c>
      <c r="AB735" t="s">
        <v>13674</v>
      </c>
      <c r="AC735" t="s">
        <v>13675</v>
      </c>
      <c r="AD735" t="s">
        <v>13676</v>
      </c>
      <c r="AE735" t="s">
        <v>13677</v>
      </c>
      <c r="AF735" t="s">
        <v>74</v>
      </c>
      <c r="AG735">
        <v>34</v>
      </c>
      <c r="AH735">
        <v>11</v>
      </c>
      <c r="AI735">
        <v>12</v>
      </c>
      <c r="AJ735">
        <v>0</v>
      </c>
      <c r="AK735">
        <v>10</v>
      </c>
      <c r="AL735" t="s">
        <v>6529</v>
      </c>
      <c r="AM735" t="s">
        <v>985</v>
      </c>
      <c r="AN735" t="s">
        <v>6530</v>
      </c>
      <c r="AO735" t="s">
        <v>13678</v>
      </c>
      <c r="AP735" t="s">
        <v>13679</v>
      </c>
      <c r="AQ735" t="s">
        <v>74</v>
      </c>
      <c r="AR735" t="s">
        <v>13680</v>
      </c>
      <c r="AS735" t="s">
        <v>13681</v>
      </c>
      <c r="AT735" t="s">
        <v>13682</v>
      </c>
      <c r="AU735">
        <v>2011</v>
      </c>
      <c r="AV735">
        <v>50</v>
      </c>
      <c r="AW735">
        <v>28</v>
      </c>
      <c r="AX735" t="s">
        <v>74</v>
      </c>
      <c r="AY735" t="s">
        <v>74</v>
      </c>
      <c r="AZ735" t="s">
        <v>74</v>
      </c>
      <c r="BA735" t="s">
        <v>74</v>
      </c>
      <c r="BB735" t="s">
        <v>13683</v>
      </c>
      <c r="BC735" t="s">
        <v>13684</v>
      </c>
      <c r="BD735" t="s">
        <v>74</v>
      </c>
      <c r="BE735" t="s">
        <v>13685</v>
      </c>
      <c r="BF735" t="str">
        <f>HYPERLINK("http://dx.doi.org/10.1364/AO.50.00F162","http://dx.doi.org/10.1364/AO.50.00F162")</f>
        <v>http://dx.doi.org/10.1364/AO.50.00F162</v>
      </c>
      <c r="BG735" t="s">
        <v>74</v>
      </c>
      <c r="BH735" t="s">
        <v>74</v>
      </c>
      <c r="BI735">
        <v>10</v>
      </c>
      <c r="BJ735" t="s">
        <v>567</v>
      </c>
      <c r="BK735" t="s">
        <v>100</v>
      </c>
      <c r="BL735" t="s">
        <v>567</v>
      </c>
      <c r="BM735" t="s">
        <v>13686</v>
      </c>
      <c r="BN735">
        <v>22016241</v>
      </c>
      <c r="BO735" t="s">
        <v>74</v>
      </c>
      <c r="BP735" t="s">
        <v>74</v>
      </c>
      <c r="BQ735" t="s">
        <v>74</v>
      </c>
      <c r="BR735" t="s">
        <v>102</v>
      </c>
      <c r="BS735" t="s">
        <v>13687</v>
      </c>
      <c r="BT735" t="str">
        <f>HYPERLINK("https%3A%2F%2Fwww.webofscience.com%2Fwos%2Fwoscc%2Ffull-record%2FWOS:000295842600020","View Full Record in Web of Science")</f>
        <v>View Full Record in Web of Science</v>
      </c>
    </row>
    <row r="736" spans="1:72" x14ac:dyDescent="0.15">
      <c r="A736" t="s">
        <v>72</v>
      </c>
      <c r="B736" t="s">
        <v>13688</v>
      </c>
      <c r="C736" t="s">
        <v>74</v>
      </c>
      <c r="D736" t="s">
        <v>74</v>
      </c>
      <c r="E736" t="s">
        <v>74</v>
      </c>
      <c r="F736" t="s">
        <v>13689</v>
      </c>
      <c r="G736" t="s">
        <v>74</v>
      </c>
      <c r="H736" t="s">
        <v>74</v>
      </c>
      <c r="I736" t="s">
        <v>13690</v>
      </c>
      <c r="J736" t="s">
        <v>13691</v>
      </c>
      <c r="K736" t="s">
        <v>74</v>
      </c>
      <c r="L736" t="s">
        <v>74</v>
      </c>
      <c r="M736" t="s">
        <v>78</v>
      </c>
      <c r="N736" t="s">
        <v>79</v>
      </c>
      <c r="O736" t="s">
        <v>74</v>
      </c>
      <c r="P736" t="s">
        <v>74</v>
      </c>
      <c r="Q736" t="s">
        <v>74</v>
      </c>
      <c r="R736" t="s">
        <v>74</v>
      </c>
      <c r="S736" t="s">
        <v>74</v>
      </c>
      <c r="T736" t="s">
        <v>74</v>
      </c>
      <c r="U736" t="s">
        <v>13692</v>
      </c>
      <c r="V736" t="s">
        <v>13693</v>
      </c>
      <c r="W736" t="s">
        <v>13694</v>
      </c>
      <c r="X736" t="s">
        <v>13695</v>
      </c>
      <c r="Y736" t="s">
        <v>13696</v>
      </c>
      <c r="Z736" t="s">
        <v>13697</v>
      </c>
      <c r="AA736" t="s">
        <v>13698</v>
      </c>
      <c r="AB736" t="s">
        <v>13699</v>
      </c>
      <c r="AC736" t="s">
        <v>13700</v>
      </c>
      <c r="AD736" t="s">
        <v>13701</v>
      </c>
      <c r="AE736" t="s">
        <v>13702</v>
      </c>
      <c r="AF736" t="s">
        <v>74</v>
      </c>
      <c r="AG736">
        <v>38</v>
      </c>
      <c r="AH736">
        <v>8</v>
      </c>
      <c r="AI736">
        <v>11</v>
      </c>
      <c r="AJ736">
        <v>1</v>
      </c>
      <c r="AK736">
        <v>31</v>
      </c>
      <c r="AL736" t="s">
        <v>3802</v>
      </c>
      <c r="AM736" t="s">
        <v>985</v>
      </c>
      <c r="AN736" t="s">
        <v>3803</v>
      </c>
      <c r="AO736" t="s">
        <v>13703</v>
      </c>
      <c r="AP736" t="s">
        <v>13704</v>
      </c>
      <c r="AQ736" t="s">
        <v>74</v>
      </c>
      <c r="AR736" t="s">
        <v>13705</v>
      </c>
      <c r="AS736" t="s">
        <v>13706</v>
      </c>
      <c r="AT736" t="s">
        <v>12989</v>
      </c>
      <c r="AU736">
        <v>2011</v>
      </c>
      <c r="AV736">
        <v>22</v>
      </c>
      <c r="AW736">
        <v>10</v>
      </c>
      <c r="AX736" t="s">
        <v>74</v>
      </c>
      <c r="AY736" t="s">
        <v>74</v>
      </c>
      <c r="AZ736" t="s">
        <v>74</v>
      </c>
      <c r="BA736" t="s">
        <v>74</v>
      </c>
      <c r="BB736">
        <v>2166</v>
      </c>
      <c r="BC736">
        <v>2171</v>
      </c>
      <c r="BD736" t="s">
        <v>74</v>
      </c>
      <c r="BE736" t="s">
        <v>13707</v>
      </c>
      <c r="BF736" t="str">
        <f>HYPERLINK("http://dx.doi.org/10.1021/bc2004318","http://dx.doi.org/10.1021/bc2004318")</f>
        <v>http://dx.doi.org/10.1021/bc2004318</v>
      </c>
      <c r="BG736" t="s">
        <v>74</v>
      </c>
      <c r="BH736" t="s">
        <v>74</v>
      </c>
      <c r="BI736">
        <v>6</v>
      </c>
      <c r="BJ736" t="s">
        <v>13708</v>
      </c>
      <c r="BK736" t="s">
        <v>100</v>
      </c>
      <c r="BL736" t="s">
        <v>7302</v>
      </c>
      <c r="BM736" t="s">
        <v>13709</v>
      </c>
      <c r="BN736">
        <v>21905742</v>
      </c>
      <c r="BO736" t="s">
        <v>74</v>
      </c>
      <c r="BP736" t="s">
        <v>74</v>
      </c>
      <c r="BQ736" t="s">
        <v>74</v>
      </c>
      <c r="BR736" t="s">
        <v>102</v>
      </c>
      <c r="BS736" t="s">
        <v>13710</v>
      </c>
      <c r="BT736" t="str">
        <f>HYPERLINK("https%3A%2F%2Fwww.webofscience.com%2Fwos%2Fwoscc%2Ffull-record%2FWOS:000295915100032","View Full Record in Web of Science")</f>
        <v>View Full Record in Web of Science</v>
      </c>
    </row>
    <row r="737" spans="1:72" x14ac:dyDescent="0.15">
      <c r="A737" t="s">
        <v>72</v>
      </c>
      <c r="B737" t="s">
        <v>7688</v>
      </c>
      <c r="C737" t="s">
        <v>74</v>
      </c>
      <c r="D737" t="s">
        <v>74</v>
      </c>
      <c r="E737" t="s">
        <v>74</v>
      </c>
      <c r="F737" t="s">
        <v>7689</v>
      </c>
      <c r="G737" t="s">
        <v>74</v>
      </c>
      <c r="H737" t="s">
        <v>74</v>
      </c>
      <c r="I737" t="s">
        <v>13711</v>
      </c>
      <c r="J737" t="s">
        <v>7691</v>
      </c>
      <c r="K737" t="s">
        <v>74</v>
      </c>
      <c r="L737" t="s">
        <v>74</v>
      </c>
      <c r="M737" t="s">
        <v>78</v>
      </c>
      <c r="N737" t="s">
        <v>79</v>
      </c>
      <c r="O737" t="s">
        <v>74</v>
      </c>
      <c r="P737" t="s">
        <v>74</v>
      </c>
      <c r="Q737" t="s">
        <v>74</v>
      </c>
      <c r="R737" t="s">
        <v>74</v>
      </c>
      <c r="S737" t="s">
        <v>74</v>
      </c>
      <c r="T737" t="s">
        <v>13712</v>
      </c>
      <c r="U737" t="s">
        <v>13713</v>
      </c>
      <c r="V737" t="s">
        <v>13714</v>
      </c>
      <c r="W737" t="s">
        <v>7693</v>
      </c>
      <c r="X737" t="s">
        <v>7694</v>
      </c>
      <c r="Y737" t="s">
        <v>7695</v>
      </c>
      <c r="Z737" t="s">
        <v>7696</v>
      </c>
      <c r="AA737" t="s">
        <v>13715</v>
      </c>
      <c r="AB737" t="s">
        <v>13716</v>
      </c>
      <c r="AC737" t="s">
        <v>13717</v>
      </c>
      <c r="AD737" t="s">
        <v>3661</v>
      </c>
      <c r="AE737" t="s">
        <v>13718</v>
      </c>
      <c r="AF737" t="s">
        <v>74</v>
      </c>
      <c r="AG737">
        <v>37</v>
      </c>
      <c r="AH737">
        <v>4</v>
      </c>
      <c r="AI737">
        <v>4</v>
      </c>
      <c r="AJ737">
        <v>0</v>
      </c>
      <c r="AK737">
        <v>10</v>
      </c>
      <c r="AL737" t="s">
        <v>7342</v>
      </c>
      <c r="AM737" t="s">
        <v>413</v>
      </c>
      <c r="AN737" t="s">
        <v>7343</v>
      </c>
      <c r="AO737" t="s">
        <v>7699</v>
      </c>
      <c r="AP737" t="s">
        <v>7700</v>
      </c>
      <c r="AQ737" t="s">
        <v>74</v>
      </c>
      <c r="AR737" t="s">
        <v>7701</v>
      </c>
      <c r="AS737" t="s">
        <v>7702</v>
      </c>
      <c r="AT737" t="s">
        <v>12989</v>
      </c>
      <c r="AU737">
        <v>2011</v>
      </c>
      <c r="AV737">
        <v>47</v>
      </c>
      <c r="AW737">
        <v>5</v>
      </c>
      <c r="AX737" t="s">
        <v>74</v>
      </c>
      <c r="AY737" t="s">
        <v>74</v>
      </c>
      <c r="AZ737" t="s">
        <v>74</v>
      </c>
      <c r="BA737" t="s">
        <v>74</v>
      </c>
      <c r="BB737">
        <v>628</v>
      </c>
      <c r="BC737">
        <v>641</v>
      </c>
      <c r="BD737" t="s">
        <v>74</v>
      </c>
      <c r="BE737" t="s">
        <v>13719</v>
      </c>
      <c r="BF737" t="str">
        <f>HYPERLINK("http://dx.doi.org/10.1134/S0001433811050070","http://dx.doi.org/10.1134/S0001433811050070")</f>
        <v>http://dx.doi.org/10.1134/S0001433811050070</v>
      </c>
      <c r="BG737" t="s">
        <v>74</v>
      </c>
      <c r="BH737" t="s">
        <v>74</v>
      </c>
      <c r="BI737">
        <v>14</v>
      </c>
      <c r="BJ737" t="s">
        <v>5044</v>
      </c>
      <c r="BK737" t="s">
        <v>100</v>
      </c>
      <c r="BL737" t="s">
        <v>5044</v>
      </c>
      <c r="BM737" t="s">
        <v>13720</v>
      </c>
      <c r="BN737" t="s">
        <v>74</v>
      </c>
      <c r="BO737" t="s">
        <v>74</v>
      </c>
      <c r="BP737" t="s">
        <v>74</v>
      </c>
      <c r="BQ737" t="s">
        <v>74</v>
      </c>
      <c r="BR737" t="s">
        <v>102</v>
      </c>
      <c r="BS737" t="s">
        <v>13721</v>
      </c>
      <c r="BT737" t="str">
        <f>HYPERLINK("https%3A%2F%2Fwww.webofscience.com%2Fwos%2Fwoscc%2Ffull-record%2FWOS:000296091400009","View Full Record in Web of Science")</f>
        <v>View Full Record in Web of Science</v>
      </c>
    </row>
    <row r="738" spans="1:72" x14ac:dyDescent="0.15">
      <c r="A738" t="s">
        <v>72</v>
      </c>
      <c r="B738" t="s">
        <v>13722</v>
      </c>
      <c r="C738" t="s">
        <v>74</v>
      </c>
      <c r="D738" t="s">
        <v>74</v>
      </c>
      <c r="E738" t="s">
        <v>74</v>
      </c>
      <c r="F738" t="s">
        <v>13723</v>
      </c>
      <c r="G738" t="s">
        <v>74</v>
      </c>
      <c r="H738" t="s">
        <v>74</v>
      </c>
      <c r="I738" t="s">
        <v>13724</v>
      </c>
      <c r="J738" t="s">
        <v>8684</v>
      </c>
      <c r="K738" t="s">
        <v>74</v>
      </c>
      <c r="L738" t="s">
        <v>74</v>
      </c>
      <c r="M738" t="s">
        <v>78</v>
      </c>
      <c r="N738" t="s">
        <v>79</v>
      </c>
      <c r="O738" t="s">
        <v>74</v>
      </c>
      <c r="P738" t="s">
        <v>74</v>
      </c>
      <c r="Q738" t="s">
        <v>74</v>
      </c>
      <c r="R738" t="s">
        <v>74</v>
      </c>
      <c r="S738" t="s">
        <v>74</v>
      </c>
      <c r="T738" t="s">
        <v>13725</v>
      </c>
      <c r="U738" t="s">
        <v>13726</v>
      </c>
      <c r="V738" t="s">
        <v>13727</v>
      </c>
      <c r="W738" t="s">
        <v>13728</v>
      </c>
      <c r="X738" t="s">
        <v>13729</v>
      </c>
      <c r="Y738" t="s">
        <v>13730</v>
      </c>
      <c r="Z738" t="s">
        <v>13731</v>
      </c>
      <c r="AA738" t="s">
        <v>74</v>
      </c>
      <c r="AB738" t="s">
        <v>74</v>
      </c>
      <c r="AC738" t="s">
        <v>13732</v>
      </c>
      <c r="AD738" t="s">
        <v>13733</v>
      </c>
      <c r="AE738" t="s">
        <v>13734</v>
      </c>
      <c r="AF738" t="s">
        <v>74</v>
      </c>
      <c r="AG738">
        <v>65</v>
      </c>
      <c r="AH738">
        <v>15</v>
      </c>
      <c r="AI738">
        <v>20</v>
      </c>
      <c r="AJ738">
        <v>2</v>
      </c>
      <c r="AK738">
        <v>33</v>
      </c>
      <c r="AL738" t="s">
        <v>2832</v>
      </c>
      <c r="AM738" t="s">
        <v>796</v>
      </c>
      <c r="AN738" t="s">
        <v>797</v>
      </c>
      <c r="AO738" t="s">
        <v>8696</v>
      </c>
      <c r="AP738" t="s">
        <v>8697</v>
      </c>
      <c r="AQ738" t="s">
        <v>74</v>
      </c>
      <c r="AR738" t="s">
        <v>8698</v>
      </c>
      <c r="AS738" t="s">
        <v>8699</v>
      </c>
      <c r="AT738" t="s">
        <v>12989</v>
      </c>
      <c r="AU738">
        <v>2011</v>
      </c>
      <c r="AV738">
        <v>47</v>
      </c>
      <c r="AW738">
        <v>5</v>
      </c>
      <c r="AX738" t="s">
        <v>74</v>
      </c>
      <c r="AY738" t="s">
        <v>74</v>
      </c>
      <c r="AZ738" t="s">
        <v>74</v>
      </c>
      <c r="BA738" t="s">
        <v>74</v>
      </c>
      <c r="BB738">
        <v>1098</v>
      </c>
      <c r="BC738">
        <v>1109</v>
      </c>
      <c r="BD738" t="s">
        <v>74</v>
      </c>
      <c r="BE738" t="s">
        <v>13735</v>
      </c>
      <c r="BF738" t="str">
        <f>HYPERLINK("http://dx.doi.org/10.1111/j.1529-8817.2011.01047.x","http://dx.doi.org/10.1111/j.1529-8817.2011.01047.x")</f>
        <v>http://dx.doi.org/10.1111/j.1529-8817.2011.01047.x</v>
      </c>
      <c r="BG738" t="s">
        <v>74</v>
      </c>
      <c r="BH738" t="s">
        <v>74</v>
      </c>
      <c r="BI738">
        <v>12</v>
      </c>
      <c r="BJ738" t="s">
        <v>8701</v>
      </c>
      <c r="BK738" t="s">
        <v>100</v>
      </c>
      <c r="BL738" t="s">
        <v>8701</v>
      </c>
      <c r="BM738" t="s">
        <v>13736</v>
      </c>
      <c r="BN738">
        <v>27020192</v>
      </c>
      <c r="BO738" t="s">
        <v>74</v>
      </c>
      <c r="BP738" t="s">
        <v>74</v>
      </c>
      <c r="BQ738" t="s">
        <v>74</v>
      </c>
      <c r="BR738" t="s">
        <v>102</v>
      </c>
      <c r="BS738" t="s">
        <v>13737</v>
      </c>
      <c r="BT738" t="str">
        <f>HYPERLINK("https%3A%2F%2Fwww.webofscience.com%2Fwos%2Fwoscc%2Ffull-record%2FWOS:000296084800016","View Full Record in Web of Science")</f>
        <v>View Full Record in Web of Science</v>
      </c>
    </row>
    <row r="739" spans="1:72" x14ac:dyDescent="0.15">
      <c r="A739" t="s">
        <v>72</v>
      </c>
      <c r="B739" t="s">
        <v>13738</v>
      </c>
      <c r="C739" t="s">
        <v>74</v>
      </c>
      <c r="D739" t="s">
        <v>74</v>
      </c>
      <c r="E739" t="s">
        <v>74</v>
      </c>
      <c r="F739" t="s">
        <v>13739</v>
      </c>
      <c r="G739" t="s">
        <v>74</v>
      </c>
      <c r="H739" t="s">
        <v>74</v>
      </c>
      <c r="I739" t="s">
        <v>13740</v>
      </c>
      <c r="J739" t="s">
        <v>7392</v>
      </c>
      <c r="K739" t="s">
        <v>74</v>
      </c>
      <c r="L739" t="s">
        <v>74</v>
      </c>
      <c r="M739" t="s">
        <v>78</v>
      </c>
      <c r="N739" t="s">
        <v>79</v>
      </c>
      <c r="O739" t="s">
        <v>74</v>
      </c>
      <c r="P739" t="s">
        <v>74</v>
      </c>
      <c r="Q739" t="s">
        <v>74</v>
      </c>
      <c r="R739" t="s">
        <v>74</v>
      </c>
      <c r="S739" t="s">
        <v>74</v>
      </c>
      <c r="T739" t="s">
        <v>74</v>
      </c>
      <c r="U739" t="s">
        <v>13741</v>
      </c>
      <c r="V739" t="s">
        <v>13742</v>
      </c>
      <c r="W739" t="s">
        <v>13743</v>
      </c>
      <c r="X739" t="s">
        <v>13744</v>
      </c>
      <c r="Y739" t="s">
        <v>74</v>
      </c>
      <c r="Z739" t="s">
        <v>13745</v>
      </c>
      <c r="AA739" t="s">
        <v>13746</v>
      </c>
      <c r="AB739" t="s">
        <v>13747</v>
      </c>
      <c r="AC739" t="s">
        <v>13748</v>
      </c>
      <c r="AD739" t="s">
        <v>13749</v>
      </c>
      <c r="AE739" t="s">
        <v>13750</v>
      </c>
      <c r="AF739" t="s">
        <v>74</v>
      </c>
      <c r="AG739">
        <v>65</v>
      </c>
      <c r="AH739">
        <v>17</v>
      </c>
      <c r="AI739">
        <v>18</v>
      </c>
      <c r="AJ739">
        <v>0</v>
      </c>
      <c r="AK739">
        <v>30</v>
      </c>
      <c r="AL739" t="s">
        <v>7404</v>
      </c>
      <c r="AM739" t="s">
        <v>7405</v>
      </c>
      <c r="AN739" t="s">
        <v>7406</v>
      </c>
      <c r="AO739" t="s">
        <v>7407</v>
      </c>
      <c r="AP739" t="s">
        <v>7408</v>
      </c>
      <c r="AQ739" t="s">
        <v>74</v>
      </c>
      <c r="AR739" t="s">
        <v>7409</v>
      </c>
      <c r="AS739" t="s">
        <v>7410</v>
      </c>
      <c r="AT739" t="s">
        <v>12989</v>
      </c>
      <c r="AU739">
        <v>2011</v>
      </c>
      <c r="AV739">
        <v>158</v>
      </c>
      <c r="AW739">
        <v>10</v>
      </c>
      <c r="AX739" t="s">
        <v>74</v>
      </c>
      <c r="AY739" t="s">
        <v>74</v>
      </c>
      <c r="AZ739" t="s">
        <v>74</v>
      </c>
      <c r="BA739" t="s">
        <v>74</v>
      </c>
      <c r="BB739">
        <v>2313</v>
      </c>
      <c r="BC739">
        <v>2325</v>
      </c>
      <c r="BD739" t="s">
        <v>74</v>
      </c>
      <c r="BE739" t="s">
        <v>13751</v>
      </c>
      <c r="BF739" t="str">
        <f>HYPERLINK("http://dx.doi.org/10.1007/s00227-011-1735-2","http://dx.doi.org/10.1007/s00227-011-1735-2")</f>
        <v>http://dx.doi.org/10.1007/s00227-011-1735-2</v>
      </c>
      <c r="BG739" t="s">
        <v>74</v>
      </c>
      <c r="BH739" t="s">
        <v>74</v>
      </c>
      <c r="BI739">
        <v>13</v>
      </c>
      <c r="BJ739" t="s">
        <v>1015</v>
      </c>
      <c r="BK739" t="s">
        <v>100</v>
      </c>
      <c r="BL739" t="s">
        <v>1015</v>
      </c>
      <c r="BM739" t="s">
        <v>13752</v>
      </c>
      <c r="BN739" t="s">
        <v>74</v>
      </c>
      <c r="BO739" t="s">
        <v>74</v>
      </c>
      <c r="BP739" t="s">
        <v>74</v>
      </c>
      <c r="BQ739" t="s">
        <v>74</v>
      </c>
      <c r="BR739" t="s">
        <v>102</v>
      </c>
      <c r="BS739" t="s">
        <v>13753</v>
      </c>
      <c r="BT739" t="str">
        <f>HYPERLINK("https%3A%2F%2Fwww.webofscience.com%2Fwos%2Fwoscc%2Ffull-record%2FWOS:000296089900015","View Full Record in Web of Science")</f>
        <v>View Full Record in Web of Science</v>
      </c>
    </row>
    <row r="740" spans="1:72" x14ac:dyDescent="0.15">
      <c r="A740" t="s">
        <v>72</v>
      </c>
      <c r="B740" t="s">
        <v>13754</v>
      </c>
      <c r="C740" t="s">
        <v>74</v>
      </c>
      <c r="D740" t="s">
        <v>74</v>
      </c>
      <c r="E740" t="s">
        <v>74</v>
      </c>
      <c r="F740" t="s">
        <v>13755</v>
      </c>
      <c r="G740" t="s">
        <v>74</v>
      </c>
      <c r="H740" t="s">
        <v>74</v>
      </c>
      <c r="I740" t="s">
        <v>13756</v>
      </c>
      <c r="J740" t="s">
        <v>7842</v>
      </c>
      <c r="K740" t="s">
        <v>74</v>
      </c>
      <c r="L740" t="s">
        <v>74</v>
      </c>
      <c r="M740" t="s">
        <v>78</v>
      </c>
      <c r="N740" t="s">
        <v>79</v>
      </c>
      <c r="O740" t="s">
        <v>74</v>
      </c>
      <c r="P740" t="s">
        <v>74</v>
      </c>
      <c r="Q740" t="s">
        <v>74</v>
      </c>
      <c r="R740" t="s">
        <v>74</v>
      </c>
      <c r="S740" t="s">
        <v>74</v>
      </c>
      <c r="T740" t="s">
        <v>74</v>
      </c>
      <c r="U740" t="s">
        <v>13757</v>
      </c>
      <c r="V740" t="s">
        <v>13758</v>
      </c>
      <c r="W740" t="s">
        <v>13759</v>
      </c>
      <c r="X740" t="s">
        <v>13760</v>
      </c>
      <c r="Y740" t="s">
        <v>13761</v>
      </c>
      <c r="Z740" t="s">
        <v>13762</v>
      </c>
      <c r="AA740" t="s">
        <v>74</v>
      </c>
      <c r="AB740" t="s">
        <v>74</v>
      </c>
      <c r="AC740" t="s">
        <v>13763</v>
      </c>
      <c r="AD740" t="s">
        <v>13764</v>
      </c>
      <c r="AE740" t="s">
        <v>13765</v>
      </c>
      <c r="AF740" t="s">
        <v>74</v>
      </c>
      <c r="AG740">
        <v>22</v>
      </c>
      <c r="AH740">
        <v>33</v>
      </c>
      <c r="AI740">
        <v>35</v>
      </c>
      <c r="AJ740">
        <v>0</v>
      </c>
      <c r="AK740">
        <v>12</v>
      </c>
      <c r="AL740" t="s">
        <v>795</v>
      </c>
      <c r="AM740" t="s">
        <v>1468</v>
      </c>
      <c r="AN740" t="s">
        <v>1469</v>
      </c>
      <c r="AO740" t="s">
        <v>7853</v>
      </c>
      <c r="AP740" t="s">
        <v>74</v>
      </c>
      <c r="AQ740" t="s">
        <v>74</v>
      </c>
      <c r="AR740" t="s">
        <v>7855</v>
      </c>
      <c r="AS740" t="s">
        <v>7856</v>
      </c>
      <c r="AT740" t="s">
        <v>12989</v>
      </c>
      <c r="AU740">
        <v>2011</v>
      </c>
      <c r="AV740">
        <v>46</v>
      </c>
      <c r="AW740">
        <v>10</v>
      </c>
      <c r="AX740" t="s">
        <v>74</v>
      </c>
      <c r="AY740" t="s">
        <v>74</v>
      </c>
      <c r="AZ740" t="s">
        <v>74</v>
      </c>
      <c r="BA740" t="s">
        <v>74</v>
      </c>
      <c r="BB740">
        <v>1498</v>
      </c>
      <c r="BC740">
        <v>1509</v>
      </c>
      <c r="BD740" t="s">
        <v>74</v>
      </c>
      <c r="BE740" t="s">
        <v>13766</v>
      </c>
      <c r="BF740" t="str">
        <f>HYPERLINK("http://dx.doi.org/10.1111/j.1945-5100.2011.01245.x","http://dx.doi.org/10.1111/j.1945-5100.2011.01245.x")</f>
        <v>http://dx.doi.org/10.1111/j.1945-5100.2011.01245.x</v>
      </c>
      <c r="BG740" t="s">
        <v>74</v>
      </c>
      <c r="BH740" t="s">
        <v>74</v>
      </c>
      <c r="BI740">
        <v>12</v>
      </c>
      <c r="BJ740" t="s">
        <v>164</v>
      </c>
      <c r="BK740" t="s">
        <v>100</v>
      </c>
      <c r="BL740" t="s">
        <v>164</v>
      </c>
      <c r="BM740" t="s">
        <v>13767</v>
      </c>
      <c r="BN740" t="s">
        <v>74</v>
      </c>
      <c r="BO740" t="s">
        <v>365</v>
      </c>
      <c r="BP740" t="s">
        <v>74</v>
      </c>
      <c r="BQ740" t="s">
        <v>74</v>
      </c>
      <c r="BR740" t="s">
        <v>102</v>
      </c>
      <c r="BS740" t="s">
        <v>13768</v>
      </c>
      <c r="BT740" t="str">
        <f>HYPERLINK("https%3A%2F%2Fwww.webofscience.com%2Fwos%2Fwoscc%2Ffull-record%2FWOS:000296247400005","View Full Record in Web of Science")</f>
        <v>View Full Record in Web of Science</v>
      </c>
    </row>
    <row r="741" spans="1:72" x14ac:dyDescent="0.15">
      <c r="A741" t="s">
        <v>72</v>
      </c>
      <c r="B741" t="s">
        <v>13769</v>
      </c>
      <c r="C741" t="s">
        <v>74</v>
      </c>
      <c r="D741" t="s">
        <v>74</v>
      </c>
      <c r="E741" t="s">
        <v>74</v>
      </c>
      <c r="F741" t="s">
        <v>13770</v>
      </c>
      <c r="G741" t="s">
        <v>74</v>
      </c>
      <c r="H741" t="s">
        <v>74</v>
      </c>
      <c r="I741" t="s">
        <v>13771</v>
      </c>
      <c r="J741" t="s">
        <v>13772</v>
      </c>
      <c r="K741" t="s">
        <v>74</v>
      </c>
      <c r="L741" t="s">
        <v>74</v>
      </c>
      <c r="M741" t="s">
        <v>78</v>
      </c>
      <c r="N741" t="s">
        <v>79</v>
      </c>
      <c r="O741" t="s">
        <v>74</v>
      </c>
      <c r="P741" t="s">
        <v>74</v>
      </c>
      <c r="Q741" t="s">
        <v>74</v>
      </c>
      <c r="R741" t="s">
        <v>74</v>
      </c>
      <c r="S741" t="s">
        <v>74</v>
      </c>
      <c r="T741" t="s">
        <v>74</v>
      </c>
      <c r="U741" t="s">
        <v>13773</v>
      </c>
      <c r="V741" t="s">
        <v>13774</v>
      </c>
      <c r="W741" t="s">
        <v>13775</v>
      </c>
      <c r="X741" t="s">
        <v>13776</v>
      </c>
      <c r="Y741" t="s">
        <v>13777</v>
      </c>
      <c r="Z741" t="s">
        <v>13778</v>
      </c>
      <c r="AA741" t="s">
        <v>74</v>
      </c>
      <c r="AB741" t="s">
        <v>74</v>
      </c>
      <c r="AC741" t="s">
        <v>13779</v>
      </c>
      <c r="AD741" t="s">
        <v>1053</v>
      </c>
      <c r="AE741" t="s">
        <v>13780</v>
      </c>
      <c r="AF741" t="s">
        <v>74</v>
      </c>
      <c r="AG741">
        <v>69</v>
      </c>
      <c r="AH741">
        <v>8</v>
      </c>
      <c r="AI741">
        <v>9</v>
      </c>
      <c r="AJ741">
        <v>0</v>
      </c>
      <c r="AK741">
        <v>17</v>
      </c>
      <c r="AL741" t="s">
        <v>9906</v>
      </c>
      <c r="AM741" t="s">
        <v>9907</v>
      </c>
      <c r="AN741" t="s">
        <v>9908</v>
      </c>
      <c r="AO741" t="s">
        <v>13781</v>
      </c>
      <c r="AP741" t="s">
        <v>13782</v>
      </c>
      <c r="AQ741" t="s">
        <v>74</v>
      </c>
      <c r="AR741" t="s">
        <v>13783</v>
      </c>
      <c r="AS741" t="s">
        <v>13784</v>
      </c>
      <c r="AT741" t="s">
        <v>12989</v>
      </c>
      <c r="AU741">
        <v>2011</v>
      </c>
      <c r="AV741">
        <v>105</v>
      </c>
      <c r="AW741" t="s">
        <v>6679</v>
      </c>
      <c r="AX741" t="s">
        <v>74</v>
      </c>
      <c r="AY741" t="s">
        <v>74</v>
      </c>
      <c r="AZ741" t="s">
        <v>74</v>
      </c>
      <c r="BA741" t="s">
        <v>74</v>
      </c>
      <c r="BB741">
        <v>387</v>
      </c>
      <c r="BC741">
        <v>402</v>
      </c>
      <c r="BD741" t="s">
        <v>74</v>
      </c>
      <c r="BE741" t="s">
        <v>13785</v>
      </c>
      <c r="BF741" t="str">
        <f>HYPERLINK("http://dx.doi.org/10.1007/s00704-011-0400-5","http://dx.doi.org/10.1007/s00704-011-0400-5")</f>
        <v>http://dx.doi.org/10.1007/s00704-011-0400-5</v>
      </c>
      <c r="BG741" t="s">
        <v>74</v>
      </c>
      <c r="BH741" t="s">
        <v>74</v>
      </c>
      <c r="BI741">
        <v>16</v>
      </c>
      <c r="BJ741" t="s">
        <v>463</v>
      </c>
      <c r="BK741" t="s">
        <v>100</v>
      </c>
      <c r="BL741" t="s">
        <v>463</v>
      </c>
      <c r="BM741" t="s">
        <v>13786</v>
      </c>
      <c r="BN741" t="s">
        <v>74</v>
      </c>
      <c r="BO741" t="s">
        <v>74</v>
      </c>
      <c r="BP741" t="s">
        <v>74</v>
      </c>
      <c r="BQ741" t="s">
        <v>74</v>
      </c>
      <c r="BR741" t="s">
        <v>102</v>
      </c>
      <c r="BS741" t="s">
        <v>13787</v>
      </c>
      <c r="BT741" t="str">
        <f>HYPERLINK("https%3A%2F%2Fwww.webofscience.com%2Fwos%2Fwoscc%2Ffull-record%2FWOS:000296014700008","View Full Record in Web of Science")</f>
        <v>View Full Record in Web of Science</v>
      </c>
    </row>
    <row r="742" spans="1:72" x14ac:dyDescent="0.15">
      <c r="A742" t="s">
        <v>72</v>
      </c>
      <c r="B742" t="s">
        <v>13788</v>
      </c>
      <c r="C742" t="s">
        <v>74</v>
      </c>
      <c r="D742" t="s">
        <v>74</v>
      </c>
      <c r="E742" t="s">
        <v>74</v>
      </c>
      <c r="F742" t="s">
        <v>13789</v>
      </c>
      <c r="G742" t="s">
        <v>74</v>
      </c>
      <c r="H742" t="s">
        <v>74</v>
      </c>
      <c r="I742" t="s">
        <v>13790</v>
      </c>
      <c r="J742" t="s">
        <v>3815</v>
      </c>
      <c r="K742" t="s">
        <v>74</v>
      </c>
      <c r="L742" t="s">
        <v>74</v>
      </c>
      <c r="M742" t="s">
        <v>78</v>
      </c>
      <c r="N742" t="s">
        <v>79</v>
      </c>
      <c r="O742" t="s">
        <v>74</v>
      </c>
      <c r="P742" t="s">
        <v>74</v>
      </c>
      <c r="Q742" t="s">
        <v>74</v>
      </c>
      <c r="R742" t="s">
        <v>74</v>
      </c>
      <c r="S742" t="s">
        <v>74</v>
      </c>
      <c r="T742" t="s">
        <v>74</v>
      </c>
      <c r="U742" t="s">
        <v>13791</v>
      </c>
      <c r="V742" t="s">
        <v>13792</v>
      </c>
      <c r="W742" t="s">
        <v>13793</v>
      </c>
      <c r="X742" t="s">
        <v>13794</v>
      </c>
      <c r="Y742" t="s">
        <v>13795</v>
      </c>
      <c r="Z742" t="s">
        <v>13796</v>
      </c>
      <c r="AA742" t="s">
        <v>13797</v>
      </c>
      <c r="AB742" t="s">
        <v>13798</v>
      </c>
      <c r="AC742" t="s">
        <v>13799</v>
      </c>
      <c r="AD742" t="s">
        <v>13800</v>
      </c>
      <c r="AE742" t="s">
        <v>13801</v>
      </c>
      <c r="AF742" t="s">
        <v>74</v>
      </c>
      <c r="AG742">
        <v>46</v>
      </c>
      <c r="AH742">
        <v>117</v>
      </c>
      <c r="AI742">
        <v>126</v>
      </c>
      <c r="AJ742">
        <v>0</v>
      </c>
      <c r="AK742">
        <v>52</v>
      </c>
      <c r="AL742" t="s">
        <v>3775</v>
      </c>
      <c r="AM742" t="s">
        <v>3776</v>
      </c>
      <c r="AN742" t="s">
        <v>3777</v>
      </c>
      <c r="AO742" t="s">
        <v>3827</v>
      </c>
      <c r="AP742" t="s">
        <v>74</v>
      </c>
      <c r="AQ742" t="s">
        <v>74</v>
      </c>
      <c r="AR742" t="s">
        <v>3829</v>
      </c>
      <c r="AS742" t="s">
        <v>3830</v>
      </c>
      <c r="AT742" t="s">
        <v>13682</v>
      </c>
      <c r="AU742">
        <v>2011</v>
      </c>
      <c r="AV742">
        <v>24</v>
      </c>
      <c r="AW742">
        <v>19</v>
      </c>
      <c r="AX742" t="s">
        <v>74</v>
      </c>
      <c r="AY742" t="s">
        <v>74</v>
      </c>
      <c r="AZ742" t="s">
        <v>74</v>
      </c>
      <c r="BA742" t="s">
        <v>74</v>
      </c>
      <c r="BB742">
        <v>5167</v>
      </c>
      <c r="BC742">
        <v>5186</v>
      </c>
      <c r="BD742" t="s">
        <v>74</v>
      </c>
      <c r="BE742" t="s">
        <v>13802</v>
      </c>
      <c r="BF742" t="str">
        <f>HYPERLINK("http://dx.doi.org/10.1175/2011JCLI4004.1","http://dx.doi.org/10.1175/2011JCLI4004.1")</f>
        <v>http://dx.doi.org/10.1175/2011JCLI4004.1</v>
      </c>
      <c r="BG742" t="s">
        <v>74</v>
      </c>
      <c r="BH742" t="s">
        <v>74</v>
      </c>
      <c r="BI742">
        <v>20</v>
      </c>
      <c r="BJ742" t="s">
        <v>463</v>
      </c>
      <c r="BK742" t="s">
        <v>100</v>
      </c>
      <c r="BL742" t="s">
        <v>463</v>
      </c>
      <c r="BM742" t="s">
        <v>13803</v>
      </c>
      <c r="BN742" t="s">
        <v>74</v>
      </c>
      <c r="BO742" t="s">
        <v>365</v>
      </c>
      <c r="BP742" t="s">
        <v>74</v>
      </c>
      <c r="BQ742" t="s">
        <v>74</v>
      </c>
      <c r="BR742" t="s">
        <v>102</v>
      </c>
      <c r="BS742" t="s">
        <v>13804</v>
      </c>
      <c r="BT742" t="str">
        <f>HYPERLINK("https%3A%2F%2Fwww.webofscience.com%2Fwos%2Fwoscc%2Ffull-record%2FWOS:000295905400014","View Full Record in Web of Science")</f>
        <v>View Full Record in Web of Science</v>
      </c>
    </row>
    <row r="743" spans="1:72" x14ac:dyDescent="0.15">
      <c r="A743" t="s">
        <v>72</v>
      </c>
      <c r="B743" t="s">
        <v>13805</v>
      </c>
      <c r="C743" t="s">
        <v>74</v>
      </c>
      <c r="D743" t="s">
        <v>74</v>
      </c>
      <c r="E743" t="s">
        <v>74</v>
      </c>
      <c r="F743" t="s">
        <v>13806</v>
      </c>
      <c r="G743" t="s">
        <v>74</v>
      </c>
      <c r="H743" t="s">
        <v>74</v>
      </c>
      <c r="I743" t="s">
        <v>13807</v>
      </c>
      <c r="J743" t="s">
        <v>8231</v>
      </c>
      <c r="K743" t="s">
        <v>74</v>
      </c>
      <c r="L743" t="s">
        <v>74</v>
      </c>
      <c r="M743" t="s">
        <v>78</v>
      </c>
      <c r="N743" t="s">
        <v>79</v>
      </c>
      <c r="O743" t="s">
        <v>74</v>
      </c>
      <c r="P743" t="s">
        <v>74</v>
      </c>
      <c r="Q743" t="s">
        <v>74</v>
      </c>
      <c r="R743" t="s">
        <v>74</v>
      </c>
      <c r="S743" t="s">
        <v>74</v>
      </c>
      <c r="T743" t="s">
        <v>13808</v>
      </c>
      <c r="U743" t="s">
        <v>13809</v>
      </c>
      <c r="V743" t="s">
        <v>13810</v>
      </c>
      <c r="W743" t="s">
        <v>13811</v>
      </c>
      <c r="X743" t="s">
        <v>13812</v>
      </c>
      <c r="Y743" t="s">
        <v>13813</v>
      </c>
      <c r="Z743" t="s">
        <v>13814</v>
      </c>
      <c r="AA743" t="s">
        <v>13815</v>
      </c>
      <c r="AB743" t="s">
        <v>13816</v>
      </c>
      <c r="AC743" t="s">
        <v>13817</v>
      </c>
      <c r="AD743" t="s">
        <v>13817</v>
      </c>
      <c r="AE743" t="s">
        <v>13818</v>
      </c>
      <c r="AF743" t="s">
        <v>74</v>
      </c>
      <c r="AG743">
        <v>71</v>
      </c>
      <c r="AH743">
        <v>11</v>
      </c>
      <c r="AI743">
        <v>12</v>
      </c>
      <c r="AJ743">
        <v>2</v>
      </c>
      <c r="AK743">
        <v>65</v>
      </c>
      <c r="AL743" t="s">
        <v>250</v>
      </c>
      <c r="AM743" t="s">
        <v>413</v>
      </c>
      <c r="AN743" t="s">
        <v>490</v>
      </c>
      <c r="AO743" t="s">
        <v>8241</v>
      </c>
      <c r="AP743" t="s">
        <v>8242</v>
      </c>
      <c r="AQ743" t="s">
        <v>74</v>
      </c>
      <c r="AR743" t="s">
        <v>8231</v>
      </c>
      <c r="AS743" t="s">
        <v>8243</v>
      </c>
      <c r="AT743" t="s">
        <v>12989</v>
      </c>
      <c r="AU743">
        <v>2011</v>
      </c>
      <c r="AV743">
        <v>167</v>
      </c>
      <c r="AW743">
        <v>2</v>
      </c>
      <c r="AX743" t="s">
        <v>74</v>
      </c>
      <c r="AY743" t="s">
        <v>74</v>
      </c>
      <c r="AZ743" t="s">
        <v>74</v>
      </c>
      <c r="BA743" t="s">
        <v>74</v>
      </c>
      <c r="BB743">
        <v>413</v>
      </c>
      <c r="BC743">
        <v>425</v>
      </c>
      <c r="BD743" t="s">
        <v>74</v>
      </c>
      <c r="BE743" t="s">
        <v>13819</v>
      </c>
      <c r="BF743" t="str">
        <f>HYPERLINK("http://dx.doi.org/10.1007/s00442-011-2002-4","http://dx.doi.org/10.1007/s00442-011-2002-4")</f>
        <v>http://dx.doi.org/10.1007/s00442-011-2002-4</v>
      </c>
      <c r="BG743" t="s">
        <v>74</v>
      </c>
      <c r="BH743" t="s">
        <v>74</v>
      </c>
      <c r="BI743">
        <v>13</v>
      </c>
      <c r="BJ743" t="s">
        <v>2835</v>
      </c>
      <c r="BK743" t="s">
        <v>100</v>
      </c>
      <c r="BL743" t="s">
        <v>2837</v>
      </c>
      <c r="BM743" t="s">
        <v>13820</v>
      </c>
      <c r="BN743">
        <v>21556944</v>
      </c>
      <c r="BO743" t="s">
        <v>74</v>
      </c>
      <c r="BP743" t="s">
        <v>74</v>
      </c>
      <c r="BQ743" t="s">
        <v>74</v>
      </c>
      <c r="BR743" t="s">
        <v>102</v>
      </c>
      <c r="BS743" t="s">
        <v>13821</v>
      </c>
      <c r="BT743" t="str">
        <f>HYPERLINK("https%3A%2F%2Fwww.webofscience.com%2Fwos%2Fwoscc%2Ffull-record%2FWOS:000295984500011","View Full Record in Web of Science")</f>
        <v>View Full Record in Web of Science</v>
      </c>
    </row>
    <row r="744" spans="1:72" x14ac:dyDescent="0.15">
      <c r="A744" t="s">
        <v>72</v>
      </c>
      <c r="B744" t="s">
        <v>13822</v>
      </c>
      <c r="C744" t="s">
        <v>74</v>
      </c>
      <c r="D744" t="s">
        <v>74</v>
      </c>
      <c r="E744" t="s">
        <v>74</v>
      </c>
      <c r="F744" t="s">
        <v>13823</v>
      </c>
      <c r="G744" t="s">
        <v>74</v>
      </c>
      <c r="H744" t="s">
        <v>74</v>
      </c>
      <c r="I744" t="s">
        <v>13824</v>
      </c>
      <c r="J744" t="s">
        <v>13825</v>
      </c>
      <c r="K744" t="s">
        <v>74</v>
      </c>
      <c r="L744" t="s">
        <v>74</v>
      </c>
      <c r="M744" t="s">
        <v>13826</v>
      </c>
      <c r="N744" t="s">
        <v>79</v>
      </c>
      <c r="O744" t="s">
        <v>74</v>
      </c>
      <c r="P744" t="s">
        <v>74</v>
      </c>
      <c r="Q744" t="s">
        <v>74</v>
      </c>
      <c r="R744" t="s">
        <v>74</v>
      </c>
      <c r="S744" t="s">
        <v>74</v>
      </c>
      <c r="T744" t="s">
        <v>13827</v>
      </c>
      <c r="U744" t="s">
        <v>13828</v>
      </c>
      <c r="V744" t="s">
        <v>13829</v>
      </c>
      <c r="W744" t="s">
        <v>13830</v>
      </c>
      <c r="X744" t="s">
        <v>13831</v>
      </c>
      <c r="Y744" t="s">
        <v>13832</v>
      </c>
      <c r="Z744" t="s">
        <v>13833</v>
      </c>
      <c r="AA744" t="s">
        <v>74</v>
      </c>
      <c r="AB744" t="s">
        <v>74</v>
      </c>
      <c r="AC744" t="s">
        <v>74</v>
      </c>
      <c r="AD744" t="s">
        <v>74</v>
      </c>
      <c r="AE744" t="s">
        <v>74</v>
      </c>
      <c r="AF744" t="s">
        <v>74</v>
      </c>
      <c r="AG744">
        <v>15</v>
      </c>
      <c r="AH744">
        <v>3</v>
      </c>
      <c r="AI744">
        <v>4</v>
      </c>
      <c r="AJ744">
        <v>2</v>
      </c>
      <c r="AK744">
        <v>13</v>
      </c>
      <c r="AL744" t="s">
        <v>13834</v>
      </c>
      <c r="AM744" t="s">
        <v>280</v>
      </c>
      <c r="AN744" t="s">
        <v>13835</v>
      </c>
      <c r="AO744" t="s">
        <v>13836</v>
      </c>
      <c r="AP744" t="s">
        <v>74</v>
      </c>
      <c r="AQ744" t="s">
        <v>74</v>
      </c>
      <c r="AR744" t="s">
        <v>13837</v>
      </c>
      <c r="AS744" t="s">
        <v>13838</v>
      </c>
      <c r="AT744" t="s">
        <v>12989</v>
      </c>
      <c r="AU744">
        <v>2011</v>
      </c>
      <c r="AV744">
        <v>31</v>
      </c>
      <c r="AW744">
        <v>10</v>
      </c>
      <c r="AX744" t="s">
        <v>74</v>
      </c>
      <c r="AY744" t="s">
        <v>74</v>
      </c>
      <c r="AZ744" t="s">
        <v>74</v>
      </c>
      <c r="BA744" t="s">
        <v>74</v>
      </c>
      <c r="BB744">
        <v>2688</v>
      </c>
      <c r="BC744">
        <v>2691</v>
      </c>
      <c r="BD744" t="s">
        <v>74</v>
      </c>
      <c r="BE744" t="s">
        <v>13839</v>
      </c>
      <c r="BF744" t="str">
        <f>HYPERLINK("http://dx.doi.org/10.3964/j.issn.1000-0593(2011)10-2688-04","http://dx.doi.org/10.3964/j.issn.1000-0593(2011)10-2688-04")</f>
        <v>http://dx.doi.org/10.3964/j.issn.1000-0593(2011)10-2688-04</v>
      </c>
      <c r="BG744" t="s">
        <v>74</v>
      </c>
      <c r="BH744" t="s">
        <v>74</v>
      </c>
      <c r="BI744">
        <v>4</v>
      </c>
      <c r="BJ744" t="s">
        <v>13840</v>
      </c>
      <c r="BK744" t="s">
        <v>100</v>
      </c>
      <c r="BL744" t="s">
        <v>13840</v>
      </c>
      <c r="BM744" t="s">
        <v>13841</v>
      </c>
      <c r="BN744">
        <v>22250536</v>
      </c>
      <c r="BO744" t="s">
        <v>74</v>
      </c>
      <c r="BP744" t="s">
        <v>74</v>
      </c>
      <c r="BQ744" t="s">
        <v>74</v>
      </c>
      <c r="BR744" t="s">
        <v>102</v>
      </c>
      <c r="BS744" t="s">
        <v>13842</v>
      </c>
      <c r="BT744" t="str">
        <f>HYPERLINK("https%3A%2F%2Fwww.webofscience.com%2Fwos%2Fwoscc%2Ffull-record%2FWOS:000295556300022","View Full Record in Web of Science")</f>
        <v>View Full Record in Web of Science</v>
      </c>
    </row>
    <row r="745" spans="1:72" x14ac:dyDescent="0.15">
      <c r="A745" t="s">
        <v>72</v>
      </c>
      <c r="B745" t="s">
        <v>13843</v>
      </c>
      <c r="C745" t="s">
        <v>74</v>
      </c>
      <c r="D745" t="s">
        <v>74</v>
      </c>
      <c r="E745" t="s">
        <v>74</v>
      </c>
      <c r="F745" t="s">
        <v>13844</v>
      </c>
      <c r="G745" t="s">
        <v>74</v>
      </c>
      <c r="H745" t="s">
        <v>74</v>
      </c>
      <c r="I745" t="s">
        <v>13845</v>
      </c>
      <c r="J745" t="s">
        <v>13846</v>
      </c>
      <c r="K745" t="s">
        <v>74</v>
      </c>
      <c r="L745" t="s">
        <v>74</v>
      </c>
      <c r="M745" t="s">
        <v>78</v>
      </c>
      <c r="N745" t="s">
        <v>79</v>
      </c>
      <c r="O745" t="s">
        <v>74</v>
      </c>
      <c r="P745" t="s">
        <v>74</v>
      </c>
      <c r="Q745" t="s">
        <v>74</v>
      </c>
      <c r="R745" t="s">
        <v>74</v>
      </c>
      <c r="S745" t="s">
        <v>74</v>
      </c>
      <c r="T745" t="s">
        <v>13847</v>
      </c>
      <c r="U745" t="s">
        <v>13848</v>
      </c>
      <c r="V745" t="s">
        <v>13849</v>
      </c>
      <c r="W745" t="s">
        <v>13850</v>
      </c>
      <c r="X745" t="s">
        <v>13851</v>
      </c>
      <c r="Y745" t="s">
        <v>13852</v>
      </c>
      <c r="Z745" t="s">
        <v>13853</v>
      </c>
      <c r="AA745" t="s">
        <v>13854</v>
      </c>
      <c r="AB745" t="s">
        <v>13855</v>
      </c>
      <c r="AC745" t="s">
        <v>13856</v>
      </c>
      <c r="AD745" t="s">
        <v>13856</v>
      </c>
      <c r="AE745" t="s">
        <v>13857</v>
      </c>
      <c r="AF745" t="s">
        <v>74</v>
      </c>
      <c r="AG745">
        <v>42</v>
      </c>
      <c r="AH745">
        <v>66</v>
      </c>
      <c r="AI745">
        <v>68</v>
      </c>
      <c r="AJ745">
        <v>1</v>
      </c>
      <c r="AK745">
        <v>16</v>
      </c>
      <c r="AL745" t="s">
        <v>13858</v>
      </c>
      <c r="AM745" t="s">
        <v>413</v>
      </c>
      <c r="AN745" t="s">
        <v>13859</v>
      </c>
      <c r="AO745" t="s">
        <v>13860</v>
      </c>
      <c r="AP745" t="s">
        <v>13861</v>
      </c>
      <c r="AQ745" t="s">
        <v>74</v>
      </c>
      <c r="AR745" t="s">
        <v>13862</v>
      </c>
      <c r="AS745" t="s">
        <v>13863</v>
      </c>
      <c r="AT745" t="s">
        <v>12989</v>
      </c>
      <c r="AU745">
        <v>2011</v>
      </c>
      <c r="AV745">
        <v>102</v>
      </c>
      <c r="AW745" t="s">
        <v>1776</v>
      </c>
      <c r="AX745" t="s">
        <v>74</v>
      </c>
      <c r="AY745" t="s">
        <v>74</v>
      </c>
      <c r="AZ745" t="s">
        <v>74</v>
      </c>
      <c r="BA745" t="s">
        <v>74</v>
      </c>
      <c r="BB745">
        <v>99</v>
      </c>
      <c r="BC745">
        <v>109</v>
      </c>
      <c r="BD745" t="s">
        <v>74</v>
      </c>
      <c r="BE745" t="s">
        <v>13864</v>
      </c>
      <c r="BF745" t="str">
        <f>HYPERLINK("http://dx.doi.org/10.1016/j.atmosres.2011.06.013","http://dx.doi.org/10.1016/j.atmosres.2011.06.013")</f>
        <v>http://dx.doi.org/10.1016/j.atmosres.2011.06.013</v>
      </c>
      <c r="BG745" t="s">
        <v>74</v>
      </c>
      <c r="BH745" t="s">
        <v>74</v>
      </c>
      <c r="BI745">
        <v>11</v>
      </c>
      <c r="BJ745" t="s">
        <v>463</v>
      </c>
      <c r="BK745" t="s">
        <v>100</v>
      </c>
      <c r="BL745" t="s">
        <v>463</v>
      </c>
      <c r="BM745" t="s">
        <v>13865</v>
      </c>
      <c r="BN745" t="s">
        <v>74</v>
      </c>
      <c r="BO745" t="s">
        <v>74</v>
      </c>
      <c r="BP745" t="s">
        <v>74</v>
      </c>
      <c r="BQ745" t="s">
        <v>74</v>
      </c>
      <c r="BR745" t="s">
        <v>102</v>
      </c>
      <c r="BS745" t="s">
        <v>13866</v>
      </c>
      <c r="BT745" t="str">
        <f>HYPERLINK("https%3A%2F%2Fwww.webofscience.com%2Fwos%2Fwoscc%2Ffull-record%2FWOS:000295653500009","View Full Record in Web of Science")</f>
        <v>View Full Record in Web of Science</v>
      </c>
    </row>
    <row r="746" spans="1:72" x14ac:dyDescent="0.15">
      <c r="A746" t="s">
        <v>72</v>
      </c>
      <c r="B746" t="s">
        <v>13867</v>
      </c>
      <c r="C746" t="s">
        <v>74</v>
      </c>
      <c r="D746" t="s">
        <v>74</v>
      </c>
      <c r="E746" t="s">
        <v>74</v>
      </c>
      <c r="F746" t="s">
        <v>13868</v>
      </c>
      <c r="G746" t="s">
        <v>74</v>
      </c>
      <c r="H746" t="s">
        <v>74</v>
      </c>
      <c r="I746" t="s">
        <v>13869</v>
      </c>
      <c r="J746" t="s">
        <v>13870</v>
      </c>
      <c r="K746" t="s">
        <v>74</v>
      </c>
      <c r="L746" t="s">
        <v>74</v>
      </c>
      <c r="M746" t="s">
        <v>78</v>
      </c>
      <c r="N746" t="s">
        <v>79</v>
      </c>
      <c r="O746" t="s">
        <v>74</v>
      </c>
      <c r="P746" t="s">
        <v>74</v>
      </c>
      <c r="Q746" t="s">
        <v>74</v>
      </c>
      <c r="R746" t="s">
        <v>74</v>
      </c>
      <c r="S746" t="s">
        <v>74</v>
      </c>
      <c r="T746" t="s">
        <v>74</v>
      </c>
      <c r="U746" t="s">
        <v>13871</v>
      </c>
      <c r="V746" t="s">
        <v>13872</v>
      </c>
      <c r="W746" t="s">
        <v>13873</v>
      </c>
      <c r="X746" t="s">
        <v>13874</v>
      </c>
      <c r="Y746" t="s">
        <v>13875</v>
      </c>
      <c r="Z746" t="s">
        <v>13876</v>
      </c>
      <c r="AA746" t="s">
        <v>13877</v>
      </c>
      <c r="AB746" t="s">
        <v>13878</v>
      </c>
      <c r="AC746" t="s">
        <v>13879</v>
      </c>
      <c r="AD746" t="s">
        <v>5293</v>
      </c>
      <c r="AE746" t="s">
        <v>13880</v>
      </c>
      <c r="AF746" t="s">
        <v>74</v>
      </c>
      <c r="AG746">
        <v>73</v>
      </c>
      <c r="AH746">
        <v>18</v>
      </c>
      <c r="AI746">
        <v>23</v>
      </c>
      <c r="AJ746">
        <v>0</v>
      </c>
      <c r="AK746">
        <v>24</v>
      </c>
      <c r="AL746" t="s">
        <v>2832</v>
      </c>
      <c r="AM746" t="s">
        <v>796</v>
      </c>
      <c r="AN746" t="s">
        <v>797</v>
      </c>
      <c r="AO746" t="s">
        <v>13881</v>
      </c>
      <c r="AP746" t="s">
        <v>13882</v>
      </c>
      <c r="AQ746" t="s">
        <v>74</v>
      </c>
      <c r="AR746" t="s">
        <v>13870</v>
      </c>
      <c r="AS746" t="s">
        <v>13883</v>
      </c>
      <c r="AT746" t="s">
        <v>12989</v>
      </c>
      <c r="AU746">
        <v>2011</v>
      </c>
      <c r="AV746">
        <v>40</v>
      </c>
      <c r="AW746">
        <v>4</v>
      </c>
      <c r="AX746" t="s">
        <v>74</v>
      </c>
      <c r="AY746" t="s">
        <v>74</v>
      </c>
      <c r="AZ746" t="s">
        <v>74</v>
      </c>
      <c r="BA746" t="s">
        <v>74</v>
      </c>
      <c r="BB746">
        <v>697</v>
      </c>
      <c r="BC746">
        <v>713</v>
      </c>
      <c r="BD746" t="s">
        <v>74</v>
      </c>
      <c r="BE746" t="s">
        <v>13884</v>
      </c>
      <c r="BF746" t="str">
        <f>HYPERLINK("http://dx.doi.org/10.1111/j.1502-3885.2011.00203.x","http://dx.doi.org/10.1111/j.1502-3885.2011.00203.x")</f>
        <v>http://dx.doi.org/10.1111/j.1502-3885.2011.00203.x</v>
      </c>
      <c r="BG746" t="s">
        <v>74</v>
      </c>
      <c r="BH746" t="s">
        <v>74</v>
      </c>
      <c r="BI746">
        <v>17</v>
      </c>
      <c r="BJ746" t="s">
        <v>226</v>
      </c>
      <c r="BK746" t="s">
        <v>100</v>
      </c>
      <c r="BL746" t="s">
        <v>227</v>
      </c>
      <c r="BM746" t="s">
        <v>13885</v>
      </c>
      <c r="BN746" t="s">
        <v>74</v>
      </c>
      <c r="BO746" t="s">
        <v>1796</v>
      </c>
      <c r="BP746" t="s">
        <v>74</v>
      </c>
      <c r="BQ746" t="s">
        <v>74</v>
      </c>
      <c r="BR746" t="s">
        <v>102</v>
      </c>
      <c r="BS746" t="s">
        <v>13886</v>
      </c>
      <c r="BT746" t="str">
        <f>HYPERLINK("https%3A%2F%2Fwww.webofscience.com%2Fwos%2Fwoscc%2Ffull-record%2FWOS:000295291900010","View Full Record in Web of Science")</f>
        <v>View Full Record in Web of Science</v>
      </c>
    </row>
    <row r="747" spans="1:72" x14ac:dyDescent="0.15">
      <c r="A747" t="s">
        <v>72</v>
      </c>
      <c r="B747" t="s">
        <v>13887</v>
      </c>
      <c r="C747" t="s">
        <v>74</v>
      </c>
      <c r="D747" t="s">
        <v>74</v>
      </c>
      <c r="E747" t="s">
        <v>74</v>
      </c>
      <c r="F747" t="s">
        <v>13888</v>
      </c>
      <c r="G747" t="s">
        <v>74</v>
      </c>
      <c r="H747" t="s">
        <v>74</v>
      </c>
      <c r="I747" t="s">
        <v>13889</v>
      </c>
      <c r="J747" t="s">
        <v>13890</v>
      </c>
      <c r="K747" t="s">
        <v>74</v>
      </c>
      <c r="L747" t="s">
        <v>74</v>
      </c>
      <c r="M747" t="s">
        <v>78</v>
      </c>
      <c r="N747" t="s">
        <v>79</v>
      </c>
      <c r="O747" t="s">
        <v>74</v>
      </c>
      <c r="P747" t="s">
        <v>74</v>
      </c>
      <c r="Q747" t="s">
        <v>74</v>
      </c>
      <c r="R747" t="s">
        <v>74</v>
      </c>
      <c r="S747" t="s">
        <v>74</v>
      </c>
      <c r="T747" t="s">
        <v>13891</v>
      </c>
      <c r="U747" t="s">
        <v>13892</v>
      </c>
      <c r="V747" t="s">
        <v>13893</v>
      </c>
      <c r="W747" t="s">
        <v>13894</v>
      </c>
      <c r="X747" t="s">
        <v>13895</v>
      </c>
      <c r="Y747" t="s">
        <v>13896</v>
      </c>
      <c r="Z747" t="s">
        <v>13897</v>
      </c>
      <c r="AA747" t="s">
        <v>13898</v>
      </c>
      <c r="AB747" t="s">
        <v>13899</v>
      </c>
      <c r="AC747" t="s">
        <v>13900</v>
      </c>
      <c r="AD747" t="s">
        <v>13901</v>
      </c>
      <c r="AE747" t="s">
        <v>13902</v>
      </c>
      <c r="AF747" t="s">
        <v>74</v>
      </c>
      <c r="AG747">
        <v>81</v>
      </c>
      <c r="AH747">
        <v>61</v>
      </c>
      <c r="AI747">
        <v>72</v>
      </c>
      <c r="AJ747">
        <v>1</v>
      </c>
      <c r="AK747">
        <v>50</v>
      </c>
      <c r="AL747" t="s">
        <v>155</v>
      </c>
      <c r="AM747" t="s">
        <v>156</v>
      </c>
      <c r="AN747" t="s">
        <v>157</v>
      </c>
      <c r="AO747" t="s">
        <v>13903</v>
      </c>
      <c r="AP747" t="s">
        <v>13904</v>
      </c>
      <c r="AQ747" t="s">
        <v>74</v>
      </c>
      <c r="AR747" t="s">
        <v>13905</v>
      </c>
      <c r="AS747" t="s">
        <v>13906</v>
      </c>
      <c r="AT747" t="s">
        <v>12989</v>
      </c>
      <c r="AU747">
        <v>2011</v>
      </c>
      <c r="AV747">
        <v>58</v>
      </c>
      <c r="AW747">
        <v>10</v>
      </c>
      <c r="AX747" t="s">
        <v>74</v>
      </c>
      <c r="AY747" t="s">
        <v>74</v>
      </c>
      <c r="AZ747" t="s">
        <v>74</v>
      </c>
      <c r="BA747" t="s">
        <v>74</v>
      </c>
      <c r="BB747">
        <v>1002</v>
      </c>
      <c r="BC747">
        <v>1018</v>
      </c>
      <c r="BD747" t="s">
        <v>74</v>
      </c>
      <c r="BE747" t="s">
        <v>13907</v>
      </c>
      <c r="BF747" t="str">
        <f>HYPERLINK("http://dx.doi.org/10.1016/j.dsr.2011.07.002","http://dx.doi.org/10.1016/j.dsr.2011.07.002")</f>
        <v>http://dx.doi.org/10.1016/j.dsr.2011.07.002</v>
      </c>
      <c r="BG747" t="s">
        <v>74</v>
      </c>
      <c r="BH747" t="s">
        <v>74</v>
      </c>
      <c r="BI747">
        <v>17</v>
      </c>
      <c r="BJ747" t="s">
        <v>496</v>
      </c>
      <c r="BK747" t="s">
        <v>100</v>
      </c>
      <c r="BL747" t="s">
        <v>496</v>
      </c>
      <c r="BM747" t="s">
        <v>13908</v>
      </c>
      <c r="BN747" t="s">
        <v>74</v>
      </c>
      <c r="BO747" t="s">
        <v>74</v>
      </c>
      <c r="BP747" t="s">
        <v>74</v>
      </c>
      <c r="BQ747" t="s">
        <v>74</v>
      </c>
      <c r="BR747" t="s">
        <v>102</v>
      </c>
      <c r="BS747" t="s">
        <v>13909</v>
      </c>
      <c r="BT747" t="str">
        <f>HYPERLINK("https%3A%2F%2Fwww.webofscience.com%2Fwos%2Fwoscc%2Ffull-record%2FWOS:000295815500003","View Full Record in Web of Science")</f>
        <v>View Full Record in Web of Science</v>
      </c>
    </row>
    <row r="748" spans="1:72" x14ac:dyDescent="0.15">
      <c r="A748" t="s">
        <v>72</v>
      </c>
      <c r="B748" t="s">
        <v>13910</v>
      </c>
      <c r="C748" t="s">
        <v>74</v>
      </c>
      <c r="D748" t="s">
        <v>74</v>
      </c>
      <c r="E748" t="s">
        <v>74</v>
      </c>
      <c r="F748" t="s">
        <v>13911</v>
      </c>
      <c r="G748" t="s">
        <v>74</v>
      </c>
      <c r="H748" t="s">
        <v>74</v>
      </c>
      <c r="I748" t="s">
        <v>13912</v>
      </c>
      <c r="J748" t="s">
        <v>2376</v>
      </c>
      <c r="K748" t="s">
        <v>74</v>
      </c>
      <c r="L748" t="s">
        <v>74</v>
      </c>
      <c r="M748" t="s">
        <v>78</v>
      </c>
      <c r="N748" t="s">
        <v>79</v>
      </c>
      <c r="O748" t="s">
        <v>74</v>
      </c>
      <c r="P748" t="s">
        <v>74</v>
      </c>
      <c r="Q748" t="s">
        <v>74</v>
      </c>
      <c r="R748" t="s">
        <v>74</v>
      </c>
      <c r="S748" t="s">
        <v>74</v>
      </c>
      <c r="T748" t="s">
        <v>13913</v>
      </c>
      <c r="U748" t="s">
        <v>13914</v>
      </c>
      <c r="V748" t="s">
        <v>13915</v>
      </c>
      <c r="W748" t="s">
        <v>13916</v>
      </c>
      <c r="X748" t="s">
        <v>13917</v>
      </c>
      <c r="Y748" t="s">
        <v>13918</v>
      </c>
      <c r="Z748" t="s">
        <v>13919</v>
      </c>
      <c r="AA748" t="s">
        <v>13920</v>
      </c>
      <c r="AB748" t="s">
        <v>13921</v>
      </c>
      <c r="AC748" t="s">
        <v>13922</v>
      </c>
      <c r="AD748" t="s">
        <v>13923</v>
      </c>
      <c r="AE748" t="s">
        <v>13924</v>
      </c>
      <c r="AF748" t="s">
        <v>74</v>
      </c>
      <c r="AG748">
        <v>30</v>
      </c>
      <c r="AH748">
        <v>38</v>
      </c>
      <c r="AI748">
        <v>38</v>
      </c>
      <c r="AJ748">
        <v>0</v>
      </c>
      <c r="AK748">
        <v>23</v>
      </c>
      <c r="AL748" t="s">
        <v>155</v>
      </c>
      <c r="AM748" t="s">
        <v>156</v>
      </c>
      <c r="AN748" t="s">
        <v>157</v>
      </c>
      <c r="AO748" t="s">
        <v>2387</v>
      </c>
      <c r="AP748" t="s">
        <v>2388</v>
      </c>
      <c r="AQ748" t="s">
        <v>74</v>
      </c>
      <c r="AR748" t="s">
        <v>2389</v>
      </c>
      <c r="AS748" t="s">
        <v>2390</v>
      </c>
      <c r="AT748" t="s">
        <v>12989</v>
      </c>
      <c r="AU748">
        <v>2011</v>
      </c>
      <c r="AV748">
        <v>58</v>
      </c>
      <c r="AW748" t="s">
        <v>13925</v>
      </c>
      <c r="AX748" t="s">
        <v>74</v>
      </c>
      <c r="AY748" t="s">
        <v>74</v>
      </c>
      <c r="AZ748" t="s">
        <v>74</v>
      </c>
      <c r="BA748" t="s">
        <v>74</v>
      </c>
      <c r="BB748">
        <v>1996</v>
      </c>
      <c r="BC748">
        <v>2003</v>
      </c>
      <c r="BD748" t="s">
        <v>74</v>
      </c>
      <c r="BE748" t="s">
        <v>13926</v>
      </c>
      <c r="BF748" t="str">
        <f>HYPERLINK("http://dx.doi.org/10.1016/j.dsr2.2011.01.009","http://dx.doi.org/10.1016/j.dsr2.2011.01.009")</f>
        <v>http://dx.doi.org/10.1016/j.dsr2.2011.01.009</v>
      </c>
      <c r="BG748" t="s">
        <v>74</v>
      </c>
      <c r="BH748" t="s">
        <v>74</v>
      </c>
      <c r="BI748">
        <v>8</v>
      </c>
      <c r="BJ748" t="s">
        <v>496</v>
      </c>
      <c r="BK748" t="s">
        <v>100</v>
      </c>
      <c r="BL748" t="s">
        <v>496</v>
      </c>
      <c r="BM748" t="s">
        <v>13927</v>
      </c>
      <c r="BN748" t="s">
        <v>74</v>
      </c>
      <c r="BO748" t="s">
        <v>74</v>
      </c>
      <c r="BP748" t="s">
        <v>74</v>
      </c>
      <c r="BQ748" t="s">
        <v>74</v>
      </c>
      <c r="BR748" t="s">
        <v>102</v>
      </c>
      <c r="BS748" t="s">
        <v>13928</v>
      </c>
      <c r="BT748" t="str">
        <f>HYPERLINK("https%3A%2F%2Fwww.webofscience.com%2Fwos%2Fwoscc%2Ffull-record%2FWOS:000295431900005","View Full Record in Web of Science")</f>
        <v>View Full Record in Web of Science</v>
      </c>
    </row>
    <row r="749" spans="1:72" x14ac:dyDescent="0.15">
      <c r="A749" t="s">
        <v>72</v>
      </c>
      <c r="B749" t="s">
        <v>13929</v>
      </c>
      <c r="C749" t="s">
        <v>74</v>
      </c>
      <c r="D749" t="s">
        <v>74</v>
      </c>
      <c r="E749" t="s">
        <v>74</v>
      </c>
      <c r="F749" t="s">
        <v>13930</v>
      </c>
      <c r="G749" t="s">
        <v>74</v>
      </c>
      <c r="H749" t="s">
        <v>74</v>
      </c>
      <c r="I749" t="s">
        <v>13931</v>
      </c>
      <c r="J749" t="s">
        <v>2376</v>
      </c>
      <c r="K749" t="s">
        <v>74</v>
      </c>
      <c r="L749" t="s">
        <v>74</v>
      </c>
      <c r="M749" t="s">
        <v>78</v>
      </c>
      <c r="N749" t="s">
        <v>79</v>
      </c>
      <c r="O749" t="s">
        <v>74</v>
      </c>
      <c r="P749" t="s">
        <v>74</v>
      </c>
      <c r="Q749" t="s">
        <v>74</v>
      </c>
      <c r="R749" t="s">
        <v>74</v>
      </c>
      <c r="S749" t="s">
        <v>74</v>
      </c>
      <c r="T749" t="s">
        <v>13932</v>
      </c>
      <c r="U749" t="s">
        <v>13933</v>
      </c>
      <c r="V749" t="s">
        <v>13934</v>
      </c>
      <c r="W749" t="s">
        <v>13935</v>
      </c>
      <c r="X749" t="s">
        <v>13936</v>
      </c>
      <c r="Y749" t="s">
        <v>13937</v>
      </c>
      <c r="Z749" t="s">
        <v>13938</v>
      </c>
      <c r="AA749" t="s">
        <v>74</v>
      </c>
      <c r="AB749" t="s">
        <v>74</v>
      </c>
      <c r="AC749" t="s">
        <v>13939</v>
      </c>
      <c r="AD749" t="s">
        <v>13940</v>
      </c>
      <c r="AE749" t="s">
        <v>13941</v>
      </c>
      <c r="AF749" t="s">
        <v>74</v>
      </c>
      <c r="AG749">
        <v>29</v>
      </c>
      <c r="AH749">
        <v>15</v>
      </c>
      <c r="AI749">
        <v>16</v>
      </c>
      <c r="AJ749">
        <v>0</v>
      </c>
      <c r="AK749">
        <v>13</v>
      </c>
      <c r="AL749" t="s">
        <v>155</v>
      </c>
      <c r="AM749" t="s">
        <v>156</v>
      </c>
      <c r="AN749" t="s">
        <v>157</v>
      </c>
      <c r="AO749" t="s">
        <v>2387</v>
      </c>
      <c r="AP749" t="s">
        <v>2388</v>
      </c>
      <c r="AQ749" t="s">
        <v>74</v>
      </c>
      <c r="AR749" t="s">
        <v>2389</v>
      </c>
      <c r="AS749" t="s">
        <v>2390</v>
      </c>
      <c r="AT749" t="s">
        <v>12989</v>
      </c>
      <c r="AU749">
        <v>2011</v>
      </c>
      <c r="AV749">
        <v>58</v>
      </c>
      <c r="AW749" t="s">
        <v>13925</v>
      </c>
      <c r="AX749" t="s">
        <v>74</v>
      </c>
      <c r="AY749" t="s">
        <v>74</v>
      </c>
      <c r="AZ749" t="s">
        <v>74</v>
      </c>
      <c r="BA749" t="s">
        <v>74</v>
      </c>
      <c r="BB749">
        <v>2013</v>
      </c>
      <c r="BC749">
        <v>2021</v>
      </c>
      <c r="BD749" t="s">
        <v>74</v>
      </c>
      <c r="BE749" t="s">
        <v>13942</v>
      </c>
      <c r="BF749" t="str">
        <f>HYPERLINK("http://dx.doi.org/10.1016/j.dsr2.2011.01.006","http://dx.doi.org/10.1016/j.dsr2.2011.01.006")</f>
        <v>http://dx.doi.org/10.1016/j.dsr2.2011.01.006</v>
      </c>
      <c r="BG749" t="s">
        <v>74</v>
      </c>
      <c r="BH749" t="s">
        <v>74</v>
      </c>
      <c r="BI749">
        <v>9</v>
      </c>
      <c r="BJ749" t="s">
        <v>496</v>
      </c>
      <c r="BK749" t="s">
        <v>100</v>
      </c>
      <c r="BL749" t="s">
        <v>496</v>
      </c>
      <c r="BM749" t="s">
        <v>13927</v>
      </c>
      <c r="BN749" t="s">
        <v>74</v>
      </c>
      <c r="BO749" t="s">
        <v>74</v>
      </c>
      <c r="BP749" t="s">
        <v>74</v>
      </c>
      <c r="BQ749" t="s">
        <v>74</v>
      </c>
      <c r="BR749" t="s">
        <v>102</v>
      </c>
      <c r="BS749" t="s">
        <v>13943</v>
      </c>
      <c r="BT749" t="str">
        <f>HYPERLINK("https%3A%2F%2Fwww.webofscience.com%2Fwos%2Fwoscc%2Ffull-record%2FWOS:000295431900007","View Full Record in Web of Science")</f>
        <v>View Full Record in Web of Science</v>
      </c>
    </row>
    <row r="750" spans="1:72" x14ac:dyDescent="0.15">
      <c r="A750" t="s">
        <v>72</v>
      </c>
      <c r="B750" t="s">
        <v>13944</v>
      </c>
      <c r="C750" t="s">
        <v>74</v>
      </c>
      <c r="D750" t="s">
        <v>74</v>
      </c>
      <c r="E750" t="s">
        <v>74</v>
      </c>
      <c r="F750" t="s">
        <v>13945</v>
      </c>
      <c r="G750" t="s">
        <v>74</v>
      </c>
      <c r="H750" t="s">
        <v>74</v>
      </c>
      <c r="I750" t="s">
        <v>13946</v>
      </c>
      <c r="J750" t="s">
        <v>2376</v>
      </c>
      <c r="K750" t="s">
        <v>74</v>
      </c>
      <c r="L750" t="s">
        <v>74</v>
      </c>
      <c r="M750" t="s">
        <v>78</v>
      </c>
      <c r="N750" t="s">
        <v>79</v>
      </c>
      <c r="O750" t="s">
        <v>74</v>
      </c>
      <c r="P750" t="s">
        <v>74</v>
      </c>
      <c r="Q750" t="s">
        <v>74</v>
      </c>
      <c r="R750" t="s">
        <v>74</v>
      </c>
      <c r="S750" t="s">
        <v>74</v>
      </c>
      <c r="T750" t="s">
        <v>13947</v>
      </c>
      <c r="U750" t="s">
        <v>13948</v>
      </c>
      <c r="V750" t="s">
        <v>13949</v>
      </c>
      <c r="W750" t="s">
        <v>13950</v>
      </c>
      <c r="X750" t="s">
        <v>13951</v>
      </c>
      <c r="Y750" t="s">
        <v>13952</v>
      </c>
      <c r="Z750" t="s">
        <v>13953</v>
      </c>
      <c r="AA750" t="s">
        <v>74</v>
      </c>
      <c r="AB750" t="s">
        <v>74</v>
      </c>
      <c r="AC750" t="s">
        <v>13954</v>
      </c>
      <c r="AD750" t="s">
        <v>1053</v>
      </c>
      <c r="AE750" t="s">
        <v>13955</v>
      </c>
      <c r="AF750" t="s">
        <v>74</v>
      </c>
      <c r="AG750">
        <v>31</v>
      </c>
      <c r="AH750">
        <v>5</v>
      </c>
      <c r="AI750">
        <v>7</v>
      </c>
      <c r="AJ750">
        <v>0</v>
      </c>
      <c r="AK750">
        <v>12</v>
      </c>
      <c r="AL750" t="s">
        <v>155</v>
      </c>
      <c r="AM750" t="s">
        <v>156</v>
      </c>
      <c r="AN750" t="s">
        <v>157</v>
      </c>
      <c r="AO750" t="s">
        <v>2387</v>
      </c>
      <c r="AP750" t="s">
        <v>74</v>
      </c>
      <c r="AQ750" t="s">
        <v>74</v>
      </c>
      <c r="AR750" t="s">
        <v>2389</v>
      </c>
      <c r="AS750" t="s">
        <v>2390</v>
      </c>
      <c r="AT750" t="s">
        <v>12989</v>
      </c>
      <c r="AU750">
        <v>2011</v>
      </c>
      <c r="AV750">
        <v>58</v>
      </c>
      <c r="AW750" t="s">
        <v>13925</v>
      </c>
      <c r="AX750" t="s">
        <v>74</v>
      </c>
      <c r="AY750" t="s">
        <v>74</v>
      </c>
      <c r="AZ750" t="s">
        <v>74</v>
      </c>
      <c r="BA750" t="s">
        <v>74</v>
      </c>
      <c r="BB750">
        <v>2022</v>
      </c>
      <c r="BC750">
        <v>2026</v>
      </c>
      <c r="BD750" t="s">
        <v>74</v>
      </c>
      <c r="BE750" t="s">
        <v>13956</v>
      </c>
      <c r="BF750" t="str">
        <f>HYPERLINK("http://dx.doi.org/10.1016/j.dsr2.2011.01.007","http://dx.doi.org/10.1016/j.dsr2.2011.01.007")</f>
        <v>http://dx.doi.org/10.1016/j.dsr2.2011.01.007</v>
      </c>
      <c r="BG750" t="s">
        <v>74</v>
      </c>
      <c r="BH750" t="s">
        <v>74</v>
      </c>
      <c r="BI750">
        <v>5</v>
      </c>
      <c r="BJ750" t="s">
        <v>496</v>
      </c>
      <c r="BK750" t="s">
        <v>100</v>
      </c>
      <c r="BL750" t="s">
        <v>496</v>
      </c>
      <c r="BM750" t="s">
        <v>13927</v>
      </c>
      <c r="BN750" t="s">
        <v>74</v>
      </c>
      <c r="BO750" t="s">
        <v>74</v>
      </c>
      <c r="BP750" t="s">
        <v>74</v>
      </c>
      <c r="BQ750" t="s">
        <v>74</v>
      </c>
      <c r="BR750" t="s">
        <v>102</v>
      </c>
      <c r="BS750" t="s">
        <v>13957</v>
      </c>
      <c r="BT750" t="str">
        <f>HYPERLINK("https%3A%2F%2Fwww.webofscience.com%2Fwos%2Fwoscc%2Ffull-record%2FWOS:000295431900008","View Full Record in Web of Science")</f>
        <v>View Full Record in Web of Science</v>
      </c>
    </row>
    <row r="751" spans="1:72" x14ac:dyDescent="0.15">
      <c r="A751" t="s">
        <v>72</v>
      </c>
      <c r="B751" t="s">
        <v>13958</v>
      </c>
      <c r="C751" t="s">
        <v>74</v>
      </c>
      <c r="D751" t="s">
        <v>74</v>
      </c>
      <c r="E751" t="s">
        <v>74</v>
      </c>
      <c r="F751" t="s">
        <v>13959</v>
      </c>
      <c r="G751" t="s">
        <v>74</v>
      </c>
      <c r="H751" t="s">
        <v>74</v>
      </c>
      <c r="I751" t="s">
        <v>13960</v>
      </c>
      <c r="J751" t="s">
        <v>2376</v>
      </c>
      <c r="K751" t="s">
        <v>74</v>
      </c>
      <c r="L751" t="s">
        <v>74</v>
      </c>
      <c r="M751" t="s">
        <v>78</v>
      </c>
      <c r="N751" t="s">
        <v>79</v>
      </c>
      <c r="O751" t="s">
        <v>74</v>
      </c>
      <c r="P751" t="s">
        <v>74</v>
      </c>
      <c r="Q751" t="s">
        <v>74</v>
      </c>
      <c r="R751" t="s">
        <v>74</v>
      </c>
      <c r="S751" t="s">
        <v>74</v>
      </c>
      <c r="T751" t="s">
        <v>13961</v>
      </c>
      <c r="U751" t="s">
        <v>13962</v>
      </c>
      <c r="V751" t="s">
        <v>13963</v>
      </c>
      <c r="W751" t="s">
        <v>13964</v>
      </c>
      <c r="X751" t="s">
        <v>13965</v>
      </c>
      <c r="Y751" t="s">
        <v>13966</v>
      </c>
      <c r="Z751" t="s">
        <v>13967</v>
      </c>
      <c r="AA751" t="s">
        <v>13968</v>
      </c>
      <c r="AB751" t="s">
        <v>13969</v>
      </c>
      <c r="AC751" t="s">
        <v>7089</v>
      </c>
      <c r="AD751" t="s">
        <v>7089</v>
      </c>
      <c r="AE751" t="s">
        <v>13970</v>
      </c>
      <c r="AF751" t="s">
        <v>74</v>
      </c>
      <c r="AG751">
        <v>61</v>
      </c>
      <c r="AH751">
        <v>12</v>
      </c>
      <c r="AI751">
        <v>15</v>
      </c>
      <c r="AJ751">
        <v>1</v>
      </c>
      <c r="AK751">
        <v>36</v>
      </c>
      <c r="AL751" t="s">
        <v>155</v>
      </c>
      <c r="AM751" t="s">
        <v>156</v>
      </c>
      <c r="AN751" t="s">
        <v>157</v>
      </c>
      <c r="AO751" t="s">
        <v>2387</v>
      </c>
      <c r="AP751" t="s">
        <v>2388</v>
      </c>
      <c r="AQ751" t="s">
        <v>74</v>
      </c>
      <c r="AR751" t="s">
        <v>2389</v>
      </c>
      <c r="AS751" t="s">
        <v>2390</v>
      </c>
      <c r="AT751" t="s">
        <v>12989</v>
      </c>
      <c r="AU751">
        <v>2011</v>
      </c>
      <c r="AV751">
        <v>58</v>
      </c>
      <c r="AW751" t="s">
        <v>13925</v>
      </c>
      <c r="AX751" t="s">
        <v>74</v>
      </c>
      <c r="AY751" t="s">
        <v>74</v>
      </c>
      <c r="AZ751" t="s">
        <v>74</v>
      </c>
      <c r="BA751" t="s">
        <v>74</v>
      </c>
      <c r="BB751">
        <v>2036</v>
      </c>
      <c r="BC751">
        <v>2042</v>
      </c>
      <c r="BD751" t="s">
        <v>74</v>
      </c>
      <c r="BE751" t="s">
        <v>13971</v>
      </c>
      <c r="BF751" t="str">
        <f>HYPERLINK("http://dx.doi.org/10.1016/j.dsr2.2011.05.012","http://dx.doi.org/10.1016/j.dsr2.2011.05.012")</f>
        <v>http://dx.doi.org/10.1016/j.dsr2.2011.05.012</v>
      </c>
      <c r="BG751" t="s">
        <v>74</v>
      </c>
      <c r="BH751" t="s">
        <v>74</v>
      </c>
      <c r="BI751">
        <v>7</v>
      </c>
      <c r="BJ751" t="s">
        <v>496</v>
      </c>
      <c r="BK751" t="s">
        <v>100</v>
      </c>
      <c r="BL751" t="s">
        <v>496</v>
      </c>
      <c r="BM751" t="s">
        <v>13927</v>
      </c>
      <c r="BN751" t="s">
        <v>74</v>
      </c>
      <c r="BO751" t="s">
        <v>74</v>
      </c>
      <c r="BP751" t="s">
        <v>74</v>
      </c>
      <c r="BQ751" t="s">
        <v>74</v>
      </c>
      <c r="BR751" t="s">
        <v>102</v>
      </c>
      <c r="BS751" t="s">
        <v>13972</v>
      </c>
      <c r="BT751" t="str">
        <f>HYPERLINK("https%3A%2F%2Fwww.webofscience.com%2Fwos%2Fwoscc%2Ffull-record%2FWOS:000295431900010","View Full Record in Web of Science")</f>
        <v>View Full Record in Web of Science</v>
      </c>
    </row>
    <row r="752" spans="1:72" x14ac:dyDescent="0.15">
      <c r="A752" t="s">
        <v>72</v>
      </c>
      <c r="B752" t="s">
        <v>13973</v>
      </c>
      <c r="C752" t="s">
        <v>74</v>
      </c>
      <c r="D752" t="s">
        <v>74</v>
      </c>
      <c r="E752" t="s">
        <v>74</v>
      </c>
      <c r="F752" t="s">
        <v>13974</v>
      </c>
      <c r="G752" t="s">
        <v>74</v>
      </c>
      <c r="H752" t="s">
        <v>74</v>
      </c>
      <c r="I752" t="s">
        <v>13975</v>
      </c>
      <c r="J752" t="s">
        <v>13976</v>
      </c>
      <c r="K752" t="s">
        <v>74</v>
      </c>
      <c r="L752" t="s">
        <v>74</v>
      </c>
      <c r="M752" t="s">
        <v>78</v>
      </c>
      <c r="N752" t="s">
        <v>79</v>
      </c>
      <c r="O752" t="s">
        <v>74</v>
      </c>
      <c r="P752" t="s">
        <v>74</v>
      </c>
      <c r="Q752" t="s">
        <v>74</v>
      </c>
      <c r="R752" t="s">
        <v>74</v>
      </c>
      <c r="S752" t="s">
        <v>74</v>
      </c>
      <c r="T752" t="s">
        <v>13977</v>
      </c>
      <c r="U752" t="s">
        <v>13978</v>
      </c>
      <c r="V752" t="s">
        <v>13979</v>
      </c>
      <c r="W752" t="s">
        <v>13980</v>
      </c>
      <c r="X752" t="s">
        <v>13981</v>
      </c>
      <c r="Y752" t="s">
        <v>13982</v>
      </c>
      <c r="Z752" t="s">
        <v>13983</v>
      </c>
      <c r="AA752" t="s">
        <v>13984</v>
      </c>
      <c r="AB752" t="s">
        <v>13985</v>
      </c>
      <c r="AC752" t="s">
        <v>13986</v>
      </c>
      <c r="AD752" t="s">
        <v>13987</v>
      </c>
      <c r="AE752" t="s">
        <v>13988</v>
      </c>
      <c r="AF752" t="s">
        <v>74</v>
      </c>
      <c r="AG752">
        <v>38</v>
      </c>
      <c r="AH752">
        <v>14</v>
      </c>
      <c r="AI752">
        <v>14</v>
      </c>
      <c r="AJ752">
        <v>3</v>
      </c>
      <c r="AK752">
        <v>14</v>
      </c>
      <c r="AL752" t="s">
        <v>7404</v>
      </c>
      <c r="AM752" t="s">
        <v>7405</v>
      </c>
      <c r="AN752" t="s">
        <v>7406</v>
      </c>
      <c r="AO752" t="s">
        <v>13989</v>
      </c>
      <c r="AP752" t="s">
        <v>13990</v>
      </c>
      <c r="AQ752" t="s">
        <v>74</v>
      </c>
      <c r="AR752" t="s">
        <v>13991</v>
      </c>
      <c r="AS752" t="s">
        <v>13992</v>
      </c>
      <c r="AT752" t="s">
        <v>12989</v>
      </c>
      <c r="AU752">
        <v>2011</v>
      </c>
      <c r="AV752">
        <v>61</v>
      </c>
      <c r="AW752">
        <v>10</v>
      </c>
      <c r="AX752" t="s">
        <v>74</v>
      </c>
      <c r="AY752" t="s">
        <v>74</v>
      </c>
      <c r="AZ752" t="s">
        <v>74</v>
      </c>
      <c r="BA752" t="s">
        <v>74</v>
      </c>
      <c r="BB752">
        <v>1441</v>
      </c>
      <c r="BC752">
        <v>1458</v>
      </c>
      <c r="BD752" t="s">
        <v>74</v>
      </c>
      <c r="BE752" t="s">
        <v>13993</v>
      </c>
      <c r="BF752" t="str">
        <f>HYPERLINK("http://dx.doi.org/10.1007/s10236-011-0444-1","http://dx.doi.org/10.1007/s10236-011-0444-1")</f>
        <v>http://dx.doi.org/10.1007/s10236-011-0444-1</v>
      </c>
      <c r="BG752" t="s">
        <v>74</v>
      </c>
      <c r="BH752" t="s">
        <v>74</v>
      </c>
      <c r="BI752">
        <v>18</v>
      </c>
      <c r="BJ752" t="s">
        <v>496</v>
      </c>
      <c r="BK752" t="s">
        <v>100</v>
      </c>
      <c r="BL752" t="s">
        <v>496</v>
      </c>
      <c r="BM752" t="s">
        <v>13994</v>
      </c>
      <c r="BN752" t="s">
        <v>74</v>
      </c>
      <c r="BO752" t="s">
        <v>1796</v>
      </c>
      <c r="BP752" t="s">
        <v>74</v>
      </c>
      <c r="BQ752" t="s">
        <v>74</v>
      </c>
      <c r="BR752" t="s">
        <v>102</v>
      </c>
      <c r="BS752" t="s">
        <v>13995</v>
      </c>
      <c r="BT752" t="str">
        <f>HYPERLINK("https%3A%2F%2Fwww.webofscience.com%2Fwos%2Fwoscc%2Ffull-record%2FWOS:000295681200001","View Full Record in Web of Science")</f>
        <v>View Full Record in Web of Science</v>
      </c>
    </row>
    <row r="753" spans="1:72" x14ac:dyDescent="0.15">
      <c r="A753" t="s">
        <v>72</v>
      </c>
      <c r="B753" t="s">
        <v>13996</v>
      </c>
      <c r="C753" t="s">
        <v>74</v>
      </c>
      <c r="D753" t="s">
        <v>74</v>
      </c>
      <c r="E753" t="s">
        <v>74</v>
      </c>
      <c r="F753" t="s">
        <v>13997</v>
      </c>
      <c r="G753" t="s">
        <v>74</v>
      </c>
      <c r="H753" t="s">
        <v>74</v>
      </c>
      <c r="I753" t="s">
        <v>13998</v>
      </c>
      <c r="J753" t="s">
        <v>13999</v>
      </c>
      <c r="K753" t="s">
        <v>74</v>
      </c>
      <c r="L753" t="s">
        <v>74</v>
      </c>
      <c r="M753" t="s">
        <v>78</v>
      </c>
      <c r="N753" t="s">
        <v>79</v>
      </c>
      <c r="O753" t="s">
        <v>74</v>
      </c>
      <c r="P753" t="s">
        <v>74</v>
      </c>
      <c r="Q753" t="s">
        <v>74</v>
      </c>
      <c r="R753" t="s">
        <v>74</v>
      </c>
      <c r="S753" t="s">
        <v>74</v>
      </c>
      <c r="T753" t="s">
        <v>74</v>
      </c>
      <c r="U753" t="s">
        <v>14000</v>
      </c>
      <c r="V753" t="s">
        <v>14001</v>
      </c>
      <c r="W753" t="s">
        <v>14002</v>
      </c>
      <c r="X753" t="s">
        <v>14003</v>
      </c>
      <c r="Y753" t="s">
        <v>14004</v>
      </c>
      <c r="Z753" t="s">
        <v>14005</v>
      </c>
      <c r="AA753" t="s">
        <v>14006</v>
      </c>
      <c r="AB753" t="s">
        <v>14007</v>
      </c>
      <c r="AC753" t="s">
        <v>14008</v>
      </c>
      <c r="AD753" t="s">
        <v>14009</v>
      </c>
      <c r="AE753" t="s">
        <v>14010</v>
      </c>
      <c r="AF753" t="s">
        <v>74</v>
      </c>
      <c r="AG753">
        <v>90</v>
      </c>
      <c r="AH753">
        <v>30</v>
      </c>
      <c r="AI753">
        <v>32</v>
      </c>
      <c r="AJ753">
        <v>1</v>
      </c>
      <c r="AK753">
        <v>12</v>
      </c>
      <c r="AL753" t="s">
        <v>14011</v>
      </c>
      <c r="AM753" t="s">
        <v>14012</v>
      </c>
      <c r="AN753" t="s">
        <v>14013</v>
      </c>
      <c r="AO753" t="s">
        <v>74</v>
      </c>
      <c r="AP753" t="s">
        <v>14014</v>
      </c>
      <c r="AQ753" t="s">
        <v>74</v>
      </c>
      <c r="AR753" t="s">
        <v>14015</v>
      </c>
      <c r="AS753" t="s">
        <v>14016</v>
      </c>
      <c r="AT753" t="s">
        <v>12989</v>
      </c>
      <c r="AU753">
        <v>2011</v>
      </c>
      <c r="AV753">
        <v>63</v>
      </c>
      <c r="AW753">
        <v>5</v>
      </c>
      <c r="AX753" t="s">
        <v>74</v>
      </c>
      <c r="AY753" t="s">
        <v>74</v>
      </c>
      <c r="AZ753" t="s">
        <v>74</v>
      </c>
      <c r="BA753" t="s">
        <v>74</v>
      </c>
      <c r="BB753">
        <v>921</v>
      </c>
      <c r="BC753">
        <v>938</v>
      </c>
      <c r="BD753" t="s">
        <v>74</v>
      </c>
      <c r="BE753" t="s">
        <v>14017</v>
      </c>
      <c r="BF753" t="str">
        <f>HYPERLINK("http://dx.doi.org/10.1111/j.1600-0870.2011.00537.x","http://dx.doi.org/10.1111/j.1600-0870.2011.00537.x")</f>
        <v>http://dx.doi.org/10.1111/j.1600-0870.2011.00537.x</v>
      </c>
      <c r="BG753" t="s">
        <v>74</v>
      </c>
      <c r="BH753" t="s">
        <v>74</v>
      </c>
      <c r="BI753">
        <v>18</v>
      </c>
      <c r="BJ753" t="s">
        <v>5044</v>
      </c>
      <c r="BK753" t="s">
        <v>100</v>
      </c>
      <c r="BL753" t="s">
        <v>5044</v>
      </c>
      <c r="BM753" t="s">
        <v>14018</v>
      </c>
      <c r="BN753" t="s">
        <v>74</v>
      </c>
      <c r="BO753" t="s">
        <v>316</v>
      </c>
      <c r="BP753" t="s">
        <v>74</v>
      </c>
      <c r="BQ753" t="s">
        <v>74</v>
      </c>
      <c r="BR753" t="s">
        <v>102</v>
      </c>
      <c r="BS753" t="s">
        <v>14019</v>
      </c>
      <c r="BT753" t="str">
        <f>HYPERLINK("https%3A%2F%2Fwww.webofscience.com%2Fwos%2Fwoscc%2Ffull-record%2FWOS:000295466600007","View Full Record in Web of Science")</f>
        <v>View Full Record in Web of Science</v>
      </c>
    </row>
    <row r="754" spans="1:72" x14ac:dyDescent="0.15">
      <c r="A754" t="s">
        <v>72</v>
      </c>
      <c r="B754" t="s">
        <v>14020</v>
      </c>
      <c r="C754" t="s">
        <v>74</v>
      </c>
      <c r="D754" t="s">
        <v>74</v>
      </c>
      <c r="E754" t="s">
        <v>74</v>
      </c>
      <c r="F754" t="s">
        <v>14021</v>
      </c>
      <c r="G754" t="s">
        <v>74</v>
      </c>
      <c r="H754" t="s">
        <v>74</v>
      </c>
      <c r="I754" t="s">
        <v>14022</v>
      </c>
      <c r="J754" t="s">
        <v>10654</v>
      </c>
      <c r="K754" t="s">
        <v>74</v>
      </c>
      <c r="L754" t="s">
        <v>74</v>
      </c>
      <c r="M754" t="s">
        <v>78</v>
      </c>
      <c r="N754" t="s">
        <v>79</v>
      </c>
      <c r="O754" t="s">
        <v>74</v>
      </c>
      <c r="P754" t="s">
        <v>74</v>
      </c>
      <c r="Q754" t="s">
        <v>74</v>
      </c>
      <c r="R754" t="s">
        <v>74</v>
      </c>
      <c r="S754" t="s">
        <v>74</v>
      </c>
      <c r="T754" t="s">
        <v>14023</v>
      </c>
      <c r="U754" t="s">
        <v>14024</v>
      </c>
      <c r="V754" t="s">
        <v>14025</v>
      </c>
      <c r="W754" t="s">
        <v>14026</v>
      </c>
      <c r="X754" t="s">
        <v>10659</v>
      </c>
      <c r="Y754" t="s">
        <v>14027</v>
      </c>
      <c r="Z754" t="s">
        <v>14028</v>
      </c>
      <c r="AA754" t="s">
        <v>14029</v>
      </c>
      <c r="AB754" t="s">
        <v>14030</v>
      </c>
      <c r="AC754" t="s">
        <v>14031</v>
      </c>
      <c r="AD754" t="s">
        <v>14032</v>
      </c>
      <c r="AE754" t="s">
        <v>14033</v>
      </c>
      <c r="AF754" t="s">
        <v>74</v>
      </c>
      <c r="AG754">
        <v>54</v>
      </c>
      <c r="AH754">
        <v>34</v>
      </c>
      <c r="AI754">
        <v>38</v>
      </c>
      <c r="AJ754">
        <v>0</v>
      </c>
      <c r="AK754">
        <v>14</v>
      </c>
      <c r="AL754" t="s">
        <v>279</v>
      </c>
      <c r="AM754" t="s">
        <v>280</v>
      </c>
      <c r="AN754" t="s">
        <v>281</v>
      </c>
      <c r="AO754" t="s">
        <v>10667</v>
      </c>
      <c r="AP754" t="s">
        <v>10668</v>
      </c>
      <c r="AQ754" t="s">
        <v>74</v>
      </c>
      <c r="AR754" t="s">
        <v>10669</v>
      </c>
      <c r="AS754" t="s">
        <v>10670</v>
      </c>
      <c r="AT754" t="s">
        <v>12989</v>
      </c>
      <c r="AU754">
        <v>2011</v>
      </c>
      <c r="AV754">
        <v>56</v>
      </c>
      <c r="AW754" t="s">
        <v>14034</v>
      </c>
      <c r="AX754" t="s">
        <v>74</v>
      </c>
      <c r="AY754" t="s">
        <v>74</v>
      </c>
      <c r="AZ754" t="s">
        <v>74</v>
      </c>
      <c r="BA754" t="s">
        <v>74</v>
      </c>
      <c r="BB754">
        <v>3042</v>
      </c>
      <c r="BC754">
        <v>3052</v>
      </c>
      <c r="BD754" t="s">
        <v>74</v>
      </c>
      <c r="BE754" t="s">
        <v>14035</v>
      </c>
      <c r="BF754" t="str">
        <f>HYPERLINK("http://dx.doi.org/10.1007/s11434-011-4637-2","http://dx.doi.org/10.1007/s11434-011-4637-2")</f>
        <v>http://dx.doi.org/10.1007/s11434-011-4637-2</v>
      </c>
      <c r="BG754" t="s">
        <v>74</v>
      </c>
      <c r="BH754" t="s">
        <v>74</v>
      </c>
      <c r="BI754">
        <v>11</v>
      </c>
      <c r="BJ754" t="s">
        <v>6182</v>
      </c>
      <c r="BK754" t="s">
        <v>100</v>
      </c>
      <c r="BL754" t="s">
        <v>6183</v>
      </c>
      <c r="BM754" t="s">
        <v>14036</v>
      </c>
      <c r="BN754" t="s">
        <v>74</v>
      </c>
      <c r="BO754" t="s">
        <v>365</v>
      </c>
      <c r="BP754" t="s">
        <v>74</v>
      </c>
      <c r="BQ754" t="s">
        <v>74</v>
      </c>
      <c r="BR754" t="s">
        <v>102</v>
      </c>
      <c r="BS754" t="s">
        <v>14037</v>
      </c>
      <c r="BT754" t="str">
        <f>HYPERLINK("https%3A%2F%2Fwww.webofscience.com%2Fwos%2Fwoscc%2Ffull-record%2FWOS:000295522100008","View Full Record in Web of Science")</f>
        <v>View Full Record in Web of Science</v>
      </c>
    </row>
    <row r="755" spans="1:72" x14ac:dyDescent="0.15">
      <c r="A755" t="s">
        <v>72</v>
      </c>
      <c r="B755" t="s">
        <v>14038</v>
      </c>
      <c r="C755" t="s">
        <v>74</v>
      </c>
      <c r="D755" t="s">
        <v>74</v>
      </c>
      <c r="E755" t="s">
        <v>74</v>
      </c>
      <c r="F755" t="s">
        <v>14039</v>
      </c>
      <c r="G755" t="s">
        <v>74</v>
      </c>
      <c r="H755" t="s">
        <v>74</v>
      </c>
      <c r="I755" t="s">
        <v>14040</v>
      </c>
      <c r="J755" t="s">
        <v>14041</v>
      </c>
      <c r="K755" t="s">
        <v>74</v>
      </c>
      <c r="L755" t="s">
        <v>74</v>
      </c>
      <c r="M755" t="s">
        <v>78</v>
      </c>
      <c r="N755" t="s">
        <v>79</v>
      </c>
      <c r="O755" t="s">
        <v>74</v>
      </c>
      <c r="P755" t="s">
        <v>74</v>
      </c>
      <c r="Q755" t="s">
        <v>74</v>
      </c>
      <c r="R755" t="s">
        <v>74</v>
      </c>
      <c r="S755" t="s">
        <v>74</v>
      </c>
      <c r="T755" t="s">
        <v>14042</v>
      </c>
      <c r="U755" t="s">
        <v>14043</v>
      </c>
      <c r="V755" t="s">
        <v>14044</v>
      </c>
      <c r="W755" t="s">
        <v>14045</v>
      </c>
      <c r="X755" t="s">
        <v>14046</v>
      </c>
      <c r="Y755" t="s">
        <v>14047</v>
      </c>
      <c r="Z755" t="s">
        <v>13213</v>
      </c>
      <c r="AA755" t="s">
        <v>14048</v>
      </c>
      <c r="AB755" t="s">
        <v>14049</v>
      </c>
      <c r="AC755" t="s">
        <v>14050</v>
      </c>
      <c r="AD755" t="s">
        <v>14050</v>
      </c>
      <c r="AE755" t="s">
        <v>14051</v>
      </c>
      <c r="AF755" t="s">
        <v>74</v>
      </c>
      <c r="AG755">
        <v>34</v>
      </c>
      <c r="AH755">
        <v>0</v>
      </c>
      <c r="AI755">
        <v>0</v>
      </c>
      <c r="AJ755">
        <v>0</v>
      </c>
      <c r="AK755">
        <v>1</v>
      </c>
      <c r="AL755" t="s">
        <v>250</v>
      </c>
      <c r="AM755" t="s">
        <v>251</v>
      </c>
      <c r="AN755" t="s">
        <v>252</v>
      </c>
      <c r="AO755" t="s">
        <v>14052</v>
      </c>
      <c r="AP755" t="s">
        <v>14053</v>
      </c>
      <c r="AQ755" t="s">
        <v>74</v>
      </c>
      <c r="AR755" t="s">
        <v>14054</v>
      </c>
      <c r="AS755" t="s">
        <v>14055</v>
      </c>
      <c r="AT755" t="s">
        <v>12989</v>
      </c>
      <c r="AU755">
        <v>2011</v>
      </c>
      <c r="AV755">
        <v>31</v>
      </c>
      <c r="AW755" t="s">
        <v>14056</v>
      </c>
      <c r="AX755" t="s">
        <v>74</v>
      </c>
      <c r="AY755" t="s">
        <v>74</v>
      </c>
      <c r="AZ755" t="s">
        <v>74</v>
      </c>
      <c r="BA755" t="s">
        <v>74</v>
      </c>
      <c r="BB755">
        <v>199</v>
      </c>
      <c r="BC755">
        <v>214</v>
      </c>
      <c r="BD755" t="s">
        <v>74</v>
      </c>
      <c r="BE755" t="s">
        <v>14057</v>
      </c>
      <c r="BF755" t="str">
        <f>HYPERLINK("http://dx.doi.org/10.1007/s10686-011-9243-4","http://dx.doi.org/10.1007/s10686-011-9243-4")</f>
        <v>http://dx.doi.org/10.1007/s10686-011-9243-4</v>
      </c>
      <c r="BG755" t="s">
        <v>74</v>
      </c>
      <c r="BH755" t="s">
        <v>74</v>
      </c>
      <c r="BI755">
        <v>16</v>
      </c>
      <c r="BJ755" t="s">
        <v>5208</v>
      </c>
      <c r="BK755" t="s">
        <v>100</v>
      </c>
      <c r="BL755" t="s">
        <v>5208</v>
      </c>
      <c r="BM755" t="s">
        <v>14058</v>
      </c>
      <c r="BN755" t="s">
        <v>74</v>
      </c>
      <c r="BO755" t="s">
        <v>74</v>
      </c>
      <c r="BP755" t="s">
        <v>74</v>
      </c>
      <c r="BQ755" t="s">
        <v>74</v>
      </c>
      <c r="BR755" t="s">
        <v>102</v>
      </c>
      <c r="BS755" t="s">
        <v>14059</v>
      </c>
      <c r="BT755" t="str">
        <f>HYPERLINK("https%3A%2F%2Fwww.webofscience.com%2Fwos%2Fwoscc%2Ffull-record%2FWOS:000295528300007","View Full Record in Web of Science")</f>
        <v>View Full Record in Web of Science</v>
      </c>
    </row>
    <row r="756" spans="1:72" x14ac:dyDescent="0.15">
      <c r="A756" t="s">
        <v>72</v>
      </c>
      <c r="B756" t="s">
        <v>14060</v>
      </c>
      <c r="C756" t="s">
        <v>74</v>
      </c>
      <c r="D756" t="s">
        <v>74</v>
      </c>
      <c r="E756" t="s">
        <v>74</v>
      </c>
      <c r="F756" t="s">
        <v>14061</v>
      </c>
      <c r="G756" t="s">
        <v>74</v>
      </c>
      <c r="H756" t="s">
        <v>74</v>
      </c>
      <c r="I756" t="s">
        <v>14062</v>
      </c>
      <c r="J756" t="s">
        <v>13570</v>
      </c>
      <c r="K756" t="s">
        <v>74</v>
      </c>
      <c r="L756" t="s">
        <v>74</v>
      </c>
      <c r="M756" t="s">
        <v>78</v>
      </c>
      <c r="N756" t="s">
        <v>79</v>
      </c>
      <c r="O756" t="s">
        <v>74</v>
      </c>
      <c r="P756" t="s">
        <v>74</v>
      </c>
      <c r="Q756" t="s">
        <v>74</v>
      </c>
      <c r="R756" t="s">
        <v>74</v>
      </c>
      <c r="S756" t="s">
        <v>74</v>
      </c>
      <c r="T756" t="s">
        <v>74</v>
      </c>
      <c r="U756" t="s">
        <v>14063</v>
      </c>
      <c r="V756" t="s">
        <v>14064</v>
      </c>
      <c r="W756" t="s">
        <v>14065</v>
      </c>
      <c r="X756" t="s">
        <v>14066</v>
      </c>
      <c r="Y756" t="s">
        <v>14067</v>
      </c>
      <c r="Z756" t="s">
        <v>14068</v>
      </c>
      <c r="AA756" t="s">
        <v>74</v>
      </c>
      <c r="AB756" t="s">
        <v>74</v>
      </c>
      <c r="AC756" t="s">
        <v>74</v>
      </c>
      <c r="AD756" t="s">
        <v>74</v>
      </c>
      <c r="AE756" t="s">
        <v>74</v>
      </c>
      <c r="AF756" t="s">
        <v>74</v>
      </c>
      <c r="AG756">
        <v>16</v>
      </c>
      <c r="AH756">
        <v>0</v>
      </c>
      <c r="AI756">
        <v>0</v>
      </c>
      <c r="AJ756">
        <v>0</v>
      </c>
      <c r="AK756">
        <v>5</v>
      </c>
      <c r="AL756" t="s">
        <v>813</v>
      </c>
      <c r="AM756" t="s">
        <v>413</v>
      </c>
      <c r="AN756" t="s">
        <v>7426</v>
      </c>
      <c r="AO756" t="s">
        <v>13574</v>
      </c>
      <c r="AP756" t="s">
        <v>14069</v>
      </c>
      <c r="AQ756" t="s">
        <v>74</v>
      </c>
      <c r="AR756" t="s">
        <v>13575</v>
      </c>
      <c r="AS756" t="s">
        <v>13576</v>
      </c>
      <c r="AT756" t="s">
        <v>12989</v>
      </c>
      <c r="AU756">
        <v>2011</v>
      </c>
      <c r="AV756">
        <v>47</v>
      </c>
      <c r="AW756">
        <v>243</v>
      </c>
      <c r="AX756" t="s">
        <v>74</v>
      </c>
      <c r="AY756" t="s">
        <v>74</v>
      </c>
      <c r="AZ756" t="s">
        <v>74</v>
      </c>
      <c r="BA756" t="s">
        <v>74</v>
      </c>
      <c r="BB756">
        <v>348</v>
      </c>
      <c r="BC756">
        <v>355</v>
      </c>
      <c r="BD756" t="s">
        <v>74</v>
      </c>
      <c r="BE756" t="s">
        <v>14070</v>
      </c>
      <c r="BF756" t="str">
        <f>HYPERLINK("http://dx.doi.org/10.1017/S0032247411000131","http://dx.doi.org/10.1017/S0032247411000131")</f>
        <v>http://dx.doi.org/10.1017/S0032247411000131</v>
      </c>
      <c r="BG756" t="s">
        <v>74</v>
      </c>
      <c r="BH756" t="s">
        <v>74</v>
      </c>
      <c r="BI756">
        <v>8</v>
      </c>
      <c r="BJ756" t="s">
        <v>13578</v>
      </c>
      <c r="BK756" t="s">
        <v>100</v>
      </c>
      <c r="BL756" t="s">
        <v>2837</v>
      </c>
      <c r="BM756" t="s">
        <v>13579</v>
      </c>
      <c r="BN756" t="s">
        <v>74</v>
      </c>
      <c r="BO756" t="s">
        <v>74</v>
      </c>
      <c r="BP756" t="s">
        <v>74</v>
      </c>
      <c r="BQ756" t="s">
        <v>74</v>
      </c>
      <c r="BR756" t="s">
        <v>102</v>
      </c>
      <c r="BS756" t="s">
        <v>14071</v>
      </c>
      <c r="BT756" t="str">
        <f>HYPERLINK("https%3A%2F%2Fwww.webofscience.com%2Fwos%2Fwoscc%2Ffull-record%2FWOS:000295364900005","View Full Record in Web of Science")</f>
        <v>View Full Record in Web of Science</v>
      </c>
    </row>
    <row r="757" spans="1:72" x14ac:dyDescent="0.15">
      <c r="A757" t="s">
        <v>72</v>
      </c>
      <c r="B757" t="s">
        <v>14072</v>
      </c>
      <c r="C757" t="s">
        <v>74</v>
      </c>
      <c r="D757" t="s">
        <v>74</v>
      </c>
      <c r="E757" t="s">
        <v>74</v>
      </c>
      <c r="F757" t="s">
        <v>14073</v>
      </c>
      <c r="G757" t="s">
        <v>74</v>
      </c>
      <c r="H757" t="s">
        <v>74</v>
      </c>
      <c r="I757" t="s">
        <v>14074</v>
      </c>
      <c r="J757" t="s">
        <v>13570</v>
      </c>
      <c r="K757" t="s">
        <v>74</v>
      </c>
      <c r="L757" t="s">
        <v>74</v>
      </c>
      <c r="M757" t="s">
        <v>78</v>
      </c>
      <c r="N757" t="s">
        <v>79</v>
      </c>
      <c r="O757" t="s">
        <v>74</v>
      </c>
      <c r="P757" t="s">
        <v>74</v>
      </c>
      <c r="Q757" t="s">
        <v>74</v>
      </c>
      <c r="R757" t="s">
        <v>74</v>
      </c>
      <c r="S757" t="s">
        <v>74</v>
      </c>
      <c r="T757" t="s">
        <v>74</v>
      </c>
      <c r="U757" t="s">
        <v>14075</v>
      </c>
      <c r="V757" t="s">
        <v>14076</v>
      </c>
      <c r="W757" t="s">
        <v>14077</v>
      </c>
      <c r="X757" t="s">
        <v>4323</v>
      </c>
      <c r="Y757" t="s">
        <v>14078</v>
      </c>
      <c r="Z757" t="s">
        <v>14079</v>
      </c>
      <c r="AA757" t="s">
        <v>14080</v>
      </c>
      <c r="AB757" t="s">
        <v>14081</v>
      </c>
      <c r="AC757" t="s">
        <v>74</v>
      </c>
      <c r="AD757" t="s">
        <v>74</v>
      </c>
      <c r="AE757" t="s">
        <v>74</v>
      </c>
      <c r="AF757" t="s">
        <v>74</v>
      </c>
      <c r="AG757">
        <v>59</v>
      </c>
      <c r="AH757">
        <v>1</v>
      </c>
      <c r="AI757">
        <v>1</v>
      </c>
      <c r="AJ757">
        <v>0</v>
      </c>
      <c r="AK757">
        <v>2</v>
      </c>
      <c r="AL757" t="s">
        <v>813</v>
      </c>
      <c r="AM757" t="s">
        <v>413</v>
      </c>
      <c r="AN757" t="s">
        <v>7426</v>
      </c>
      <c r="AO757" t="s">
        <v>13574</v>
      </c>
      <c r="AP757" t="s">
        <v>14069</v>
      </c>
      <c r="AQ757" t="s">
        <v>74</v>
      </c>
      <c r="AR757" t="s">
        <v>13575</v>
      </c>
      <c r="AS757" t="s">
        <v>13576</v>
      </c>
      <c r="AT757" t="s">
        <v>12989</v>
      </c>
      <c r="AU757">
        <v>2011</v>
      </c>
      <c r="AV757">
        <v>47</v>
      </c>
      <c r="AW757">
        <v>243</v>
      </c>
      <c r="AX757" t="s">
        <v>74</v>
      </c>
      <c r="AY757" t="s">
        <v>74</v>
      </c>
      <c r="AZ757" t="s">
        <v>74</v>
      </c>
      <c r="BA757" t="s">
        <v>74</v>
      </c>
      <c r="BB757">
        <v>356</v>
      </c>
      <c r="BC757">
        <v>370</v>
      </c>
      <c r="BD757" t="s">
        <v>74</v>
      </c>
      <c r="BE757" t="s">
        <v>14082</v>
      </c>
      <c r="BF757" t="str">
        <f>HYPERLINK("http://dx.doi.org/10.1017/S0032247410000690","http://dx.doi.org/10.1017/S0032247410000690")</f>
        <v>http://dx.doi.org/10.1017/S0032247410000690</v>
      </c>
      <c r="BG757" t="s">
        <v>74</v>
      </c>
      <c r="BH757" t="s">
        <v>74</v>
      </c>
      <c r="BI757">
        <v>15</v>
      </c>
      <c r="BJ757" t="s">
        <v>13578</v>
      </c>
      <c r="BK757" t="s">
        <v>100</v>
      </c>
      <c r="BL757" t="s">
        <v>2837</v>
      </c>
      <c r="BM757" t="s">
        <v>13579</v>
      </c>
      <c r="BN757" t="s">
        <v>74</v>
      </c>
      <c r="BO757" t="s">
        <v>74</v>
      </c>
      <c r="BP757" t="s">
        <v>74</v>
      </c>
      <c r="BQ757" t="s">
        <v>74</v>
      </c>
      <c r="BR757" t="s">
        <v>102</v>
      </c>
      <c r="BS757" t="s">
        <v>14083</v>
      </c>
      <c r="BT757" t="str">
        <f>HYPERLINK("https%3A%2F%2Fwww.webofscience.com%2Fwos%2Fwoscc%2Ffull-record%2FWOS:000295364900006","View Full Record in Web of Science")</f>
        <v>View Full Record in Web of Science</v>
      </c>
    </row>
    <row r="758" spans="1:72" x14ac:dyDescent="0.15">
      <c r="A758" t="s">
        <v>72</v>
      </c>
      <c r="B758" t="s">
        <v>14084</v>
      </c>
      <c r="C758" t="s">
        <v>74</v>
      </c>
      <c r="D758" t="s">
        <v>74</v>
      </c>
      <c r="E758" t="s">
        <v>74</v>
      </c>
      <c r="F758" t="s">
        <v>14085</v>
      </c>
      <c r="G758" t="s">
        <v>74</v>
      </c>
      <c r="H758" t="s">
        <v>74</v>
      </c>
      <c r="I758" t="s">
        <v>14086</v>
      </c>
      <c r="J758" t="s">
        <v>14087</v>
      </c>
      <c r="K758" t="s">
        <v>74</v>
      </c>
      <c r="L758" t="s">
        <v>74</v>
      </c>
      <c r="M758" t="s">
        <v>78</v>
      </c>
      <c r="N758" t="s">
        <v>79</v>
      </c>
      <c r="O758" t="s">
        <v>74</v>
      </c>
      <c r="P758" t="s">
        <v>74</v>
      </c>
      <c r="Q758" t="s">
        <v>74</v>
      </c>
      <c r="R758" t="s">
        <v>74</v>
      </c>
      <c r="S758" t="s">
        <v>74</v>
      </c>
      <c r="T758" t="s">
        <v>74</v>
      </c>
      <c r="U758" t="s">
        <v>14088</v>
      </c>
      <c r="V758" t="s">
        <v>14089</v>
      </c>
      <c r="W758" t="s">
        <v>14090</v>
      </c>
      <c r="X758" t="s">
        <v>14091</v>
      </c>
      <c r="Y758" t="s">
        <v>14092</v>
      </c>
      <c r="Z758" t="s">
        <v>14093</v>
      </c>
      <c r="AA758" t="s">
        <v>14094</v>
      </c>
      <c r="AB758" t="s">
        <v>14095</v>
      </c>
      <c r="AC758" t="s">
        <v>14096</v>
      </c>
      <c r="AD758" t="s">
        <v>14097</v>
      </c>
      <c r="AE758" t="s">
        <v>14098</v>
      </c>
      <c r="AF758" t="s">
        <v>74</v>
      </c>
      <c r="AG758">
        <v>22</v>
      </c>
      <c r="AH758">
        <v>18</v>
      </c>
      <c r="AI758">
        <v>21</v>
      </c>
      <c r="AJ758">
        <v>0</v>
      </c>
      <c r="AK758">
        <v>10</v>
      </c>
      <c r="AL758" t="s">
        <v>795</v>
      </c>
      <c r="AM758" t="s">
        <v>1468</v>
      </c>
      <c r="AN758" t="s">
        <v>1469</v>
      </c>
      <c r="AO758" t="s">
        <v>14099</v>
      </c>
      <c r="AP758" t="s">
        <v>74</v>
      </c>
      <c r="AQ758" t="s">
        <v>74</v>
      </c>
      <c r="AR758" t="s">
        <v>14100</v>
      </c>
      <c r="AS758" t="s">
        <v>14101</v>
      </c>
      <c r="AT758" t="s">
        <v>12989</v>
      </c>
      <c r="AU758">
        <v>2011</v>
      </c>
      <c r="AV758">
        <v>50</v>
      </c>
      <c r="AW758">
        <v>10</v>
      </c>
      <c r="AX758" t="s">
        <v>74</v>
      </c>
      <c r="AY758" t="s">
        <v>74</v>
      </c>
      <c r="AZ758" t="s">
        <v>74</v>
      </c>
      <c r="BA758" t="s">
        <v>74</v>
      </c>
      <c r="BB758">
        <v>1223</v>
      </c>
      <c r="BC758">
        <v>1233</v>
      </c>
      <c r="BD758" t="s">
        <v>74</v>
      </c>
      <c r="BE758" t="s">
        <v>14102</v>
      </c>
      <c r="BF758" t="str">
        <f>HYPERLINK("http://dx.doi.org/10.1111/j.1365-4632.2010.04825.x","http://dx.doi.org/10.1111/j.1365-4632.2010.04825.x")</f>
        <v>http://dx.doi.org/10.1111/j.1365-4632.2010.04825.x</v>
      </c>
      <c r="BG758" t="s">
        <v>74</v>
      </c>
      <c r="BH758" t="s">
        <v>74</v>
      </c>
      <c r="BI758">
        <v>11</v>
      </c>
      <c r="BJ758" t="s">
        <v>14103</v>
      </c>
      <c r="BK758" t="s">
        <v>100</v>
      </c>
      <c r="BL758" t="s">
        <v>14103</v>
      </c>
      <c r="BM758" t="s">
        <v>14104</v>
      </c>
      <c r="BN758">
        <v>21790550</v>
      </c>
      <c r="BO758" t="s">
        <v>2679</v>
      </c>
      <c r="BP758" t="s">
        <v>74</v>
      </c>
      <c r="BQ758" t="s">
        <v>74</v>
      </c>
      <c r="BR758" t="s">
        <v>102</v>
      </c>
      <c r="BS758" t="s">
        <v>14105</v>
      </c>
      <c r="BT758" t="str">
        <f>HYPERLINK("https%3A%2F%2Fwww.webofscience.com%2Fwos%2Fwoscc%2Ffull-record%2FWOS:000295176300005","View Full Record in Web of Science")</f>
        <v>View Full Record in Web of Science</v>
      </c>
    </row>
    <row r="759" spans="1:72" x14ac:dyDescent="0.15">
      <c r="A759" t="s">
        <v>72</v>
      </c>
      <c r="B759" t="s">
        <v>14106</v>
      </c>
      <c r="C759" t="s">
        <v>74</v>
      </c>
      <c r="D759" t="s">
        <v>74</v>
      </c>
      <c r="E759" t="s">
        <v>74</v>
      </c>
      <c r="F759" t="s">
        <v>14107</v>
      </c>
      <c r="G759" t="s">
        <v>74</v>
      </c>
      <c r="H759" t="s">
        <v>74</v>
      </c>
      <c r="I759" t="s">
        <v>14108</v>
      </c>
      <c r="J759" t="s">
        <v>6442</v>
      </c>
      <c r="K759" t="s">
        <v>74</v>
      </c>
      <c r="L759" t="s">
        <v>74</v>
      </c>
      <c r="M759" t="s">
        <v>78</v>
      </c>
      <c r="N759" t="s">
        <v>79</v>
      </c>
      <c r="O759" t="s">
        <v>74</v>
      </c>
      <c r="P759" t="s">
        <v>74</v>
      </c>
      <c r="Q759" t="s">
        <v>74</v>
      </c>
      <c r="R759" t="s">
        <v>74</v>
      </c>
      <c r="S759" t="s">
        <v>74</v>
      </c>
      <c r="T759" t="s">
        <v>14109</v>
      </c>
      <c r="U759" t="s">
        <v>14110</v>
      </c>
      <c r="V759" t="s">
        <v>14111</v>
      </c>
      <c r="W759" t="s">
        <v>14112</v>
      </c>
      <c r="X759" t="s">
        <v>14113</v>
      </c>
      <c r="Y759" t="s">
        <v>14114</v>
      </c>
      <c r="Z759" t="s">
        <v>14115</v>
      </c>
      <c r="AA759" t="s">
        <v>74</v>
      </c>
      <c r="AB759" t="s">
        <v>74</v>
      </c>
      <c r="AC759" t="s">
        <v>14116</v>
      </c>
      <c r="AD759" t="s">
        <v>14117</v>
      </c>
      <c r="AE759" t="s">
        <v>14118</v>
      </c>
      <c r="AF759" t="s">
        <v>74</v>
      </c>
      <c r="AG759">
        <v>94</v>
      </c>
      <c r="AH759">
        <v>48</v>
      </c>
      <c r="AI759">
        <v>52</v>
      </c>
      <c r="AJ759">
        <v>0</v>
      </c>
      <c r="AK759">
        <v>4</v>
      </c>
      <c r="AL759" t="s">
        <v>6454</v>
      </c>
      <c r="AM759" t="s">
        <v>6455</v>
      </c>
      <c r="AN759" t="s">
        <v>6456</v>
      </c>
      <c r="AO759" t="s">
        <v>6457</v>
      </c>
      <c r="AP759" t="s">
        <v>6458</v>
      </c>
      <c r="AQ759" t="s">
        <v>74</v>
      </c>
      <c r="AR759" t="s">
        <v>6459</v>
      </c>
      <c r="AS759" t="s">
        <v>6460</v>
      </c>
      <c r="AT759" t="s">
        <v>13682</v>
      </c>
      <c r="AU759">
        <v>2011</v>
      </c>
      <c r="AV759">
        <v>739</v>
      </c>
      <c r="AW759">
        <v>2</v>
      </c>
      <c r="AX759" t="s">
        <v>74</v>
      </c>
      <c r="AY759" t="s">
        <v>74</v>
      </c>
      <c r="AZ759" t="s">
        <v>74</v>
      </c>
      <c r="BA759" t="s">
        <v>74</v>
      </c>
      <c r="BB759" t="s">
        <v>74</v>
      </c>
      <c r="BC759" t="s">
        <v>74</v>
      </c>
      <c r="BD759">
        <v>100</v>
      </c>
      <c r="BE759" t="s">
        <v>14119</v>
      </c>
      <c r="BF759" t="str">
        <f>HYPERLINK("http://dx.doi.org/10.1088/0004-637X/739/2/100","http://dx.doi.org/10.1088/0004-637X/739/2/100")</f>
        <v>http://dx.doi.org/10.1088/0004-637X/739/2/100</v>
      </c>
      <c r="BG759" t="s">
        <v>74</v>
      </c>
      <c r="BH759" t="s">
        <v>74</v>
      </c>
      <c r="BI759">
        <v>25</v>
      </c>
      <c r="BJ759" t="s">
        <v>5208</v>
      </c>
      <c r="BK759" t="s">
        <v>100</v>
      </c>
      <c r="BL759" t="s">
        <v>5208</v>
      </c>
      <c r="BM759" t="s">
        <v>14120</v>
      </c>
      <c r="BN759" t="s">
        <v>74</v>
      </c>
      <c r="BO759" t="s">
        <v>74</v>
      </c>
      <c r="BP759" t="s">
        <v>74</v>
      </c>
      <c r="BQ759" t="s">
        <v>74</v>
      </c>
      <c r="BR759" t="s">
        <v>102</v>
      </c>
      <c r="BS759" t="s">
        <v>14121</v>
      </c>
      <c r="BT759" t="str">
        <f>HYPERLINK("https%3A%2F%2Fwww.webofscience.com%2Fwos%2Fwoscc%2Ffull-record%2FWOS:000294969800045","View Full Record in Web of Science")</f>
        <v>View Full Record in Web of Science</v>
      </c>
    </row>
    <row r="760" spans="1:72" x14ac:dyDescent="0.15">
      <c r="A760" t="s">
        <v>72</v>
      </c>
      <c r="B760" t="s">
        <v>14122</v>
      </c>
      <c r="C760" t="s">
        <v>74</v>
      </c>
      <c r="D760" t="s">
        <v>74</v>
      </c>
      <c r="E760" t="s">
        <v>74</v>
      </c>
      <c r="F760" t="s">
        <v>14123</v>
      </c>
      <c r="G760" t="s">
        <v>74</v>
      </c>
      <c r="H760" t="s">
        <v>74</v>
      </c>
      <c r="I760" t="s">
        <v>14124</v>
      </c>
      <c r="J760" t="s">
        <v>14125</v>
      </c>
      <c r="K760" t="s">
        <v>74</v>
      </c>
      <c r="L760" t="s">
        <v>74</v>
      </c>
      <c r="M760" t="s">
        <v>78</v>
      </c>
      <c r="N760" t="s">
        <v>79</v>
      </c>
      <c r="O760" t="s">
        <v>74</v>
      </c>
      <c r="P760" t="s">
        <v>74</v>
      </c>
      <c r="Q760" t="s">
        <v>74</v>
      </c>
      <c r="R760" t="s">
        <v>74</v>
      </c>
      <c r="S760" t="s">
        <v>74</v>
      </c>
      <c r="T760" t="s">
        <v>74</v>
      </c>
      <c r="U760" t="s">
        <v>14126</v>
      </c>
      <c r="V760" t="s">
        <v>14127</v>
      </c>
      <c r="W760" t="s">
        <v>14128</v>
      </c>
      <c r="X760" t="s">
        <v>14129</v>
      </c>
      <c r="Y760" t="s">
        <v>14130</v>
      </c>
      <c r="Z760" t="s">
        <v>14131</v>
      </c>
      <c r="AA760" t="s">
        <v>14132</v>
      </c>
      <c r="AB760" t="s">
        <v>14133</v>
      </c>
      <c r="AC760" t="s">
        <v>74</v>
      </c>
      <c r="AD760" t="s">
        <v>74</v>
      </c>
      <c r="AE760" t="s">
        <v>74</v>
      </c>
      <c r="AF760" t="s">
        <v>74</v>
      </c>
      <c r="AG760">
        <v>34</v>
      </c>
      <c r="AH760">
        <v>24</v>
      </c>
      <c r="AI760">
        <v>30</v>
      </c>
      <c r="AJ760">
        <v>0</v>
      </c>
      <c r="AK760">
        <v>28</v>
      </c>
      <c r="AL760" t="s">
        <v>2832</v>
      </c>
      <c r="AM760" t="s">
        <v>796</v>
      </c>
      <c r="AN760" t="s">
        <v>797</v>
      </c>
      <c r="AO760" t="s">
        <v>14134</v>
      </c>
      <c r="AP760" t="s">
        <v>14135</v>
      </c>
      <c r="AQ760" t="s">
        <v>74</v>
      </c>
      <c r="AR760" t="s">
        <v>14136</v>
      </c>
      <c r="AS760" t="s">
        <v>14137</v>
      </c>
      <c r="AT760" t="s">
        <v>12989</v>
      </c>
      <c r="AU760">
        <v>2011</v>
      </c>
      <c r="AV760">
        <v>27</v>
      </c>
      <c r="AW760">
        <v>5</v>
      </c>
      <c r="AX760" t="s">
        <v>74</v>
      </c>
      <c r="AY760" t="s">
        <v>74</v>
      </c>
      <c r="AZ760" t="s">
        <v>74</v>
      </c>
      <c r="BA760" t="s">
        <v>74</v>
      </c>
      <c r="BB760">
        <v>1272</v>
      </c>
      <c r="BC760">
        <v>1277</v>
      </c>
      <c r="BD760" t="s">
        <v>74</v>
      </c>
      <c r="BE760" t="s">
        <v>14138</v>
      </c>
      <c r="BF760" t="str">
        <f>HYPERLINK("http://dx.doi.org/10.1111/j.1439-0426.2011.01819.x","http://dx.doi.org/10.1111/j.1439-0426.2011.01819.x")</f>
        <v>http://dx.doi.org/10.1111/j.1439-0426.2011.01819.x</v>
      </c>
      <c r="BG760" t="s">
        <v>74</v>
      </c>
      <c r="BH760" t="s">
        <v>74</v>
      </c>
      <c r="BI760">
        <v>6</v>
      </c>
      <c r="BJ760" t="s">
        <v>4210</v>
      </c>
      <c r="BK760" t="s">
        <v>100</v>
      </c>
      <c r="BL760" t="s">
        <v>4210</v>
      </c>
      <c r="BM760" t="s">
        <v>14139</v>
      </c>
      <c r="BN760" t="s">
        <v>74</v>
      </c>
      <c r="BO760" t="s">
        <v>623</v>
      </c>
      <c r="BP760" t="s">
        <v>74</v>
      </c>
      <c r="BQ760" t="s">
        <v>74</v>
      </c>
      <c r="BR760" t="s">
        <v>102</v>
      </c>
      <c r="BS760" t="s">
        <v>14140</v>
      </c>
      <c r="BT760" t="str">
        <f>HYPERLINK("https%3A%2F%2Fwww.webofscience.com%2Fwos%2Fwoscc%2Ffull-record%2FWOS:000295013300023","View Full Record in Web of Science")</f>
        <v>View Full Record in Web of Science</v>
      </c>
    </row>
    <row r="761" spans="1:72" x14ac:dyDescent="0.15">
      <c r="A761" t="s">
        <v>72</v>
      </c>
      <c r="B761" t="s">
        <v>14141</v>
      </c>
      <c r="C761" t="s">
        <v>74</v>
      </c>
      <c r="D761" t="s">
        <v>74</v>
      </c>
      <c r="E761" t="s">
        <v>74</v>
      </c>
      <c r="F761" t="s">
        <v>14142</v>
      </c>
      <c r="G761" t="s">
        <v>74</v>
      </c>
      <c r="H761" t="s">
        <v>74</v>
      </c>
      <c r="I761" t="s">
        <v>14143</v>
      </c>
      <c r="J761" t="s">
        <v>8305</v>
      </c>
      <c r="K761" t="s">
        <v>74</v>
      </c>
      <c r="L761" t="s">
        <v>74</v>
      </c>
      <c r="M761" t="s">
        <v>78</v>
      </c>
      <c r="N761" t="s">
        <v>810</v>
      </c>
      <c r="O761" t="s">
        <v>74</v>
      </c>
      <c r="P761" t="s">
        <v>74</v>
      </c>
      <c r="Q761" t="s">
        <v>74</v>
      </c>
      <c r="R761" t="s">
        <v>74</v>
      </c>
      <c r="S761" t="s">
        <v>74</v>
      </c>
      <c r="T761" t="s">
        <v>74</v>
      </c>
      <c r="U761" t="s">
        <v>14144</v>
      </c>
      <c r="V761" t="s">
        <v>74</v>
      </c>
      <c r="W761" t="s">
        <v>14145</v>
      </c>
      <c r="X761" t="s">
        <v>14146</v>
      </c>
      <c r="Y761" t="s">
        <v>14147</v>
      </c>
      <c r="Z761" t="s">
        <v>74</v>
      </c>
      <c r="AA761" t="s">
        <v>14148</v>
      </c>
      <c r="AB761" t="s">
        <v>14149</v>
      </c>
      <c r="AC761" t="s">
        <v>74</v>
      </c>
      <c r="AD761" t="s">
        <v>74</v>
      </c>
      <c r="AE761" t="s">
        <v>74</v>
      </c>
      <c r="AF761" t="s">
        <v>74</v>
      </c>
      <c r="AG761">
        <v>24</v>
      </c>
      <c r="AH761">
        <v>5</v>
      </c>
      <c r="AI761">
        <v>5</v>
      </c>
      <c r="AJ761">
        <v>0</v>
      </c>
      <c r="AK761">
        <v>30</v>
      </c>
      <c r="AL761" t="s">
        <v>795</v>
      </c>
      <c r="AM761" t="s">
        <v>1468</v>
      </c>
      <c r="AN761" t="s">
        <v>1469</v>
      </c>
      <c r="AO761" t="s">
        <v>8317</v>
      </c>
      <c r="AP761" t="s">
        <v>74</v>
      </c>
      <c r="AQ761" t="s">
        <v>74</v>
      </c>
      <c r="AR761" t="s">
        <v>8319</v>
      </c>
      <c r="AS761" t="s">
        <v>8320</v>
      </c>
      <c r="AT761" t="s">
        <v>12989</v>
      </c>
      <c r="AU761">
        <v>2011</v>
      </c>
      <c r="AV761">
        <v>14</v>
      </c>
      <c r="AW761">
        <v>5</v>
      </c>
      <c r="AX761" t="s">
        <v>74</v>
      </c>
      <c r="AY761" t="s">
        <v>74</v>
      </c>
      <c r="AZ761" t="s">
        <v>74</v>
      </c>
      <c r="BA761" t="s">
        <v>74</v>
      </c>
      <c r="BB761">
        <v>471</v>
      </c>
      <c r="BC761">
        <v>473</v>
      </c>
      <c r="BD761" t="s">
        <v>74</v>
      </c>
      <c r="BE761" t="s">
        <v>14150</v>
      </c>
      <c r="BF761" t="str">
        <f>HYPERLINK("http://dx.doi.org/10.1111/j.1469-1795.2011.00499.x","http://dx.doi.org/10.1111/j.1469-1795.2011.00499.x")</f>
        <v>http://dx.doi.org/10.1111/j.1469-1795.2011.00499.x</v>
      </c>
      <c r="BG761" t="s">
        <v>74</v>
      </c>
      <c r="BH761" t="s">
        <v>74</v>
      </c>
      <c r="BI761">
        <v>3</v>
      </c>
      <c r="BJ761" t="s">
        <v>5300</v>
      </c>
      <c r="BK761" t="s">
        <v>100</v>
      </c>
      <c r="BL761" t="s">
        <v>3505</v>
      </c>
      <c r="BM761" t="s">
        <v>13597</v>
      </c>
      <c r="BN761" t="s">
        <v>74</v>
      </c>
      <c r="BO761" t="s">
        <v>74</v>
      </c>
      <c r="BP761" t="s">
        <v>74</v>
      </c>
      <c r="BQ761" t="s">
        <v>74</v>
      </c>
      <c r="BR761" t="s">
        <v>102</v>
      </c>
      <c r="BS761" t="s">
        <v>14151</v>
      </c>
      <c r="BT761" t="str">
        <f>HYPERLINK("https%3A%2F%2Fwww.webofscience.com%2Fwos%2Fwoscc%2Ffull-record%2FWOS:000296894900004","View Full Record in Web of Science")</f>
        <v>View Full Record in Web of Science</v>
      </c>
    </row>
    <row r="762" spans="1:72" x14ac:dyDescent="0.15">
      <c r="A762" t="s">
        <v>72</v>
      </c>
      <c r="B762" t="s">
        <v>14152</v>
      </c>
      <c r="C762" t="s">
        <v>74</v>
      </c>
      <c r="D762" t="s">
        <v>74</v>
      </c>
      <c r="E762" t="s">
        <v>74</v>
      </c>
      <c r="F762" t="s">
        <v>14153</v>
      </c>
      <c r="G762" t="s">
        <v>74</v>
      </c>
      <c r="H762" t="s">
        <v>74</v>
      </c>
      <c r="I762" t="s">
        <v>14154</v>
      </c>
      <c r="J762" t="s">
        <v>7417</v>
      </c>
      <c r="K762" t="s">
        <v>74</v>
      </c>
      <c r="L762" t="s">
        <v>74</v>
      </c>
      <c r="M762" t="s">
        <v>78</v>
      </c>
      <c r="N762" t="s">
        <v>810</v>
      </c>
      <c r="O762" t="s">
        <v>74</v>
      </c>
      <c r="P762" t="s">
        <v>74</v>
      </c>
      <c r="Q762" t="s">
        <v>74</v>
      </c>
      <c r="R762" t="s">
        <v>74</v>
      </c>
      <c r="S762" t="s">
        <v>74</v>
      </c>
      <c r="T762" t="s">
        <v>74</v>
      </c>
      <c r="U762" t="s">
        <v>74</v>
      </c>
      <c r="V762" t="s">
        <v>74</v>
      </c>
      <c r="W762" t="s">
        <v>14155</v>
      </c>
      <c r="X762" t="s">
        <v>14156</v>
      </c>
      <c r="Y762" t="s">
        <v>14157</v>
      </c>
      <c r="Z762" t="s">
        <v>74</v>
      </c>
      <c r="AA762" t="s">
        <v>14158</v>
      </c>
      <c r="AB762" t="s">
        <v>14159</v>
      </c>
      <c r="AC762" t="s">
        <v>14160</v>
      </c>
      <c r="AD762" t="s">
        <v>1007</v>
      </c>
      <c r="AE762" t="s">
        <v>74</v>
      </c>
      <c r="AF762" t="s">
        <v>74</v>
      </c>
      <c r="AG762">
        <v>0</v>
      </c>
      <c r="AH762">
        <v>0</v>
      </c>
      <c r="AI762">
        <v>0</v>
      </c>
      <c r="AJ762">
        <v>0</v>
      </c>
      <c r="AK762">
        <v>7</v>
      </c>
      <c r="AL762" t="s">
        <v>813</v>
      </c>
      <c r="AM762" t="s">
        <v>413</v>
      </c>
      <c r="AN762" t="s">
        <v>7426</v>
      </c>
      <c r="AO762" t="s">
        <v>7427</v>
      </c>
      <c r="AP762" t="s">
        <v>74</v>
      </c>
      <c r="AQ762" t="s">
        <v>74</v>
      </c>
      <c r="AR762" t="s">
        <v>7429</v>
      </c>
      <c r="AS762" t="s">
        <v>7430</v>
      </c>
      <c r="AT762" t="s">
        <v>12989</v>
      </c>
      <c r="AU762">
        <v>2011</v>
      </c>
      <c r="AV762">
        <v>23</v>
      </c>
      <c r="AW762">
        <v>5</v>
      </c>
      <c r="AX762" t="s">
        <v>74</v>
      </c>
      <c r="AY762" t="s">
        <v>74</v>
      </c>
      <c r="AZ762" t="s">
        <v>74</v>
      </c>
      <c r="BA762" t="s">
        <v>74</v>
      </c>
      <c r="BB762">
        <v>417</v>
      </c>
      <c r="BC762">
        <v>417</v>
      </c>
      <c r="BD762" t="s">
        <v>74</v>
      </c>
      <c r="BE762" t="s">
        <v>14161</v>
      </c>
      <c r="BF762" t="str">
        <f>HYPERLINK("http://dx.doi.org/10.1017/S0954102011000691","http://dx.doi.org/10.1017/S0954102011000691")</f>
        <v>http://dx.doi.org/10.1017/S0954102011000691</v>
      </c>
      <c r="BG762" t="s">
        <v>74</v>
      </c>
      <c r="BH762" t="s">
        <v>74</v>
      </c>
      <c r="BI762">
        <v>1</v>
      </c>
      <c r="BJ762" t="s">
        <v>7432</v>
      </c>
      <c r="BK762" t="s">
        <v>100</v>
      </c>
      <c r="BL762" t="s">
        <v>2855</v>
      </c>
      <c r="BM762" t="s">
        <v>13306</v>
      </c>
      <c r="BN762" t="s">
        <v>74</v>
      </c>
      <c r="BO762" t="s">
        <v>365</v>
      </c>
      <c r="BP762" t="s">
        <v>74</v>
      </c>
      <c r="BQ762" t="s">
        <v>74</v>
      </c>
      <c r="BR762" t="s">
        <v>102</v>
      </c>
      <c r="BS762" t="s">
        <v>14162</v>
      </c>
      <c r="BT762" t="str">
        <f>HYPERLINK("https%3A%2F%2Fwww.webofscience.com%2Fwos%2Fwoscc%2Ffull-record%2FWOS:000296911000001","View Full Record in Web of Science")</f>
        <v>View Full Record in Web of Science</v>
      </c>
    </row>
    <row r="763" spans="1:72" x14ac:dyDescent="0.15">
      <c r="A763" t="s">
        <v>72</v>
      </c>
      <c r="B763" t="s">
        <v>14163</v>
      </c>
      <c r="C763" t="s">
        <v>74</v>
      </c>
      <c r="D763" t="s">
        <v>74</v>
      </c>
      <c r="E763" t="s">
        <v>74</v>
      </c>
      <c r="F763" t="s">
        <v>14164</v>
      </c>
      <c r="G763" t="s">
        <v>74</v>
      </c>
      <c r="H763" t="s">
        <v>74</v>
      </c>
      <c r="I763" t="s">
        <v>14165</v>
      </c>
      <c r="J763" t="s">
        <v>7417</v>
      </c>
      <c r="K763" t="s">
        <v>74</v>
      </c>
      <c r="L763" t="s">
        <v>74</v>
      </c>
      <c r="M763" t="s">
        <v>78</v>
      </c>
      <c r="N763" t="s">
        <v>1513</v>
      </c>
      <c r="O763" t="s">
        <v>74</v>
      </c>
      <c r="P763" t="s">
        <v>74</v>
      </c>
      <c r="Q763" t="s">
        <v>74</v>
      </c>
      <c r="R763" t="s">
        <v>74</v>
      </c>
      <c r="S763" t="s">
        <v>74</v>
      </c>
      <c r="T763" t="s">
        <v>14166</v>
      </c>
      <c r="U763" t="s">
        <v>14167</v>
      </c>
      <c r="V763" t="s">
        <v>14168</v>
      </c>
      <c r="W763" t="s">
        <v>14169</v>
      </c>
      <c r="X763" t="s">
        <v>14170</v>
      </c>
      <c r="Y763" t="s">
        <v>14171</v>
      </c>
      <c r="Z763" t="s">
        <v>14172</v>
      </c>
      <c r="AA763" t="s">
        <v>74</v>
      </c>
      <c r="AB763" t="s">
        <v>14173</v>
      </c>
      <c r="AC763" t="s">
        <v>14174</v>
      </c>
      <c r="AD763" t="s">
        <v>14175</v>
      </c>
      <c r="AE763" t="s">
        <v>14176</v>
      </c>
      <c r="AF763" t="s">
        <v>74</v>
      </c>
      <c r="AG763">
        <v>83</v>
      </c>
      <c r="AH763">
        <v>15</v>
      </c>
      <c r="AI763">
        <v>16</v>
      </c>
      <c r="AJ763">
        <v>0</v>
      </c>
      <c r="AK763">
        <v>26</v>
      </c>
      <c r="AL763" t="s">
        <v>813</v>
      </c>
      <c r="AM763" t="s">
        <v>413</v>
      </c>
      <c r="AN763" t="s">
        <v>7426</v>
      </c>
      <c r="AO763" t="s">
        <v>7427</v>
      </c>
      <c r="AP763" t="s">
        <v>7428</v>
      </c>
      <c r="AQ763" t="s">
        <v>74</v>
      </c>
      <c r="AR763" t="s">
        <v>7429</v>
      </c>
      <c r="AS763" t="s">
        <v>7430</v>
      </c>
      <c r="AT763" t="s">
        <v>12989</v>
      </c>
      <c r="AU763">
        <v>2011</v>
      </c>
      <c r="AV763">
        <v>23</v>
      </c>
      <c r="AW763">
        <v>5</v>
      </c>
      <c r="AX763" t="s">
        <v>74</v>
      </c>
      <c r="AY763" t="s">
        <v>74</v>
      </c>
      <c r="AZ763" t="s">
        <v>74</v>
      </c>
      <c r="BA763" t="s">
        <v>74</v>
      </c>
      <c r="BB763">
        <v>419</v>
      </c>
      <c r="BC763">
        <v>430</v>
      </c>
      <c r="BD763" t="s">
        <v>74</v>
      </c>
      <c r="BE763" t="s">
        <v>14177</v>
      </c>
      <c r="BF763" t="str">
        <f>HYPERLINK("http://dx.doi.org/10.1017/S0954102011000575","http://dx.doi.org/10.1017/S0954102011000575")</f>
        <v>http://dx.doi.org/10.1017/S0954102011000575</v>
      </c>
      <c r="BG763" t="s">
        <v>74</v>
      </c>
      <c r="BH763" t="s">
        <v>74</v>
      </c>
      <c r="BI763">
        <v>12</v>
      </c>
      <c r="BJ763" t="s">
        <v>7432</v>
      </c>
      <c r="BK763" t="s">
        <v>100</v>
      </c>
      <c r="BL763" t="s">
        <v>2855</v>
      </c>
      <c r="BM763" t="s">
        <v>13306</v>
      </c>
      <c r="BN763" t="s">
        <v>74</v>
      </c>
      <c r="BO763" t="s">
        <v>74</v>
      </c>
      <c r="BP763" t="s">
        <v>74</v>
      </c>
      <c r="BQ763" t="s">
        <v>74</v>
      </c>
      <c r="BR763" t="s">
        <v>102</v>
      </c>
      <c r="BS763" t="s">
        <v>14178</v>
      </c>
      <c r="BT763" t="str">
        <f>HYPERLINK("https%3A%2F%2Fwww.webofscience.com%2Fwos%2Fwoscc%2Ffull-record%2FWOS:000296911000002","View Full Record in Web of Science")</f>
        <v>View Full Record in Web of Science</v>
      </c>
    </row>
    <row r="764" spans="1:72" x14ac:dyDescent="0.15">
      <c r="A764" t="s">
        <v>72</v>
      </c>
      <c r="B764" t="s">
        <v>14179</v>
      </c>
      <c r="C764" t="s">
        <v>74</v>
      </c>
      <c r="D764" t="s">
        <v>74</v>
      </c>
      <c r="E764" t="s">
        <v>74</v>
      </c>
      <c r="F764" t="s">
        <v>14180</v>
      </c>
      <c r="G764" t="s">
        <v>74</v>
      </c>
      <c r="H764" t="s">
        <v>74</v>
      </c>
      <c r="I764" t="s">
        <v>14181</v>
      </c>
      <c r="J764" t="s">
        <v>7417</v>
      </c>
      <c r="K764" t="s">
        <v>74</v>
      </c>
      <c r="L764" t="s">
        <v>74</v>
      </c>
      <c r="M764" t="s">
        <v>78</v>
      </c>
      <c r="N764" t="s">
        <v>79</v>
      </c>
      <c r="O764" t="s">
        <v>74</v>
      </c>
      <c r="P764" t="s">
        <v>74</v>
      </c>
      <c r="Q764" t="s">
        <v>74</v>
      </c>
      <c r="R764" t="s">
        <v>74</v>
      </c>
      <c r="S764" t="s">
        <v>74</v>
      </c>
      <c r="T764" t="s">
        <v>14182</v>
      </c>
      <c r="U764" t="s">
        <v>14183</v>
      </c>
      <c r="V764" t="s">
        <v>14184</v>
      </c>
      <c r="W764" t="s">
        <v>14185</v>
      </c>
      <c r="X764" t="s">
        <v>14186</v>
      </c>
      <c r="Y764" t="s">
        <v>14187</v>
      </c>
      <c r="Z764" t="s">
        <v>14188</v>
      </c>
      <c r="AA764" t="s">
        <v>14189</v>
      </c>
      <c r="AB764" t="s">
        <v>74</v>
      </c>
      <c r="AC764" t="s">
        <v>14190</v>
      </c>
      <c r="AD764" t="s">
        <v>14191</v>
      </c>
      <c r="AE764" t="s">
        <v>14192</v>
      </c>
      <c r="AF764" t="s">
        <v>74</v>
      </c>
      <c r="AG764">
        <v>64</v>
      </c>
      <c r="AH764">
        <v>35</v>
      </c>
      <c r="AI764">
        <v>36</v>
      </c>
      <c r="AJ764">
        <v>0</v>
      </c>
      <c r="AK764">
        <v>23</v>
      </c>
      <c r="AL764" t="s">
        <v>813</v>
      </c>
      <c r="AM764" t="s">
        <v>413</v>
      </c>
      <c r="AN764" t="s">
        <v>7426</v>
      </c>
      <c r="AO764" t="s">
        <v>7427</v>
      </c>
      <c r="AP764" t="s">
        <v>7428</v>
      </c>
      <c r="AQ764" t="s">
        <v>74</v>
      </c>
      <c r="AR764" t="s">
        <v>7429</v>
      </c>
      <c r="AS764" t="s">
        <v>7430</v>
      </c>
      <c r="AT764" t="s">
        <v>12989</v>
      </c>
      <c r="AU764">
        <v>2011</v>
      </c>
      <c r="AV764">
        <v>23</v>
      </c>
      <c r="AW764">
        <v>5</v>
      </c>
      <c r="AX764" t="s">
        <v>74</v>
      </c>
      <c r="AY764" t="s">
        <v>74</v>
      </c>
      <c r="AZ764" t="s">
        <v>74</v>
      </c>
      <c r="BA764" t="s">
        <v>74</v>
      </c>
      <c r="BB764">
        <v>471</v>
      </c>
      <c r="BC764">
        <v>486</v>
      </c>
      <c r="BD764" t="s">
        <v>74</v>
      </c>
      <c r="BE764" t="s">
        <v>14193</v>
      </c>
      <c r="BF764" t="str">
        <f>HYPERLINK("http://dx.doi.org/10.1017/S0954102011000320","http://dx.doi.org/10.1017/S0954102011000320")</f>
        <v>http://dx.doi.org/10.1017/S0954102011000320</v>
      </c>
      <c r="BG764" t="s">
        <v>74</v>
      </c>
      <c r="BH764" t="s">
        <v>74</v>
      </c>
      <c r="BI764">
        <v>16</v>
      </c>
      <c r="BJ764" t="s">
        <v>7432</v>
      </c>
      <c r="BK764" t="s">
        <v>100</v>
      </c>
      <c r="BL764" t="s">
        <v>2855</v>
      </c>
      <c r="BM764" t="s">
        <v>13306</v>
      </c>
      <c r="BN764" t="s">
        <v>74</v>
      </c>
      <c r="BO764" t="s">
        <v>2679</v>
      </c>
      <c r="BP764" t="s">
        <v>74</v>
      </c>
      <c r="BQ764" t="s">
        <v>74</v>
      </c>
      <c r="BR764" t="s">
        <v>102</v>
      </c>
      <c r="BS764" t="s">
        <v>14194</v>
      </c>
      <c r="BT764" t="str">
        <f>HYPERLINK("https%3A%2F%2Fwww.webofscience.com%2Fwos%2Fwoscc%2Ffull-record%2FWOS:000296911000009","View Full Record in Web of Science")</f>
        <v>View Full Record in Web of Science</v>
      </c>
    </row>
    <row r="765" spans="1:72" x14ac:dyDescent="0.15">
      <c r="A765" t="s">
        <v>72</v>
      </c>
      <c r="B765" t="s">
        <v>14195</v>
      </c>
      <c r="C765" t="s">
        <v>74</v>
      </c>
      <c r="D765" t="s">
        <v>74</v>
      </c>
      <c r="E765" t="s">
        <v>74</v>
      </c>
      <c r="F765" t="s">
        <v>14196</v>
      </c>
      <c r="G765" t="s">
        <v>74</v>
      </c>
      <c r="H765" t="s">
        <v>74</v>
      </c>
      <c r="I765" t="s">
        <v>14197</v>
      </c>
      <c r="J765" t="s">
        <v>7417</v>
      </c>
      <c r="K765" t="s">
        <v>74</v>
      </c>
      <c r="L765" t="s">
        <v>74</v>
      </c>
      <c r="M765" t="s">
        <v>78</v>
      </c>
      <c r="N765" t="s">
        <v>79</v>
      </c>
      <c r="O765" t="s">
        <v>74</v>
      </c>
      <c r="P765" t="s">
        <v>74</v>
      </c>
      <c r="Q765" t="s">
        <v>74</v>
      </c>
      <c r="R765" t="s">
        <v>74</v>
      </c>
      <c r="S765" t="s">
        <v>74</v>
      </c>
      <c r="T765" t="s">
        <v>14198</v>
      </c>
      <c r="U765" t="s">
        <v>14199</v>
      </c>
      <c r="V765" t="s">
        <v>14200</v>
      </c>
      <c r="W765" t="s">
        <v>14201</v>
      </c>
      <c r="X765" t="s">
        <v>14202</v>
      </c>
      <c r="Y765" t="s">
        <v>14203</v>
      </c>
      <c r="Z765" t="s">
        <v>14204</v>
      </c>
      <c r="AA765" t="s">
        <v>14205</v>
      </c>
      <c r="AB765" t="s">
        <v>14206</v>
      </c>
      <c r="AC765" t="s">
        <v>14207</v>
      </c>
      <c r="AD765" t="s">
        <v>14208</v>
      </c>
      <c r="AE765" t="s">
        <v>14209</v>
      </c>
      <c r="AF765" t="s">
        <v>74</v>
      </c>
      <c r="AG765">
        <v>38</v>
      </c>
      <c r="AH765">
        <v>61</v>
      </c>
      <c r="AI765">
        <v>68</v>
      </c>
      <c r="AJ765">
        <v>0</v>
      </c>
      <c r="AK765">
        <v>31</v>
      </c>
      <c r="AL765" t="s">
        <v>813</v>
      </c>
      <c r="AM765" t="s">
        <v>413</v>
      </c>
      <c r="AN765" t="s">
        <v>7426</v>
      </c>
      <c r="AO765" t="s">
        <v>7427</v>
      </c>
      <c r="AP765" t="s">
        <v>7428</v>
      </c>
      <c r="AQ765" t="s">
        <v>74</v>
      </c>
      <c r="AR765" t="s">
        <v>7429</v>
      </c>
      <c r="AS765" t="s">
        <v>7430</v>
      </c>
      <c r="AT765" t="s">
        <v>12989</v>
      </c>
      <c r="AU765">
        <v>2011</v>
      </c>
      <c r="AV765">
        <v>23</v>
      </c>
      <c r="AW765">
        <v>5</v>
      </c>
      <c r="AX765" t="s">
        <v>74</v>
      </c>
      <c r="AY765" t="s">
        <v>74</v>
      </c>
      <c r="AZ765" t="s">
        <v>74</v>
      </c>
      <c r="BA765" t="s">
        <v>74</v>
      </c>
      <c r="BB765">
        <v>487</v>
      </c>
      <c r="BC765">
        <v>498</v>
      </c>
      <c r="BD765" t="s">
        <v>74</v>
      </c>
      <c r="BE765" t="s">
        <v>14210</v>
      </c>
      <c r="BF765" t="str">
        <f>HYPERLINK("http://dx.doi.org/10.1017/S0954102011000381","http://dx.doi.org/10.1017/S0954102011000381")</f>
        <v>http://dx.doi.org/10.1017/S0954102011000381</v>
      </c>
      <c r="BG765" t="s">
        <v>74</v>
      </c>
      <c r="BH765" t="s">
        <v>74</v>
      </c>
      <c r="BI765">
        <v>12</v>
      </c>
      <c r="BJ765" t="s">
        <v>7432</v>
      </c>
      <c r="BK765" t="s">
        <v>100</v>
      </c>
      <c r="BL765" t="s">
        <v>2855</v>
      </c>
      <c r="BM765" t="s">
        <v>13306</v>
      </c>
      <c r="BN765" t="s">
        <v>74</v>
      </c>
      <c r="BO765" t="s">
        <v>74</v>
      </c>
      <c r="BP765" t="s">
        <v>74</v>
      </c>
      <c r="BQ765" t="s">
        <v>74</v>
      </c>
      <c r="BR765" t="s">
        <v>102</v>
      </c>
      <c r="BS765" t="s">
        <v>14211</v>
      </c>
      <c r="BT765" t="str">
        <f>HYPERLINK("https%3A%2F%2Fwww.webofscience.com%2Fwos%2Fwoscc%2Ffull-record%2FWOS:000296911000010","View Full Record in Web of Science")</f>
        <v>View Full Record in Web of Science</v>
      </c>
    </row>
    <row r="766" spans="1:72" x14ac:dyDescent="0.15">
      <c r="A766" t="s">
        <v>72</v>
      </c>
      <c r="B766" t="s">
        <v>14212</v>
      </c>
      <c r="C766" t="s">
        <v>74</v>
      </c>
      <c r="D766" t="s">
        <v>74</v>
      </c>
      <c r="E766" t="s">
        <v>74</v>
      </c>
      <c r="F766" t="s">
        <v>14213</v>
      </c>
      <c r="G766" t="s">
        <v>74</v>
      </c>
      <c r="H766" t="s">
        <v>74</v>
      </c>
      <c r="I766" t="s">
        <v>14214</v>
      </c>
      <c r="J766" t="s">
        <v>972</v>
      </c>
      <c r="K766" t="s">
        <v>74</v>
      </c>
      <c r="L766" t="s">
        <v>74</v>
      </c>
      <c r="M766" t="s">
        <v>78</v>
      </c>
      <c r="N766" t="s">
        <v>79</v>
      </c>
      <c r="O766" t="s">
        <v>74</v>
      </c>
      <c r="P766" t="s">
        <v>74</v>
      </c>
      <c r="Q766" t="s">
        <v>74</v>
      </c>
      <c r="R766" t="s">
        <v>74</v>
      </c>
      <c r="S766" t="s">
        <v>74</v>
      </c>
      <c r="T766" t="s">
        <v>74</v>
      </c>
      <c r="U766" t="s">
        <v>14215</v>
      </c>
      <c r="V766" t="s">
        <v>14216</v>
      </c>
      <c r="W766" t="s">
        <v>14217</v>
      </c>
      <c r="X766" t="s">
        <v>14218</v>
      </c>
      <c r="Y766" t="s">
        <v>14219</v>
      </c>
      <c r="Z766" t="s">
        <v>14220</v>
      </c>
      <c r="AA766" t="s">
        <v>14221</v>
      </c>
      <c r="AB766" t="s">
        <v>14222</v>
      </c>
      <c r="AC766" t="s">
        <v>14223</v>
      </c>
      <c r="AD766" t="s">
        <v>14224</v>
      </c>
      <c r="AE766" t="s">
        <v>14225</v>
      </c>
      <c r="AF766" t="s">
        <v>74</v>
      </c>
      <c r="AG766">
        <v>58</v>
      </c>
      <c r="AH766">
        <v>96</v>
      </c>
      <c r="AI766">
        <v>104</v>
      </c>
      <c r="AJ766">
        <v>3</v>
      </c>
      <c r="AK766">
        <v>43</v>
      </c>
      <c r="AL766" t="s">
        <v>984</v>
      </c>
      <c r="AM766" t="s">
        <v>985</v>
      </c>
      <c r="AN766" t="s">
        <v>986</v>
      </c>
      <c r="AO766" t="s">
        <v>987</v>
      </c>
      <c r="AP766" t="s">
        <v>988</v>
      </c>
      <c r="AQ766" t="s">
        <v>74</v>
      </c>
      <c r="AR766" t="s">
        <v>989</v>
      </c>
      <c r="AS766" t="s">
        <v>990</v>
      </c>
      <c r="AT766" t="s">
        <v>12989</v>
      </c>
      <c r="AU766">
        <v>2011</v>
      </c>
      <c r="AV766">
        <v>77</v>
      </c>
      <c r="AW766">
        <v>19</v>
      </c>
      <c r="AX766" t="s">
        <v>74</v>
      </c>
      <c r="AY766" t="s">
        <v>74</v>
      </c>
      <c r="AZ766" t="s">
        <v>74</v>
      </c>
      <c r="BA766" t="s">
        <v>74</v>
      </c>
      <c r="BB766">
        <v>7050</v>
      </c>
      <c r="BC766">
        <v>7057</v>
      </c>
      <c r="BD766" t="s">
        <v>74</v>
      </c>
      <c r="BE766" t="s">
        <v>14226</v>
      </c>
      <c r="BF766" t="str">
        <f>HYPERLINK("http://dx.doi.org/10.1128/AEM.05308-11","http://dx.doi.org/10.1128/AEM.05308-11")</f>
        <v>http://dx.doi.org/10.1128/AEM.05308-11</v>
      </c>
      <c r="BG766" t="s">
        <v>74</v>
      </c>
      <c r="BH766" t="s">
        <v>74</v>
      </c>
      <c r="BI766">
        <v>8</v>
      </c>
      <c r="BJ766" t="s">
        <v>595</v>
      </c>
      <c r="BK766" t="s">
        <v>100</v>
      </c>
      <c r="BL766" t="s">
        <v>595</v>
      </c>
      <c r="BM766" t="s">
        <v>14227</v>
      </c>
      <c r="BN766">
        <v>21841034</v>
      </c>
      <c r="BO766" t="s">
        <v>6160</v>
      </c>
      <c r="BP766" t="s">
        <v>74</v>
      </c>
      <c r="BQ766" t="s">
        <v>74</v>
      </c>
      <c r="BR766" t="s">
        <v>102</v>
      </c>
      <c r="BS766" t="s">
        <v>14228</v>
      </c>
      <c r="BT766" t="str">
        <f>HYPERLINK("https%3A%2F%2Fwww.webofscience.com%2Fwos%2Fwoscc%2Ffull-record%2FWOS:000295123300039","View Full Record in Web of Science")</f>
        <v>View Full Record in Web of Science</v>
      </c>
    </row>
    <row r="767" spans="1:72" x14ac:dyDescent="0.15">
      <c r="A767" t="s">
        <v>72</v>
      </c>
      <c r="B767" t="s">
        <v>14229</v>
      </c>
      <c r="C767" t="s">
        <v>74</v>
      </c>
      <c r="D767" t="s">
        <v>74</v>
      </c>
      <c r="E767" t="s">
        <v>74</v>
      </c>
      <c r="F767" t="s">
        <v>14230</v>
      </c>
      <c r="G767" t="s">
        <v>74</v>
      </c>
      <c r="H767" t="s">
        <v>74</v>
      </c>
      <c r="I767" t="s">
        <v>14231</v>
      </c>
      <c r="J767" t="s">
        <v>1458</v>
      </c>
      <c r="K767" t="s">
        <v>74</v>
      </c>
      <c r="L767" t="s">
        <v>74</v>
      </c>
      <c r="M767" t="s">
        <v>78</v>
      </c>
      <c r="N767" t="s">
        <v>79</v>
      </c>
      <c r="O767" t="s">
        <v>74</v>
      </c>
      <c r="P767" t="s">
        <v>74</v>
      </c>
      <c r="Q767" t="s">
        <v>74</v>
      </c>
      <c r="R767" t="s">
        <v>74</v>
      </c>
      <c r="S767" t="s">
        <v>74</v>
      </c>
      <c r="T767" t="s">
        <v>14232</v>
      </c>
      <c r="U767" t="s">
        <v>74</v>
      </c>
      <c r="V767" t="s">
        <v>14233</v>
      </c>
      <c r="W767" t="s">
        <v>14234</v>
      </c>
      <c r="X767" t="s">
        <v>14235</v>
      </c>
      <c r="Y767" t="s">
        <v>1368</v>
      </c>
      <c r="Z767" t="s">
        <v>1464</v>
      </c>
      <c r="AA767" t="s">
        <v>14236</v>
      </c>
      <c r="AB767" t="s">
        <v>14237</v>
      </c>
      <c r="AC767" t="s">
        <v>2179</v>
      </c>
      <c r="AD767" t="s">
        <v>586</v>
      </c>
      <c r="AE767" t="s">
        <v>74</v>
      </c>
      <c r="AF767" t="s">
        <v>74</v>
      </c>
      <c r="AG767">
        <v>9</v>
      </c>
      <c r="AH767">
        <v>0</v>
      </c>
      <c r="AI767">
        <v>0</v>
      </c>
      <c r="AJ767">
        <v>0</v>
      </c>
      <c r="AK767">
        <v>6</v>
      </c>
      <c r="AL767" t="s">
        <v>2832</v>
      </c>
      <c r="AM767" t="s">
        <v>796</v>
      </c>
      <c r="AN767" t="s">
        <v>797</v>
      </c>
      <c r="AO767" t="s">
        <v>1470</v>
      </c>
      <c r="AP767" t="s">
        <v>74</v>
      </c>
      <c r="AQ767" t="s">
        <v>74</v>
      </c>
      <c r="AR767" t="s">
        <v>1471</v>
      </c>
      <c r="AS767" t="s">
        <v>1472</v>
      </c>
      <c r="AT767" t="s">
        <v>14238</v>
      </c>
      <c r="AU767">
        <v>2011</v>
      </c>
      <c r="AV767">
        <v>12</v>
      </c>
      <c r="AW767">
        <v>4</v>
      </c>
      <c r="AX767" t="s">
        <v>74</v>
      </c>
      <c r="AY767" t="s">
        <v>74</v>
      </c>
      <c r="AZ767" t="s">
        <v>74</v>
      </c>
      <c r="BA767" t="s">
        <v>74</v>
      </c>
      <c r="BB767">
        <v>321</v>
      </c>
      <c r="BC767">
        <v>324</v>
      </c>
      <c r="BD767" t="s">
        <v>74</v>
      </c>
      <c r="BE767" t="s">
        <v>14239</v>
      </c>
      <c r="BF767" t="str">
        <f>HYPERLINK("http://dx.doi.org/10.1002/asl.339","http://dx.doi.org/10.1002/asl.339")</f>
        <v>http://dx.doi.org/10.1002/asl.339</v>
      </c>
      <c r="BG767" t="s">
        <v>74</v>
      </c>
      <c r="BH767" t="s">
        <v>74</v>
      </c>
      <c r="BI767">
        <v>4</v>
      </c>
      <c r="BJ767" t="s">
        <v>1474</v>
      </c>
      <c r="BK767" t="s">
        <v>100</v>
      </c>
      <c r="BL767" t="s">
        <v>1474</v>
      </c>
      <c r="BM767" t="s">
        <v>14240</v>
      </c>
      <c r="BN767" t="s">
        <v>74</v>
      </c>
      <c r="BO767" t="s">
        <v>342</v>
      </c>
      <c r="BP767" t="s">
        <v>74</v>
      </c>
      <c r="BQ767" t="s">
        <v>74</v>
      </c>
      <c r="BR767" t="s">
        <v>102</v>
      </c>
      <c r="BS767" t="s">
        <v>14241</v>
      </c>
      <c r="BT767" t="str">
        <f>HYPERLINK("https%3A%2F%2Fwww.webofscience.com%2Fwos%2Fwoscc%2Ffull-record%2FWOS:000299207300001","View Full Record in Web of Science")</f>
        <v>View Full Record in Web of Science</v>
      </c>
    </row>
    <row r="768" spans="1:72" x14ac:dyDescent="0.15">
      <c r="A768" t="s">
        <v>72</v>
      </c>
      <c r="B768" t="s">
        <v>14242</v>
      </c>
      <c r="C768" t="s">
        <v>74</v>
      </c>
      <c r="D768" t="s">
        <v>74</v>
      </c>
      <c r="E768" t="s">
        <v>74</v>
      </c>
      <c r="F768" t="s">
        <v>14243</v>
      </c>
      <c r="G768" t="s">
        <v>74</v>
      </c>
      <c r="H768" t="s">
        <v>74</v>
      </c>
      <c r="I768" t="s">
        <v>14244</v>
      </c>
      <c r="J768" t="s">
        <v>13098</v>
      </c>
      <c r="K768" t="s">
        <v>74</v>
      </c>
      <c r="L768" t="s">
        <v>74</v>
      </c>
      <c r="M768" t="s">
        <v>78</v>
      </c>
      <c r="N768" t="s">
        <v>79</v>
      </c>
      <c r="O768" t="s">
        <v>74</v>
      </c>
      <c r="P768" t="s">
        <v>74</v>
      </c>
      <c r="Q768" t="s">
        <v>74</v>
      </c>
      <c r="R768" t="s">
        <v>74</v>
      </c>
      <c r="S768" t="s">
        <v>74</v>
      </c>
      <c r="T768" t="s">
        <v>14245</v>
      </c>
      <c r="U768" t="s">
        <v>14246</v>
      </c>
      <c r="V768" t="s">
        <v>14247</v>
      </c>
      <c r="W768" t="s">
        <v>14248</v>
      </c>
      <c r="X768" t="s">
        <v>14249</v>
      </c>
      <c r="Y768" t="s">
        <v>14250</v>
      </c>
      <c r="Z768" t="s">
        <v>14251</v>
      </c>
      <c r="AA768" t="s">
        <v>14252</v>
      </c>
      <c r="AB768" t="s">
        <v>14253</v>
      </c>
      <c r="AC768" t="s">
        <v>14254</v>
      </c>
      <c r="AD768" t="s">
        <v>14255</v>
      </c>
      <c r="AE768" t="s">
        <v>14256</v>
      </c>
      <c r="AF768" t="s">
        <v>74</v>
      </c>
      <c r="AG768">
        <v>82</v>
      </c>
      <c r="AH768">
        <v>64</v>
      </c>
      <c r="AI768">
        <v>77</v>
      </c>
      <c r="AJ768">
        <v>1</v>
      </c>
      <c r="AK768">
        <v>57</v>
      </c>
      <c r="AL768" t="s">
        <v>155</v>
      </c>
      <c r="AM768" t="s">
        <v>156</v>
      </c>
      <c r="AN768" t="s">
        <v>157</v>
      </c>
      <c r="AO768" t="s">
        <v>13111</v>
      </c>
      <c r="AP768" t="s">
        <v>13112</v>
      </c>
      <c r="AQ768" t="s">
        <v>74</v>
      </c>
      <c r="AR768" t="s">
        <v>13098</v>
      </c>
      <c r="AS768" t="s">
        <v>13113</v>
      </c>
      <c r="AT768" t="s">
        <v>12989</v>
      </c>
      <c r="AU768">
        <v>2011</v>
      </c>
      <c r="AV768">
        <v>85</v>
      </c>
      <c r="AW768">
        <v>6</v>
      </c>
      <c r="AX768" t="s">
        <v>74</v>
      </c>
      <c r="AY768" t="s">
        <v>74</v>
      </c>
      <c r="AZ768" t="s">
        <v>74</v>
      </c>
      <c r="BA768" t="s">
        <v>74</v>
      </c>
      <c r="BB768">
        <v>967</v>
      </c>
      <c r="BC768">
        <v>976</v>
      </c>
      <c r="BD768" t="s">
        <v>74</v>
      </c>
      <c r="BE768" t="s">
        <v>14257</v>
      </c>
      <c r="BF768" t="str">
        <f>HYPERLINK("http://dx.doi.org/10.1016/j.chemosphere.2011.06.067","http://dx.doi.org/10.1016/j.chemosphere.2011.06.067")</f>
        <v>http://dx.doi.org/10.1016/j.chemosphere.2011.06.067</v>
      </c>
      <c r="BG768" t="s">
        <v>74</v>
      </c>
      <c r="BH768" t="s">
        <v>74</v>
      </c>
      <c r="BI768">
        <v>10</v>
      </c>
      <c r="BJ768" t="s">
        <v>2924</v>
      </c>
      <c r="BK768" t="s">
        <v>100</v>
      </c>
      <c r="BL768" t="s">
        <v>2837</v>
      </c>
      <c r="BM768" t="s">
        <v>14258</v>
      </c>
      <c r="BN768">
        <v>21745678</v>
      </c>
      <c r="BO768" t="s">
        <v>74</v>
      </c>
      <c r="BP768" t="s">
        <v>74</v>
      </c>
      <c r="BQ768" t="s">
        <v>74</v>
      </c>
      <c r="BR768" t="s">
        <v>102</v>
      </c>
      <c r="BS768" t="s">
        <v>14259</v>
      </c>
      <c r="BT768" t="str">
        <f>HYPERLINK("https%3A%2F%2Fwww.webofscience.com%2Fwos%2Fwoscc%2Ffull-record%2FWOS:000298223400008","View Full Record in Web of Science")</f>
        <v>View Full Record in Web of Science</v>
      </c>
    </row>
    <row r="769" spans="1:72" x14ac:dyDescent="0.15">
      <c r="A769" t="s">
        <v>72</v>
      </c>
      <c r="B769" t="s">
        <v>14260</v>
      </c>
      <c r="C769" t="s">
        <v>74</v>
      </c>
      <c r="D769" t="s">
        <v>74</v>
      </c>
      <c r="E769" t="s">
        <v>74</v>
      </c>
      <c r="F769" t="s">
        <v>14261</v>
      </c>
      <c r="G769" t="s">
        <v>74</v>
      </c>
      <c r="H769" t="s">
        <v>74</v>
      </c>
      <c r="I769" t="s">
        <v>14262</v>
      </c>
      <c r="J769" t="s">
        <v>1759</v>
      </c>
      <c r="K769" t="s">
        <v>74</v>
      </c>
      <c r="L769" t="s">
        <v>74</v>
      </c>
      <c r="M769" t="s">
        <v>78</v>
      </c>
      <c r="N769" t="s">
        <v>79</v>
      </c>
      <c r="O769" t="s">
        <v>74</v>
      </c>
      <c r="P769" t="s">
        <v>74</v>
      </c>
      <c r="Q769" t="s">
        <v>74</v>
      </c>
      <c r="R769" t="s">
        <v>74</v>
      </c>
      <c r="S769" t="s">
        <v>74</v>
      </c>
      <c r="T769" t="s">
        <v>14263</v>
      </c>
      <c r="U769" t="s">
        <v>14264</v>
      </c>
      <c r="V769" t="s">
        <v>14265</v>
      </c>
      <c r="W769" t="s">
        <v>14266</v>
      </c>
      <c r="X769" t="s">
        <v>14267</v>
      </c>
      <c r="Y769" t="s">
        <v>14268</v>
      </c>
      <c r="Z769" t="s">
        <v>14269</v>
      </c>
      <c r="AA769" t="s">
        <v>14270</v>
      </c>
      <c r="AB769" t="s">
        <v>14271</v>
      </c>
      <c r="AC769" t="s">
        <v>14272</v>
      </c>
      <c r="AD769" t="s">
        <v>14272</v>
      </c>
      <c r="AE769" t="s">
        <v>14273</v>
      </c>
      <c r="AF769" t="s">
        <v>74</v>
      </c>
      <c r="AG769">
        <v>44</v>
      </c>
      <c r="AH769">
        <v>43</v>
      </c>
      <c r="AI769">
        <v>45</v>
      </c>
      <c r="AJ769">
        <v>1</v>
      </c>
      <c r="AK769">
        <v>30</v>
      </c>
      <c r="AL769" t="s">
        <v>250</v>
      </c>
      <c r="AM769" t="s">
        <v>413</v>
      </c>
      <c r="AN769" t="s">
        <v>490</v>
      </c>
      <c r="AO769" t="s">
        <v>1772</v>
      </c>
      <c r="AP769" t="s">
        <v>1773</v>
      </c>
      <c r="AQ769" t="s">
        <v>74</v>
      </c>
      <c r="AR769" t="s">
        <v>1774</v>
      </c>
      <c r="AS769" t="s">
        <v>1775</v>
      </c>
      <c r="AT769" t="s">
        <v>12989</v>
      </c>
      <c r="AU769">
        <v>2011</v>
      </c>
      <c r="AV769">
        <v>37</v>
      </c>
      <c r="AW769" t="s">
        <v>14274</v>
      </c>
      <c r="AX769" t="s">
        <v>74</v>
      </c>
      <c r="AY769" t="s">
        <v>74</v>
      </c>
      <c r="AZ769" t="s">
        <v>74</v>
      </c>
      <c r="BA769" t="s">
        <v>74</v>
      </c>
      <c r="BB769">
        <v>1427</v>
      </c>
      <c r="BC769">
        <v>1442</v>
      </c>
      <c r="BD769" t="s">
        <v>74</v>
      </c>
      <c r="BE769" t="s">
        <v>14275</v>
      </c>
      <c r="BF769" t="str">
        <f>HYPERLINK("http://dx.doi.org/10.1007/s00382-010-0918-8","http://dx.doi.org/10.1007/s00382-010-0918-8")</f>
        <v>http://dx.doi.org/10.1007/s00382-010-0918-8</v>
      </c>
      <c r="BG769" t="s">
        <v>74</v>
      </c>
      <c r="BH769" t="s">
        <v>74</v>
      </c>
      <c r="BI769">
        <v>16</v>
      </c>
      <c r="BJ769" t="s">
        <v>463</v>
      </c>
      <c r="BK769" t="s">
        <v>100</v>
      </c>
      <c r="BL769" t="s">
        <v>463</v>
      </c>
      <c r="BM769" t="s">
        <v>14276</v>
      </c>
      <c r="BN769" t="s">
        <v>74</v>
      </c>
      <c r="BO769" t="s">
        <v>74</v>
      </c>
      <c r="BP769" t="s">
        <v>74</v>
      </c>
      <c r="BQ769" t="s">
        <v>74</v>
      </c>
      <c r="BR769" t="s">
        <v>102</v>
      </c>
      <c r="BS769" t="s">
        <v>14277</v>
      </c>
      <c r="BT769" t="str">
        <f>HYPERLINK("https%3A%2F%2Fwww.webofscience.com%2Fwos%2Fwoscc%2Ffull-record%2FWOS:000295522600008","View Full Record in Web of Science")</f>
        <v>View Full Record in Web of Science</v>
      </c>
    </row>
    <row r="770" spans="1:72" x14ac:dyDescent="0.15">
      <c r="A770" t="s">
        <v>72</v>
      </c>
      <c r="B770" t="s">
        <v>14278</v>
      </c>
      <c r="C770" t="s">
        <v>74</v>
      </c>
      <c r="D770" t="s">
        <v>74</v>
      </c>
      <c r="E770" t="s">
        <v>74</v>
      </c>
      <c r="F770" t="s">
        <v>14279</v>
      </c>
      <c r="G770" t="s">
        <v>74</v>
      </c>
      <c r="H770" t="s">
        <v>74</v>
      </c>
      <c r="I770" t="s">
        <v>14280</v>
      </c>
      <c r="J770" t="s">
        <v>13645</v>
      </c>
      <c r="K770" t="s">
        <v>74</v>
      </c>
      <c r="L770" t="s">
        <v>74</v>
      </c>
      <c r="M770" t="s">
        <v>78</v>
      </c>
      <c r="N770" t="s">
        <v>79</v>
      </c>
      <c r="O770" t="s">
        <v>74</v>
      </c>
      <c r="P770" t="s">
        <v>74</v>
      </c>
      <c r="Q770" t="s">
        <v>74</v>
      </c>
      <c r="R770" t="s">
        <v>74</v>
      </c>
      <c r="S770" t="s">
        <v>74</v>
      </c>
      <c r="T770" t="s">
        <v>14281</v>
      </c>
      <c r="U770" t="s">
        <v>14282</v>
      </c>
      <c r="V770" t="s">
        <v>14283</v>
      </c>
      <c r="W770" t="s">
        <v>14284</v>
      </c>
      <c r="X770" t="s">
        <v>14285</v>
      </c>
      <c r="Y770" t="s">
        <v>14286</v>
      </c>
      <c r="Z770" t="s">
        <v>14287</v>
      </c>
      <c r="AA770" t="s">
        <v>14288</v>
      </c>
      <c r="AB770" t="s">
        <v>14289</v>
      </c>
      <c r="AC770" t="s">
        <v>14290</v>
      </c>
      <c r="AD770" t="s">
        <v>14290</v>
      </c>
      <c r="AE770" t="s">
        <v>14291</v>
      </c>
      <c r="AF770" t="s">
        <v>74</v>
      </c>
      <c r="AG770">
        <v>25</v>
      </c>
      <c r="AH770">
        <v>11</v>
      </c>
      <c r="AI770">
        <v>12</v>
      </c>
      <c r="AJ770">
        <v>1</v>
      </c>
      <c r="AK770">
        <v>27</v>
      </c>
      <c r="AL770" t="s">
        <v>3479</v>
      </c>
      <c r="AM770" t="s">
        <v>334</v>
      </c>
      <c r="AN770" t="s">
        <v>3480</v>
      </c>
      <c r="AO770" t="s">
        <v>13655</v>
      </c>
      <c r="AP770" t="s">
        <v>74</v>
      </c>
      <c r="AQ770" t="s">
        <v>74</v>
      </c>
      <c r="AR770" t="s">
        <v>13657</v>
      </c>
      <c r="AS770" t="s">
        <v>13658</v>
      </c>
      <c r="AT770" t="s">
        <v>12989</v>
      </c>
      <c r="AU770">
        <v>2011</v>
      </c>
      <c r="AV770">
        <v>69</v>
      </c>
      <c r="AW770">
        <v>1</v>
      </c>
      <c r="AX770" t="s">
        <v>74</v>
      </c>
      <c r="AY770" t="s">
        <v>74</v>
      </c>
      <c r="AZ770" t="s">
        <v>74</v>
      </c>
      <c r="BA770" t="s">
        <v>74</v>
      </c>
      <c r="BB770">
        <v>59</v>
      </c>
      <c r="BC770">
        <v>63</v>
      </c>
      <c r="BD770" t="s">
        <v>74</v>
      </c>
      <c r="BE770" t="s">
        <v>14292</v>
      </c>
      <c r="BF770" t="str">
        <f>HYPERLINK("http://dx.doi.org/10.1016/j.coldregions.2011.06.013","http://dx.doi.org/10.1016/j.coldregions.2011.06.013")</f>
        <v>http://dx.doi.org/10.1016/j.coldregions.2011.06.013</v>
      </c>
      <c r="BG770" t="s">
        <v>74</v>
      </c>
      <c r="BH770" t="s">
        <v>74</v>
      </c>
      <c r="BI770">
        <v>5</v>
      </c>
      <c r="BJ770" t="s">
        <v>13660</v>
      </c>
      <c r="BK770" t="s">
        <v>100</v>
      </c>
      <c r="BL770" t="s">
        <v>13661</v>
      </c>
      <c r="BM770" t="s">
        <v>13662</v>
      </c>
      <c r="BN770" t="s">
        <v>74</v>
      </c>
      <c r="BO770" t="s">
        <v>74</v>
      </c>
      <c r="BP770" t="s">
        <v>74</v>
      </c>
      <c r="BQ770" t="s">
        <v>74</v>
      </c>
      <c r="BR770" t="s">
        <v>102</v>
      </c>
      <c r="BS770" t="s">
        <v>14293</v>
      </c>
      <c r="BT770" t="str">
        <f>HYPERLINK("https%3A%2F%2Fwww.webofscience.com%2Fwos%2Fwoscc%2Ffull-record%2FWOS:000296311100006","View Full Record in Web of Science")</f>
        <v>View Full Record in Web of Science</v>
      </c>
    </row>
    <row r="771" spans="1:72" x14ac:dyDescent="0.15">
      <c r="A771" t="s">
        <v>72</v>
      </c>
      <c r="B771" t="s">
        <v>14294</v>
      </c>
      <c r="C771" t="s">
        <v>74</v>
      </c>
      <c r="D771" t="s">
        <v>74</v>
      </c>
      <c r="E771" t="s">
        <v>74</v>
      </c>
      <c r="F771" t="s">
        <v>14295</v>
      </c>
      <c r="G771" t="s">
        <v>74</v>
      </c>
      <c r="H771" t="s">
        <v>74</v>
      </c>
      <c r="I771" t="s">
        <v>14296</v>
      </c>
      <c r="J771" t="s">
        <v>2376</v>
      </c>
      <c r="K771" t="s">
        <v>74</v>
      </c>
      <c r="L771" t="s">
        <v>74</v>
      </c>
      <c r="M771" t="s">
        <v>78</v>
      </c>
      <c r="N771" t="s">
        <v>79</v>
      </c>
      <c r="O771" t="s">
        <v>74</v>
      </c>
      <c r="P771" t="s">
        <v>74</v>
      </c>
      <c r="Q771" t="s">
        <v>74</v>
      </c>
      <c r="R771" t="s">
        <v>74</v>
      </c>
      <c r="S771" t="s">
        <v>74</v>
      </c>
      <c r="T771" t="s">
        <v>14297</v>
      </c>
      <c r="U771" t="s">
        <v>14298</v>
      </c>
      <c r="V771" t="s">
        <v>14299</v>
      </c>
      <c r="W771" t="s">
        <v>14300</v>
      </c>
      <c r="X771" t="s">
        <v>14301</v>
      </c>
      <c r="Y771" t="s">
        <v>14302</v>
      </c>
      <c r="Z771" t="s">
        <v>14303</v>
      </c>
      <c r="AA771" t="s">
        <v>14304</v>
      </c>
      <c r="AB771" t="s">
        <v>14305</v>
      </c>
      <c r="AC771" t="s">
        <v>14306</v>
      </c>
      <c r="AD771" t="s">
        <v>14307</v>
      </c>
      <c r="AE771" t="s">
        <v>14308</v>
      </c>
      <c r="AF771" t="s">
        <v>74</v>
      </c>
      <c r="AG771">
        <v>72</v>
      </c>
      <c r="AH771">
        <v>39</v>
      </c>
      <c r="AI771">
        <v>45</v>
      </c>
      <c r="AJ771">
        <v>0</v>
      </c>
      <c r="AK771">
        <v>26</v>
      </c>
      <c r="AL771" t="s">
        <v>155</v>
      </c>
      <c r="AM771" t="s">
        <v>156</v>
      </c>
      <c r="AN771" t="s">
        <v>157</v>
      </c>
      <c r="AO771" t="s">
        <v>2387</v>
      </c>
      <c r="AP771" t="s">
        <v>2388</v>
      </c>
      <c r="AQ771" t="s">
        <v>74</v>
      </c>
      <c r="AR771" t="s">
        <v>2389</v>
      </c>
      <c r="AS771" t="s">
        <v>2390</v>
      </c>
      <c r="AT771" t="s">
        <v>12989</v>
      </c>
      <c r="AU771">
        <v>2011</v>
      </c>
      <c r="AV771">
        <v>58</v>
      </c>
      <c r="AW771" t="s">
        <v>13925</v>
      </c>
      <c r="AX771" t="s">
        <v>74</v>
      </c>
      <c r="AY771" t="s">
        <v>74</v>
      </c>
      <c r="AZ771" t="s">
        <v>74</v>
      </c>
      <c r="BA771" t="s">
        <v>74</v>
      </c>
      <c r="BB771">
        <v>1948</v>
      </c>
      <c r="BC771">
        <v>1961</v>
      </c>
      <c r="BD771" t="s">
        <v>74</v>
      </c>
      <c r="BE771" t="s">
        <v>14309</v>
      </c>
      <c r="BF771" t="str">
        <f>HYPERLINK("http://dx.doi.org/10.1016/j.dsr2.2011.01.010","http://dx.doi.org/10.1016/j.dsr2.2011.01.010")</f>
        <v>http://dx.doi.org/10.1016/j.dsr2.2011.01.010</v>
      </c>
      <c r="BG771" t="s">
        <v>74</v>
      </c>
      <c r="BH771" t="s">
        <v>74</v>
      </c>
      <c r="BI771">
        <v>14</v>
      </c>
      <c r="BJ771" t="s">
        <v>496</v>
      </c>
      <c r="BK771" t="s">
        <v>100</v>
      </c>
      <c r="BL771" t="s">
        <v>496</v>
      </c>
      <c r="BM771" t="s">
        <v>13927</v>
      </c>
      <c r="BN771" t="s">
        <v>74</v>
      </c>
      <c r="BO771" t="s">
        <v>342</v>
      </c>
      <c r="BP771" t="s">
        <v>74</v>
      </c>
      <c r="BQ771" t="s">
        <v>74</v>
      </c>
      <c r="BR771" t="s">
        <v>102</v>
      </c>
      <c r="BS771" t="s">
        <v>14310</v>
      </c>
      <c r="BT771" t="str">
        <f>HYPERLINK("https%3A%2F%2Fwww.webofscience.com%2Fwos%2Fwoscc%2Ffull-record%2FWOS:000295431900002","View Full Record in Web of Science")</f>
        <v>View Full Record in Web of Science</v>
      </c>
    </row>
    <row r="772" spans="1:72" x14ac:dyDescent="0.15">
      <c r="A772" t="s">
        <v>72</v>
      </c>
      <c r="B772" t="s">
        <v>14311</v>
      </c>
      <c r="C772" t="s">
        <v>74</v>
      </c>
      <c r="D772" t="s">
        <v>74</v>
      </c>
      <c r="E772" t="s">
        <v>74</v>
      </c>
      <c r="F772" t="s">
        <v>14312</v>
      </c>
      <c r="G772" t="s">
        <v>74</v>
      </c>
      <c r="H772" t="s">
        <v>74</v>
      </c>
      <c r="I772" t="s">
        <v>14313</v>
      </c>
      <c r="J772" t="s">
        <v>2376</v>
      </c>
      <c r="K772" t="s">
        <v>74</v>
      </c>
      <c r="L772" t="s">
        <v>74</v>
      </c>
      <c r="M772" t="s">
        <v>78</v>
      </c>
      <c r="N772" t="s">
        <v>79</v>
      </c>
      <c r="O772" t="s">
        <v>74</v>
      </c>
      <c r="P772" t="s">
        <v>74</v>
      </c>
      <c r="Q772" t="s">
        <v>74</v>
      </c>
      <c r="R772" t="s">
        <v>74</v>
      </c>
      <c r="S772" t="s">
        <v>74</v>
      </c>
      <c r="T772" t="s">
        <v>14314</v>
      </c>
      <c r="U772" t="s">
        <v>14315</v>
      </c>
      <c r="V772" t="s">
        <v>14316</v>
      </c>
      <c r="W772" t="s">
        <v>14317</v>
      </c>
      <c r="X772" t="s">
        <v>14318</v>
      </c>
      <c r="Y772" t="s">
        <v>14319</v>
      </c>
      <c r="Z772" t="s">
        <v>14320</v>
      </c>
      <c r="AA772" t="s">
        <v>14321</v>
      </c>
      <c r="AB772" t="s">
        <v>14322</v>
      </c>
      <c r="AC772" t="s">
        <v>14323</v>
      </c>
      <c r="AD772" t="s">
        <v>14324</v>
      </c>
      <c r="AE772" t="s">
        <v>14325</v>
      </c>
      <c r="AF772" t="s">
        <v>74</v>
      </c>
      <c r="AG772">
        <v>113</v>
      </c>
      <c r="AH772">
        <v>37</v>
      </c>
      <c r="AI772">
        <v>40</v>
      </c>
      <c r="AJ772">
        <v>1</v>
      </c>
      <c r="AK772">
        <v>38</v>
      </c>
      <c r="AL772" t="s">
        <v>155</v>
      </c>
      <c r="AM772" t="s">
        <v>156</v>
      </c>
      <c r="AN772" t="s">
        <v>157</v>
      </c>
      <c r="AO772" t="s">
        <v>2387</v>
      </c>
      <c r="AP772" t="s">
        <v>2388</v>
      </c>
      <c r="AQ772" t="s">
        <v>74</v>
      </c>
      <c r="AR772" t="s">
        <v>2389</v>
      </c>
      <c r="AS772" t="s">
        <v>2390</v>
      </c>
      <c r="AT772" t="s">
        <v>12989</v>
      </c>
      <c r="AU772">
        <v>2011</v>
      </c>
      <c r="AV772">
        <v>58</v>
      </c>
      <c r="AW772" t="s">
        <v>13925</v>
      </c>
      <c r="AX772" t="s">
        <v>74</v>
      </c>
      <c r="AY772" t="s">
        <v>74</v>
      </c>
      <c r="AZ772" t="s">
        <v>74</v>
      </c>
      <c r="BA772" t="s">
        <v>74</v>
      </c>
      <c r="BB772">
        <v>1962</v>
      </c>
      <c r="BC772">
        <v>1982</v>
      </c>
      <c r="BD772" t="s">
        <v>74</v>
      </c>
      <c r="BE772" t="s">
        <v>14326</v>
      </c>
      <c r="BF772" t="str">
        <f>HYPERLINK("http://dx.doi.org/10.1016/j.dsr2.2011.01.008","http://dx.doi.org/10.1016/j.dsr2.2011.01.008")</f>
        <v>http://dx.doi.org/10.1016/j.dsr2.2011.01.008</v>
      </c>
      <c r="BG772" t="s">
        <v>74</v>
      </c>
      <c r="BH772" t="s">
        <v>74</v>
      </c>
      <c r="BI772">
        <v>21</v>
      </c>
      <c r="BJ772" t="s">
        <v>496</v>
      </c>
      <c r="BK772" t="s">
        <v>100</v>
      </c>
      <c r="BL772" t="s">
        <v>496</v>
      </c>
      <c r="BM772" t="s">
        <v>13927</v>
      </c>
      <c r="BN772" t="s">
        <v>74</v>
      </c>
      <c r="BO772" t="s">
        <v>74</v>
      </c>
      <c r="BP772" t="s">
        <v>74</v>
      </c>
      <c r="BQ772" t="s">
        <v>74</v>
      </c>
      <c r="BR772" t="s">
        <v>102</v>
      </c>
      <c r="BS772" t="s">
        <v>14327</v>
      </c>
      <c r="BT772" t="str">
        <f>HYPERLINK("https%3A%2F%2Fwww.webofscience.com%2Fwos%2Fwoscc%2Ffull-record%2FWOS:000295431900003","View Full Record in Web of Science")</f>
        <v>View Full Record in Web of Science</v>
      </c>
    </row>
    <row r="773" spans="1:72" x14ac:dyDescent="0.15">
      <c r="A773" t="s">
        <v>72</v>
      </c>
      <c r="B773" t="s">
        <v>14328</v>
      </c>
      <c r="C773" t="s">
        <v>74</v>
      </c>
      <c r="D773" t="s">
        <v>74</v>
      </c>
      <c r="E773" t="s">
        <v>74</v>
      </c>
      <c r="F773" t="s">
        <v>14329</v>
      </c>
      <c r="G773" t="s">
        <v>74</v>
      </c>
      <c r="H773" t="s">
        <v>74</v>
      </c>
      <c r="I773" t="s">
        <v>14330</v>
      </c>
      <c r="J773" t="s">
        <v>2376</v>
      </c>
      <c r="K773" t="s">
        <v>74</v>
      </c>
      <c r="L773" t="s">
        <v>74</v>
      </c>
      <c r="M773" t="s">
        <v>78</v>
      </c>
      <c r="N773" t="s">
        <v>79</v>
      </c>
      <c r="O773" t="s">
        <v>74</v>
      </c>
      <c r="P773" t="s">
        <v>74</v>
      </c>
      <c r="Q773" t="s">
        <v>74</v>
      </c>
      <c r="R773" t="s">
        <v>74</v>
      </c>
      <c r="S773" t="s">
        <v>74</v>
      </c>
      <c r="T773" t="s">
        <v>14331</v>
      </c>
      <c r="U773" t="s">
        <v>14332</v>
      </c>
      <c r="V773" t="s">
        <v>14333</v>
      </c>
      <c r="W773" t="s">
        <v>14334</v>
      </c>
      <c r="X773" t="s">
        <v>14335</v>
      </c>
      <c r="Y773" t="s">
        <v>14336</v>
      </c>
      <c r="Z773" t="s">
        <v>14337</v>
      </c>
      <c r="AA773" t="s">
        <v>74</v>
      </c>
      <c r="AB773" t="s">
        <v>14338</v>
      </c>
      <c r="AC773" t="s">
        <v>14339</v>
      </c>
      <c r="AD773" t="s">
        <v>14340</v>
      </c>
      <c r="AE773" t="s">
        <v>14341</v>
      </c>
      <c r="AF773" t="s">
        <v>74</v>
      </c>
      <c r="AG773">
        <v>65</v>
      </c>
      <c r="AH773">
        <v>32</v>
      </c>
      <c r="AI773">
        <v>37</v>
      </c>
      <c r="AJ773">
        <v>0</v>
      </c>
      <c r="AK773">
        <v>30</v>
      </c>
      <c r="AL773" t="s">
        <v>155</v>
      </c>
      <c r="AM773" t="s">
        <v>156</v>
      </c>
      <c r="AN773" t="s">
        <v>157</v>
      </c>
      <c r="AO773" t="s">
        <v>2387</v>
      </c>
      <c r="AP773" t="s">
        <v>2388</v>
      </c>
      <c r="AQ773" t="s">
        <v>74</v>
      </c>
      <c r="AR773" t="s">
        <v>2389</v>
      </c>
      <c r="AS773" t="s">
        <v>2390</v>
      </c>
      <c r="AT773" t="s">
        <v>12989</v>
      </c>
      <c r="AU773">
        <v>2011</v>
      </c>
      <c r="AV773">
        <v>58</v>
      </c>
      <c r="AW773" t="s">
        <v>13925</v>
      </c>
      <c r="AX773" t="s">
        <v>74</v>
      </c>
      <c r="AY773" t="s">
        <v>74</v>
      </c>
      <c r="AZ773" t="s">
        <v>74</v>
      </c>
      <c r="BA773" t="s">
        <v>74</v>
      </c>
      <c r="BB773">
        <v>1983</v>
      </c>
      <c r="BC773">
        <v>1995</v>
      </c>
      <c r="BD773" t="s">
        <v>74</v>
      </c>
      <c r="BE773" t="s">
        <v>14342</v>
      </c>
      <c r="BF773" t="str">
        <f>HYPERLINK("http://dx.doi.org/10.1016/j.dsr2.2011.05.008","http://dx.doi.org/10.1016/j.dsr2.2011.05.008")</f>
        <v>http://dx.doi.org/10.1016/j.dsr2.2011.05.008</v>
      </c>
      <c r="BG773" t="s">
        <v>74</v>
      </c>
      <c r="BH773" t="s">
        <v>74</v>
      </c>
      <c r="BI773">
        <v>13</v>
      </c>
      <c r="BJ773" t="s">
        <v>496</v>
      </c>
      <c r="BK773" t="s">
        <v>100</v>
      </c>
      <c r="BL773" t="s">
        <v>496</v>
      </c>
      <c r="BM773" t="s">
        <v>13927</v>
      </c>
      <c r="BN773" t="s">
        <v>74</v>
      </c>
      <c r="BO773" t="s">
        <v>342</v>
      </c>
      <c r="BP773" t="s">
        <v>74</v>
      </c>
      <c r="BQ773" t="s">
        <v>74</v>
      </c>
      <c r="BR773" t="s">
        <v>102</v>
      </c>
      <c r="BS773" t="s">
        <v>14343</v>
      </c>
      <c r="BT773" t="str">
        <f>HYPERLINK("https%3A%2F%2Fwww.webofscience.com%2Fwos%2Fwoscc%2Ffull-record%2FWOS:000295431900004","View Full Record in Web of Science")</f>
        <v>View Full Record in Web of Science</v>
      </c>
    </row>
    <row r="774" spans="1:72" x14ac:dyDescent="0.15">
      <c r="A774" t="s">
        <v>72</v>
      </c>
      <c r="B774" t="s">
        <v>14344</v>
      </c>
      <c r="C774" t="s">
        <v>74</v>
      </c>
      <c r="D774" t="s">
        <v>74</v>
      </c>
      <c r="E774" t="s">
        <v>74</v>
      </c>
      <c r="F774" t="s">
        <v>14345</v>
      </c>
      <c r="G774" t="s">
        <v>74</v>
      </c>
      <c r="H774" t="s">
        <v>74</v>
      </c>
      <c r="I774" t="s">
        <v>14346</v>
      </c>
      <c r="J774" t="s">
        <v>2376</v>
      </c>
      <c r="K774" t="s">
        <v>74</v>
      </c>
      <c r="L774" t="s">
        <v>74</v>
      </c>
      <c r="M774" t="s">
        <v>78</v>
      </c>
      <c r="N774" t="s">
        <v>79</v>
      </c>
      <c r="O774" t="s">
        <v>74</v>
      </c>
      <c r="P774" t="s">
        <v>74</v>
      </c>
      <c r="Q774" t="s">
        <v>74</v>
      </c>
      <c r="R774" t="s">
        <v>74</v>
      </c>
      <c r="S774" t="s">
        <v>74</v>
      </c>
      <c r="T774" t="s">
        <v>14347</v>
      </c>
      <c r="U774" t="s">
        <v>14348</v>
      </c>
      <c r="V774" t="s">
        <v>14349</v>
      </c>
      <c r="W774" t="s">
        <v>14350</v>
      </c>
      <c r="X774" t="s">
        <v>14351</v>
      </c>
      <c r="Y774" t="s">
        <v>14352</v>
      </c>
      <c r="Z774" t="s">
        <v>14353</v>
      </c>
      <c r="AA774" t="s">
        <v>74</v>
      </c>
      <c r="AB774" t="s">
        <v>74</v>
      </c>
      <c r="AC774" t="s">
        <v>14354</v>
      </c>
      <c r="AD774" t="s">
        <v>14355</v>
      </c>
      <c r="AE774" t="s">
        <v>14356</v>
      </c>
      <c r="AF774" t="s">
        <v>74</v>
      </c>
      <c r="AG774">
        <v>40</v>
      </c>
      <c r="AH774">
        <v>11</v>
      </c>
      <c r="AI774">
        <v>11</v>
      </c>
      <c r="AJ774">
        <v>0</v>
      </c>
      <c r="AK774">
        <v>14</v>
      </c>
      <c r="AL774" t="s">
        <v>155</v>
      </c>
      <c r="AM774" t="s">
        <v>156</v>
      </c>
      <c r="AN774" t="s">
        <v>157</v>
      </c>
      <c r="AO774" t="s">
        <v>2387</v>
      </c>
      <c r="AP774" t="s">
        <v>74</v>
      </c>
      <c r="AQ774" t="s">
        <v>74</v>
      </c>
      <c r="AR774" t="s">
        <v>2389</v>
      </c>
      <c r="AS774" t="s">
        <v>2390</v>
      </c>
      <c r="AT774" t="s">
        <v>12989</v>
      </c>
      <c r="AU774">
        <v>2011</v>
      </c>
      <c r="AV774">
        <v>58</v>
      </c>
      <c r="AW774" t="s">
        <v>13925</v>
      </c>
      <c r="AX774" t="s">
        <v>74</v>
      </c>
      <c r="AY774" t="s">
        <v>74</v>
      </c>
      <c r="AZ774" t="s">
        <v>74</v>
      </c>
      <c r="BA774" t="s">
        <v>74</v>
      </c>
      <c r="BB774">
        <v>2004</v>
      </c>
      <c r="BC774">
        <v>2012</v>
      </c>
      <c r="BD774" t="s">
        <v>74</v>
      </c>
      <c r="BE774" t="s">
        <v>14357</v>
      </c>
      <c r="BF774" t="str">
        <f>HYPERLINK("http://dx.doi.org/10.1016/j.dsr2.2011.01.011","http://dx.doi.org/10.1016/j.dsr2.2011.01.011")</f>
        <v>http://dx.doi.org/10.1016/j.dsr2.2011.01.011</v>
      </c>
      <c r="BG774" t="s">
        <v>74</v>
      </c>
      <c r="BH774" t="s">
        <v>74</v>
      </c>
      <c r="BI774">
        <v>9</v>
      </c>
      <c r="BJ774" t="s">
        <v>496</v>
      </c>
      <c r="BK774" t="s">
        <v>100</v>
      </c>
      <c r="BL774" t="s">
        <v>496</v>
      </c>
      <c r="BM774" t="s">
        <v>13927</v>
      </c>
      <c r="BN774" t="s">
        <v>74</v>
      </c>
      <c r="BO774" t="s">
        <v>74</v>
      </c>
      <c r="BP774" t="s">
        <v>74</v>
      </c>
      <c r="BQ774" t="s">
        <v>74</v>
      </c>
      <c r="BR774" t="s">
        <v>102</v>
      </c>
      <c r="BS774" t="s">
        <v>14358</v>
      </c>
      <c r="BT774" t="str">
        <f>HYPERLINK("https%3A%2F%2Fwww.webofscience.com%2Fwos%2Fwoscc%2Ffull-record%2FWOS:000295431900006","View Full Record in Web of Science")</f>
        <v>View Full Record in Web of Science</v>
      </c>
    </row>
    <row r="775" spans="1:72" x14ac:dyDescent="0.15">
      <c r="A775" t="s">
        <v>72</v>
      </c>
      <c r="B775" t="s">
        <v>14359</v>
      </c>
      <c r="C775" t="s">
        <v>74</v>
      </c>
      <c r="D775" t="s">
        <v>74</v>
      </c>
      <c r="E775" t="s">
        <v>74</v>
      </c>
      <c r="F775" t="s">
        <v>14360</v>
      </c>
      <c r="G775" t="s">
        <v>74</v>
      </c>
      <c r="H775" t="s">
        <v>74</v>
      </c>
      <c r="I775" t="s">
        <v>14361</v>
      </c>
      <c r="J775" t="s">
        <v>2376</v>
      </c>
      <c r="K775" t="s">
        <v>74</v>
      </c>
      <c r="L775" t="s">
        <v>74</v>
      </c>
      <c r="M775" t="s">
        <v>78</v>
      </c>
      <c r="N775" t="s">
        <v>79</v>
      </c>
      <c r="O775" t="s">
        <v>74</v>
      </c>
      <c r="P775" t="s">
        <v>74</v>
      </c>
      <c r="Q775" t="s">
        <v>74</v>
      </c>
      <c r="R775" t="s">
        <v>74</v>
      </c>
      <c r="S775" t="s">
        <v>74</v>
      </c>
      <c r="T775" t="s">
        <v>14362</v>
      </c>
      <c r="U775" t="s">
        <v>14363</v>
      </c>
      <c r="V775" t="s">
        <v>14364</v>
      </c>
      <c r="W775" t="s">
        <v>14365</v>
      </c>
      <c r="X775" t="s">
        <v>14366</v>
      </c>
      <c r="Y775" t="s">
        <v>13966</v>
      </c>
      <c r="Z775" t="s">
        <v>13967</v>
      </c>
      <c r="AA775" t="s">
        <v>14367</v>
      </c>
      <c r="AB775" t="s">
        <v>14368</v>
      </c>
      <c r="AC775" t="s">
        <v>7089</v>
      </c>
      <c r="AD775" t="s">
        <v>7089</v>
      </c>
      <c r="AE775" t="s">
        <v>14369</v>
      </c>
      <c r="AF775" t="s">
        <v>74</v>
      </c>
      <c r="AG775">
        <v>61</v>
      </c>
      <c r="AH775">
        <v>38</v>
      </c>
      <c r="AI775">
        <v>39</v>
      </c>
      <c r="AJ775">
        <v>0</v>
      </c>
      <c r="AK775">
        <v>23</v>
      </c>
      <c r="AL775" t="s">
        <v>155</v>
      </c>
      <c r="AM775" t="s">
        <v>156</v>
      </c>
      <c r="AN775" t="s">
        <v>157</v>
      </c>
      <c r="AO775" t="s">
        <v>2387</v>
      </c>
      <c r="AP775" t="s">
        <v>2388</v>
      </c>
      <c r="AQ775" t="s">
        <v>74</v>
      </c>
      <c r="AR775" t="s">
        <v>2389</v>
      </c>
      <c r="AS775" t="s">
        <v>2390</v>
      </c>
      <c r="AT775" t="s">
        <v>12989</v>
      </c>
      <c r="AU775">
        <v>2011</v>
      </c>
      <c r="AV775">
        <v>58</v>
      </c>
      <c r="AW775" t="s">
        <v>13925</v>
      </c>
      <c r="AX775" t="s">
        <v>74</v>
      </c>
      <c r="AY775" t="s">
        <v>74</v>
      </c>
      <c r="AZ775" t="s">
        <v>74</v>
      </c>
      <c r="BA775" t="s">
        <v>74</v>
      </c>
      <c r="BB775">
        <v>2027</v>
      </c>
      <c r="BC775">
        <v>2035</v>
      </c>
      <c r="BD775" t="s">
        <v>74</v>
      </c>
      <c r="BE775" t="s">
        <v>14370</v>
      </c>
      <c r="BF775" t="str">
        <f>HYPERLINK("http://dx.doi.org/10.1016/j.dsr2.2011.05.013","http://dx.doi.org/10.1016/j.dsr2.2011.05.013")</f>
        <v>http://dx.doi.org/10.1016/j.dsr2.2011.05.013</v>
      </c>
      <c r="BG775" t="s">
        <v>74</v>
      </c>
      <c r="BH775" t="s">
        <v>74</v>
      </c>
      <c r="BI775">
        <v>9</v>
      </c>
      <c r="BJ775" t="s">
        <v>496</v>
      </c>
      <c r="BK775" t="s">
        <v>100</v>
      </c>
      <c r="BL775" t="s">
        <v>496</v>
      </c>
      <c r="BM775" t="s">
        <v>13927</v>
      </c>
      <c r="BN775" t="s">
        <v>74</v>
      </c>
      <c r="BO775" t="s">
        <v>74</v>
      </c>
      <c r="BP775" t="s">
        <v>74</v>
      </c>
      <c r="BQ775" t="s">
        <v>74</v>
      </c>
      <c r="BR775" t="s">
        <v>102</v>
      </c>
      <c r="BS775" t="s">
        <v>14371</v>
      </c>
      <c r="BT775" t="str">
        <f>HYPERLINK("https%3A%2F%2Fwww.webofscience.com%2Fwos%2Fwoscc%2Ffull-record%2FWOS:000295431900009","View Full Record in Web of Science")</f>
        <v>View Full Record in Web of Science</v>
      </c>
    </row>
    <row r="776" spans="1:72" x14ac:dyDescent="0.15">
      <c r="A776" t="s">
        <v>72</v>
      </c>
      <c r="B776" t="s">
        <v>14372</v>
      </c>
      <c r="C776" t="s">
        <v>74</v>
      </c>
      <c r="D776" t="s">
        <v>74</v>
      </c>
      <c r="E776" t="s">
        <v>74</v>
      </c>
      <c r="F776" t="s">
        <v>14373</v>
      </c>
      <c r="G776" t="s">
        <v>74</v>
      </c>
      <c r="H776" t="s">
        <v>74</v>
      </c>
      <c r="I776" t="s">
        <v>14374</v>
      </c>
      <c r="J776" t="s">
        <v>6662</v>
      </c>
      <c r="K776" t="s">
        <v>74</v>
      </c>
      <c r="L776" t="s">
        <v>74</v>
      </c>
      <c r="M776" t="s">
        <v>78</v>
      </c>
      <c r="N776" t="s">
        <v>79</v>
      </c>
      <c r="O776" t="s">
        <v>74</v>
      </c>
      <c r="P776" t="s">
        <v>74</v>
      </c>
      <c r="Q776" t="s">
        <v>74</v>
      </c>
      <c r="R776" t="s">
        <v>74</v>
      </c>
      <c r="S776" t="s">
        <v>74</v>
      </c>
      <c r="T776" t="s">
        <v>14375</v>
      </c>
      <c r="U776" t="s">
        <v>14376</v>
      </c>
      <c r="V776" t="s">
        <v>14377</v>
      </c>
      <c r="W776" t="s">
        <v>14378</v>
      </c>
      <c r="X776" t="s">
        <v>74</v>
      </c>
      <c r="Y776" t="s">
        <v>14379</v>
      </c>
      <c r="Z776" t="s">
        <v>74</v>
      </c>
      <c r="AA776" t="s">
        <v>74</v>
      </c>
      <c r="AB776" t="s">
        <v>14380</v>
      </c>
      <c r="AC776" t="s">
        <v>74</v>
      </c>
      <c r="AD776" t="s">
        <v>74</v>
      </c>
      <c r="AE776" t="s">
        <v>74</v>
      </c>
      <c r="AF776" t="s">
        <v>74</v>
      </c>
      <c r="AG776">
        <v>35</v>
      </c>
      <c r="AH776">
        <v>37</v>
      </c>
      <c r="AI776">
        <v>44</v>
      </c>
      <c r="AJ776">
        <v>0</v>
      </c>
      <c r="AK776">
        <v>22</v>
      </c>
      <c r="AL776" t="s">
        <v>3479</v>
      </c>
      <c r="AM776" t="s">
        <v>334</v>
      </c>
      <c r="AN776" t="s">
        <v>3480</v>
      </c>
      <c r="AO776" t="s">
        <v>6675</v>
      </c>
      <c r="AP776" t="s">
        <v>74</v>
      </c>
      <c r="AQ776" t="s">
        <v>74</v>
      </c>
      <c r="AR776" t="s">
        <v>6677</v>
      </c>
      <c r="AS776" t="s">
        <v>6678</v>
      </c>
      <c r="AT776" t="s">
        <v>13682</v>
      </c>
      <c r="AU776">
        <v>2011</v>
      </c>
      <c r="AV776">
        <v>310</v>
      </c>
      <c r="AW776" t="s">
        <v>1776</v>
      </c>
      <c r="AX776" t="s">
        <v>74</v>
      </c>
      <c r="AY776" t="s">
        <v>74</v>
      </c>
      <c r="AZ776" t="s">
        <v>74</v>
      </c>
      <c r="BA776" t="s">
        <v>74</v>
      </c>
      <c r="BB776">
        <v>65</v>
      </c>
      <c r="BC776">
        <v>72</v>
      </c>
      <c r="BD776" t="s">
        <v>74</v>
      </c>
      <c r="BE776" t="s">
        <v>14381</v>
      </c>
      <c r="BF776" t="str">
        <f>HYPERLINK("http://dx.doi.org/10.1016/j.epsl.2011.07.017","http://dx.doi.org/10.1016/j.epsl.2011.07.017")</f>
        <v>http://dx.doi.org/10.1016/j.epsl.2011.07.017</v>
      </c>
      <c r="BG776" t="s">
        <v>74</v>
      </c>
      <c r="BH776" t="s">
        <v>74</v>
      </c>
      <c r="BI776">
        <v>8</v>
      </c>
      <c r="BJ776" t="s">
        <v>164</v>
      </c>
      <c r="BK776" t="s">
        <v>100</v>
      </c>
      <c r="BL776" t="s">
        <v>164</v>
      </c>
      <c r="BM776" t="s">
        <v>14382</v>
      </c>
      <c r="BN776" t="s">
        <v>74</v>
      </c>
      <c r="BO776" t="s">
        <v>74</v>
      </c>
      <c r="BP776" t="s">
        <v>74</v>
      </c>
      <c r="BQ776" t="s">
        <v>74</v>
      </c>
      <c r="BR776" t="s">
        <v>102</v>
      </c>
      <c r="BS776" t="s">
        <v>14383</v>
      </c>
      <c r="BT776" t="str">
        <f>HYPERLINK("https%3A%2F%2Fwww.webofscience.com%2Fwos%2Fwoscc%2Ffull-record%2FWOS:000297493100007","View Full Record in Web of Science")</f>
        <v>View Full Record in Web of Science</v>
      </c>
    </row>
    <row r="777" spans="1:72" x14ac:dyDescent="0.15">
      <c r="A777" t="s">
        <v>72</v>
      </c>
      <c r="B777" t="s">
        <v>14384</v>
      </c>
      <c r="C777" t="s">
        <v>74</v>
      </c>
      <c r="D777" t="s">
        <v>74</v>
      </c>
      <c r="E777" t="s">
        <v>74</v>
      </c>
      <c r="F777" t="s">
        <v>14385</v>
      </c>
      <c r="G777" t="s">
        <v>74</v>
      </c>
      <c r="H777" t="s">
        <v>74</v>
      </c>
      <c r="I777" t="s">
        <v>14386</v>
      </c>
      <c r="J777" t="s">
        <v>2821</v>
      </c>
      <c r="K777" t="s">
        <v>74</v>
      </c>
      <c r="L777" t="s">
        <v>74</v>
      </c>
      <c r="M777" t="s">
        <v>78</v>
      </c>
      <c r="N777" t="s">
        <v>79</v>
      </c>
      <c r="O777" t="s">
        <v>74</v>
      </c>
      <c r="P777" t="s">
        <v>74</v>
      </c>
      <c r="Q777" t="s">
        <v>74</v>
      </c>
      <c r="R777" t="s">
        <v>74</v>
      </c>
      <c r="S777" t="s">
        <v>74</v>
      </c>
      <c r="T777" t="s">
        <v>14387</v>
      </c>
      <c r="U777" t="s">
        <v>14388</v>
      </c>
      <c r="V777" t="s">
        <v>14389</v>
      </c>
      <c r="W777" t="s">
        <v>14390</v>
      </c>
      <c r="X777" t="s">
        <v>14391</v>
      </c>
      <c r="Y777" t="s">
        <v>14392</v>
      </c>
      <c r="Z777" t="s">
        <v>14393</v>
      </c>
      <c r="AA777" t="s">
        <v>14394</v>
      </c>
      <c r="AB777" t="s">
        <v>14395</v>
      </c>
      <c r="AC777" t="s">
        <v>14396</v>
      </c>
      <c r="AD777" t="s">
        <v>14396</v>
      </c>
      <c r="AE777" t="s">
        <v>14397</v>
      </c>
      <c r="AF777" t="s">
        <v>74</v>
      </c>
      <c r="AG777">
        <v>53</v>
      </c>
      <c r="AH777">
        <v>52</v>
      </c>
      <c r="AI777">
        <v>54</v>
      </c>
      <c r="AJ777">
        <v>0</v>
      </c>
      <c r="AK777">
        <v>56</v>
      </c>
      <c r="AL777" t="s">
        <v>2832</v>
      </c>
      <c r="AM777" t="s">
        <v>796</v>
      </c>
      <c r="AN777" t="s">
        <v>797</v>
      </c>
      <c r="AO777" t="s">
        <v>2833</v>
      </c>
      <c r="AP777" t="s">
        <v>2834</v>
      </c>
      <c r="AQ777" t="s">
        <v>74</v>
      </c>
      <c r="AR777" t="s">
        <v>2821</v>
      </c>
      <c r="AS777" t="s">
        <v>2835</v>
      </c>
      <c r="AT777" t="s">
        <v>12989</v>
      </c>
      <c r="AU777">
        <v>2011</v>
      </c>
      <c r="AV777">
        <v>92</v>
      </c>
      <c r="AW777">
        <v>10</v>
      </c>
      <c r="AX777" t="s">
        <v>74</v>
      </c>
      <c r="AY777" t="s">
        <v>74</v>
      </c>
      <c r="AZ777" t="s">
        <v>74</v>
      </c>
      <c r="BA777" t="s">
        <v>74</v>
      </c>
      <c r="BB777">
        <v>1909</v>
      </c>
      <c r="BC777">
        <v>1916</v>
      </c>
      <c r="BD777" t="s">
        <v>74</v>
      </c>
      <c r="BE777" t="s">
        <v>14398</v>
      </c>
      <c r="BF777" t="str">
        <f>HYPERLINK("http://dx.doi.org/10.1890/11-0407.1","http://dx.doi.org/10.1890/11-0407.1")</f>
        <v>http://dx.doi.org/10.1890/11-0407.1</v>
      </c>
      <c r="BG777" t="s">
        <v>74</v>
      </c>
      <c r="BH777" t="s">
        <v>74</v>
      </c>
      <c r="BI777">
        <v>8</v>
      </c>
      <c r="BJ777" t="s">
        <v>2835</v>
      </c>
      <c r="BK777" t="s">
        <v>100</v>
      </c>
      <c r="BL777" t="s">
        <v>2837</v>
      </c>
      <c r="BM777" t="s">
        <v>14399</v>
      </c>
      <c r="BN777">
        <v>22073782</v>
      </c>
      <c r="BO777" t="s">
        <v>365</v>
      </c>
      <c r="BP777" t="s">
        <v>74</v>
      </c>
      <c r="BQ777" t="s">
        <v>74</v>
      </c>
      <c r="BR777" t="s">
        <v>102</v>
      </c>
      <c r="BS777" t="s">
        <v>14400</v>
      </c>
      <c r="BT777" t="str">
        <f>HYPERLINK("https%3A%2F%2Fwww.webofscience.com%2Fwos%2Fwoscc%2Ffull-record%2FWOS:000295955200006","View Full Record in Web of Science")</f>
        <v>View Full Record in Web of Science</v>
      </c>
    </row>
    <row r="778" spans="1:72" x14ac:dyDescent="0.15">
      <c r="A778" t="s">
        <v>72</v>
      </c>
      <c r="B778" t="s">
        <v>14401</v>
      </c>
      <c r="C778" t="s">
        <v>74</v>
      </c>
      <c r="D778" t="s">
        <v>74</v>
      </c>
      <c r="E778" t="s">
        <v>74</v>
      </c>
      <c r="F778" t="s">
        <v>14402</v>
      </c>
      <c r="G778" t="s">
        <v>74</v>
      </c>
      <c r="H778" t="s">
        <v>74</v>
      </c>
      <c r="I778" t="s">
        <v>14403</v>
      </c>
      <c r="J778" t="s">
        <v>8135</v>
      </c>
      <c r="K778" t="s">
        <v>74</v>
      </c>
      <c r="L778" t="s">
        <v>74</v>
      </c>
      <c r="M778" t="s">
        <v>78</v>
      </c>
      <c r="N778" t="s">
        <v>79</v>
      </c>
      <c r="O778" t="s">
        <v>74</v>
      </c>
      <c r="P778" t="s">
        <v>74</v>
      </c>
      <c r="Q778" t="s">
        <v>74</v>
      </c>
      <c r="R778" t="s">
        <v>74</v>
      </c>
      <c r="S778" t="s">
        <v>74</v>
      </c>
      <c r="T778" t="s">
        <v>74</v>
      </c>
      <c r="U778" t="s">
        <v>14404</v>
      </c>
      <c r="V778" t="s">
        <v>14405</v>
      </c>
      <c r="W778" t="s">
        <v>14406</v>
      </c>
      <c r="X778" t="s">
        <v>14407</v>
      </c>
      <c r="Y778" t="s">
        <v>14408</v>
      </c>
      <c r="Z778" t="s">
        <v>86</v>
      </c>
      <c r="AA778" t="s">
        <v>14409</v>
      </c>
      <c r="AB778" t="s">
        <v>14410</v>
      </c>
      <c r="AC778" t="s">
        <v>14411</v>
      </c>
      <c r="AD778" t="s">
        <v>14412</v>
      </c>
      <c r="AE778" t="s">
        <v>14413</v>
      </c>
      <c r="AF778" t="s">
        <v>74</v>
      </c>
      <c r="AG778">
        <v>27</v>
      </c>
      <c r="AH778">
        <v>56</v>
      </c>
      <c r="AI778">
        <v>63</v>
      </c>
      <c r="AJ778">
        <v>2</v>
      </c>
      <c r="AK778">
        <v>34</v>
      </c>
      <c r="AL778" t="s">
        <v>2832</v>
      </c>
      <c r="AM778" t="s">
        <v>796</v>
      </c>
      <c r="AN778" t="s">
        <v>797</v>
      </c>
      <c r="AO778" t="s">
        <v>8147</v>
      </c>
      <c r="AP778" t="s">
        <v>74</v>
      </c>
      <c r="AQ778" t="s">
        <v>74</v>
      </c>
      <c r="AR778" t="s">
        <v>8148</v>
      </c>
      <c r="AS778" t="s">
        <v>8149</v>
      </c>
      <c r="AT778" t="s">
        <v>12989</v>
      </c>
      <c r="AU778">
        <v>2011</v>
      </c>
      <c r="AV778">
        <v>3</v>
      </c>
      <c r="AW778">
        <v>5</v>
      </c>
      <c r="AX778" t="s">
        <v>74</v>
      </c>
      <c r="AY778" t="s">
        <v>74</v>
      </c>
      <c r="AZ778" t="s">
        <v>74</v>
      </c>
      <c r="BA778" t="s">
        <v>74</v>
      </c>
      <c r="BB778">
        <v>581</v>
      </c>
      <c r="BC778">
        <v>586</v>
      </c>
      <c r="BD778" t="s">
        <v>74</v>
      </c>
      <c r="BE778" t="s">
        <v>14414</v>
      </c>
      <c r="BF778" t="str">
        <f>HYPERLINK("http://dx.doi.org/10.1111/j.1758-2229.2011.00266.x","http://dx.doi.org/10.1111/j.1758-2229.2011.00266.x")</f>
        <v>http://dx.doi.org/10.1111/j.1758-2229.2011.00266.x</v>
      </c>
      <c r="BG778" t="s">
        <v>74</v>
      </c>
      <c r="BH778" t="s">
        <v>74</v>
      </c>
      <c r="BI778">
        <v>6</v>
      </c>
      <c r="BJ778" t="s">
        <v>8151</v>
      </c>
      <c r="BK778" t="s">
        <v>100</v>
      </c>
      <c r="BL778" t="s">
        <v>535</v>
      </c>
      <c r="BM778" t="s">
        <v>14415</v>
      </c>
      <c r="BN778">
        <v>23761338</v>
      </c>
      <c r="BO778" t="s">
        <v>74</v>
      </c>
      <c r="BP778" t="s">
        <v>74</v>
      </c>
      <c r="BQ778" t="s">
        <v>74</v>
      </c>
      <c r="BR778" t="s">
        <v>102</v>
      </c>
      <c r="BS778" t="s">
        <v>14416</v>
      </c>
      <c r="BT778" t="str">
        <f>HYPERLINK("https%3A%2F%2Fwww.webofscience.com%2Fwos%2Fwoscc%2Ffull-record%2FWOS:000297148600011","View Full Record in Web of Science")</f>
        <v>View Full Record in Web of Science</v>
      </c>
    </row>
    <row r="779" spans="1:72" x14ac:dyDescent="0.15">
      <c r="A779" t="s">
        <v>72</v>
      </c>
      <c r="B779" t="s">
        <v>14417</v>
      </c>
      <c r="C779" t="s">
        <v>74</v>
      </c>
      <c r="D779" t="s">
        <v>74</v>
      </c>
      <c r="E779" t="s">
        <v>74</v>
      </c>
      <c r="F779" t="s">
        <v>14418</v>
      </c>
      <c r="G779" t="s">
        <v>74</v>
      </c>
      <c r="H779" t="s">
        <v>74</v>
      </c>
      <c r="I779" t="s">
        <v>14419</v>
      </c>
      <c r="J779" t="s">
        <v>2904</v>
      </c>
      <c r="K779" t="s">
        <v>74</v>
      </c>
      <c r="L779" t="s">
        <v>74</v>
      </c>
      <c r="M779" t="s">
        <v>78</v>
      </c>
      <c r="N779" t="s">
        <v>79</v>
      </c>
      <c r="O779" t="s">
        <v>74</v>
      </c>
      <c r="P779" t="s">
        <v>74</v>
      </c>
      <c r="Q779" t="s">
        <v>74</v>
      </c>
      <c r="R779" t="s">
        <v>74</v>
      </c>
      <c r="S779" t="s">
        <v>74</v>
      </c>
      <c r="T779" t="s">
        <v>14420</v>
      </c>
      <c r="U779" t="s">
        <v>14421</v>
      </c>
      <c r="V779" t="s">
        <v>14422</v>
      </c>
      <c r="W779" t="s">
        <v>14423</v>
      </c>
      <c r="X779" t="s">
        <v>14424</v>
      </c>
      <c r="Y779" t="s">
        <v>14425</v>
      </c>
      <c r="Z779" t="s">
        <v>14426</v>
      </c>
      <c r="AA779" t="s">
        <v>14427</v>
      </c>
      <c r="AB779" t="s">
        <v>14428</v>
      </c>
      <c r="AC779" t="s">
        <v>14429</v>
      </c>
      <c r="AD779" t="s">
        <v>14430</v>
      </c>
      <c r="AE779" t="s">
        <v>14431</v>
      </c>
      <c r="AF779" t="s">
        <v>74</v>
      </c>
      <c r="AG779">
        <v>52</v>
      </c>
      <c r="AH779">
        <v>75</v>
      </c>
      <c r="AI779">
        <v>80</v>
      </c>
      <c r="AJ779">
        <v>3</v>
      </c>
      <c r="AK779">
        <v>48</v>
      </c>
      <c r="AL779" t="s">
        <v>2917</v>
      </c>
      <c r="AM779" t="s">
        <v>156</v>
      </c>
      <c r="AN779" t="s">
        <v>2918</v>
      </c>
      <c r="AO779" t="s">
        <v>2919</v>
      </c>
      <c r="AP779" t="s">
        <v>2920</v>
      </c>
      <c r="AQ779" t="s">
        <v>74</v>
      </c>
      <c r="AR779" t="s">
        <v>2921</v>
      </c>
      <c r="AS779" t="s">
        <v>2922</v>
      </c>
      <c r="AT779" t="s">
        <v>12989</v>
      </c>
      <c r="AU779">
        <v>2011</v>
      </c>
      <c r="AV779">
        <v>159</v>
      </c>
      <c r="AW779">
        <v>10</v>
      </c>
      <c r="AX779" t="s">
        <v>74</v>
      </c>
      <c r="AY779" t="s">
        <v>74</v>
      </c>
      <c r="AZ779" t="s">
        <v>74</v>
      </c>
      <c r="BA779" t="s">
        <v>74</v>
      </c>
      <c r="BB779">
        <v>2412</v>
      </c>
      <c r="BC779">
        <v>2419</v>
      </c>
      <c r="BD779" t="s">
        <v>74</v>
      </c>
      <c r="BE779" t="s">
        <v>14432</v>
      </c>
      <c r="BF779" t="str">
        <f>HYPERLINK("http://dx.doi.org/10.1016/j.envpol.2011.06.036","http://dx.doi.org/10.1016/j.envpol.2011.06.036")</f>
        <v>http://dx.doi.org/10.1016/j.envpol.2011.06.036</v>
      </c>
      <c r="BG779" t="s">
        <v>74</v>
      </c>
      <c r="BH779" t="s">
        <v>74</v>
      </c>
      <c r="BI779">
        <v>8</v>
      </c>
      <c r="BJ779" t="s">
        <v>2924</v>
      </c>
      <c r="BK779" t="s">
        <v>100</v>
      </c>
      <c r="BL779" t="s">
        <v>2837</v>
      </c>
      <c r="BM779" t="s">
        <v>14433</v>
      </c>
      <c r="BN779">
        <v>21764193</v>
      </c>
      <c r="BO779" t="s">
        <v>74</v>
      </c>
      <c r="BP779" t="s">
        <v>74</v>
      </c>
      <c r="BQ779" t="s">
        <v>74</v>
      </c>
      <c r="BR779" t="s">
        <v>102</v>
      </c>
      <c r="BS779" t="s">
        <v>14434</v>
      </c>
      <c r="BT779" t="str">
        <f>HYPERLINK("https%3A%2F%2Fwww.webofscience.com%2Fwos%2Fwoscc%2Ffull-record%2FWOS:000295493100026","View Full Record in Web of Science")</f>
        <v>View Full Record in Web of Science</v>
      </c>
    </row>
    <row r="780" spans="1:72" x14ac:dyDescent="0.15">
      <c r="A780" t="s">
        <v>72</v>
      </c>
      <c r="B780" t="s">
        <v>14435</v>
      </c>
      <c r="C780" t="s">
        <v>74</v>
      </c>
      <c r="D780" t="s">
        <v>74</v>
      </c>
      <c r="E780" t="s">
        <v>74</v>
      </c>
      <c r="F780" t="s">
        <v>14436</v>
      </c>
      <c r="G780" t="s">
        <v>74</v>
      </c>
      <c r="H780" t="s">
        <v>74</v>
      </c>
      <c r="I780" t="s">
        <v>14437</v>
      </c>
      <c r="J780" t="s">
        <v>14438</v>
      </c>
      <c r="K780" t="s">
        <v>74</v>
      </c>
      <c r="L780" t="s">
        <v>74</v>
      </c>
      <c r="M780" t="s">
        <v>78</v>
      </c>
      <c r="N780" t="s">
        <v>79</v>
      </c>
      <c r="O780" t="s">
        <v>74</v>
      </c>
      <c r="P780" t="s">
        <v>74</v>
      </c>
      <c r="Q780" t="s">
        <v>74</v>
      </c>
      <c r="R780" t="s">
        <v>74</v>
      </c>
      <c r="S780" t="s">
        <v>74</v>
      </c>
      <c r="T780" t="s">
        <v>14439</v>
      </c>
      <c r="U780" t="s">
        <v>14440</v>
      </c>
      <c r="V780" t="s">
        <v>14441</v>
      </c>
      <c r="W780" t="s">
        <v>14442</v>
      </c>
      <c r="X780" t="s">
        <v>14443</v>
      </c>
      <c r="Y780" t="s">
        <v>14444</v>
      </c>
      <c r="Z780" t="s">
        <v>14445</v>
      </c>
      <c r="AA780" t="s">
        <v>14446</v>
      </c>
      <c r="AB780" t="s">
        <v>14447</v>
      </c>
      <c r="AC780" t="s">
        <v>14448</v>
      </c>
      <c r="AD780" t="s">
        <v>14449</v>
      </c>
      <c r="AE780" t="s">
        <v>14450</v>
      </c>
      <c r="AF780" t="s">
        <v>74</v>
      </c>
      <c r="AG780">
        <v>49</v>
      </c>
      <c r="AH780">
        <v>36</v>
      </c>
      <c r="AI780">
        <v>43</v>
      </c>
      <c r="AJ780">
        <v>2</v>
      </c>
      <c r="AK780">
        <v>53</v>
      </c>
      <c r="AL780" t="s">
        <v>14451</v>
      </c>
      <c r="AM780" t="s">
        <v>6455</v>
      </c>
      <c r="AN780" t="s">
        <v>6456</v>
      </c>
      <c r="AO780" t="s">
        <v>14452</v>
      </c>
      <c r="AP780" t="s">
        <v>74</v>
      </c>
      <c r="AQ780" t="s">
        <v>74</v>
      </c>
      <c r="AR780" t="s">
        <v>14453</v>
      </c>
      <c r="AS780" t="s">
        <v>14454</v>
      </c>
      <c r="AT780" t="s">
        <v>14238</v>
      </c>
      <c r="AU780">
        <v>2011</v>
      </c>
      <c r="AV780">
        <v>6</v>
      </c>
      <c r="AW780">
        <v>4</v>
      </c>
      <c r="AX780" t="s">
        <v>74</v>
      </c>
      <c r="AY780" t="s">
        <v>74</v>
      </c>
      <c r="AZ780" t="s">
        <v>74</v>
      </c>
      <c r="BA780" t="s">
        <v>74</v>
      </c>
      <c r="BB780" t="s">
        <v>74</v>
      </c>
      <c r="BC780" t="s">
        <v>74</v>
      </c>
      <c r="BD780">
        <v>45507</v>
      </c>
      <c r="BE780" t="s">
        <v>14455</v>
      </c>
      <c r="BF780" t="str">
        <f>HYPERLINK("http://dx.doi.org/10.1088/1748-9326/6/4/045507","http://dx.doi.org/10.1088/1748-9326/6/4/045507")</f>
        <v>http://dx.doi.org/10.1088/1748-9326/6/4/045507</v>
      </c>
      <c r="BG780" t="s">
        <v>74</v>
      </c>
      <c r="BH780" t="s">
        <v>74</v>
      </c>
      <c r="BI780">
        <v>8</v>
      </c>
      <c r="BJ780" t="s">
        <v>1181</v>
      </c>
      <c r="BK780" t="s">
        <v>100</v>
      </c>
      <c r="BL780" t="s">
        <v>1182</v>
      </c>
      <c r="BM780" t="s">
        <v>14456</v>
      </c>
      <c r="BN780" t="s">
        <v>74</v>
      </c>
      <c r="BO780" t="s">
        <v>623</v>
      </c>
      <c r="BP780" t="s">
        <v>74</v>
      </c>
      <c r="BQ780" t="s">
        <v>74</v>
      </c>
      <c r="BR780" t="s">
        <v>102</v>
      </c>
      <c r="BS780" t="s">
        <v>14457</v>
      </c>
      <c r="BT780" t="str">
        <f>HYPERLINK("https%3A%2F%2Fwww.webofscience.com%2Fwos%2Fwoscc%2Ffull-record%2FWOS:000298674700063","View Full Record in Web of Science")</f>
        <v>View Full Record in Web of Science</v>
      </c>
    </row>
    <row r="781" spans="1:72" x14ac:dyDescent="0.15">
      <c r="A781" t="s">
        <v>72</v>
      </c>
      <c r="B781" t="s">
        <v>14458</v>
      </c>
      <c r="C781" t="s">
        <v>74</v>
      </c>
      <c r="D781" t="s">
        <v>74</v>
      </c>
      <c r="E781" t="s">
        <v>74</v>
      </c>
      <c r="F781" t="s">
        <v>14459</v>
      </c>
      <c r="G781" t="s">
        <v>74</v>
      </c>
      <c r="H781" t="s">
        <v>74</v>
      </c>
      <c r="I781" t="s">
        <v>14460</v>
      </c>
      <c r="J781" t="s">
        <v>14461</v>
      </c>
      <c r="K781" t="s">
        <v>74</v>
      </c>
      <c r="L781" t="s">
        <v>74</v>
      </c>
      <c r="M781" t="s">
        <v>78</v>
      </c>
      <c r="N781" t="s">
        <v>79</v>
      </c>
      <c r="O781" t="s">
        <v>74</v>
      </c>
      <c r="P781" t="s">
        <v>74</v>
      </c>
      <c r="Q781" t="s">
        <v>74</v>
      </c>
      <c r="R781" t="s">
        <v>74</v>
      </c>
      <c r="S781" t="s">
        <v>74</v>
      </c>
      <c r="T781" t="s">
        <v>14462</v>
      </c>
      <c r="U781" t="s">
        <v>14463</v>
      </c>
      <c r="V781" t="s">
        <v>14464</v>
      </c>
      <c r="W781" t="s">
        <v>14465</v>
      </c>
      <c r="X781" t="s">
        <v>14466</v>
      </c>
      <c r="Y781" t="s">
        <v>14467</v>
      </c>
      <c r="Z781" t="s">
        <v>14468</v>
      </c>
      <c r="AA781" t="s">
        <v>14469</v>
      </c>
      <c r="AB781" t="s">
        <v>14470</v>
      </c>
      <c r="AC781" t="s">
        <v>14471</v>
      </c>
      <c r="AD781" t="s">
        <v>14472</v>
      </c>
      <c r="AE781" t="s">
        <v>14473</v>
      </c>
      <c r="AF781" t="s">
        <v>74</v>
      </c>
      <c r="AG781">
        <v>73</v>
      </c>
      <c r="AH781">
        <v>55</v>
      </c>
      <c r="AI781">
        <v>59</v>
      </c>
      <c r="AJ781">
        <v>2</v>
      </c>
      <c r="AK781">
        <v>82</v>
      </c>
      <c r="AL781" t="s">
        <v>2832</v>
      </c>
      <c r="AM781" t="s">
        <v>796</v>
      </c>
      <c r="AN781" t="s">
        <v>797</v>
      </c>
      <c r="AO781" t="s">
        <v>14474</v>
      </c>
      <c r="AP781" t="s">
        <v>14475</v>
      </c>
      <c r="AQ781" t="s">
        <v>74</v>
      </c>
      <c r="AR781" t="s">
        <v>14476</v>
      </c>
      <c r="AS781" t="s">
        <v>14477</v>
      </c>
      <c r="AT781" t="s">
        <v>12989</v>
      </c>
      <c r="AU781">
        <v>2011</v>
      </c>
      <c r="AV781">
        <v>56</v>
      </c>
      <c r="AW781">
        <v>10</v>
      </c>
      <c r="AX781" t="s">
        <v>74</v>
      </c>
      <c r="AY781" t="s">
        <v>74</v>
      </c>
      <c r="AZ781" t="s">
        <v>74</v>
      </c>
      <c r="BA781" t="s">
        <v>74</v>
      </c>
      <c r="BB781">
        <v>1973</v>
      </c>
      <c r="BC781">
        <v>1991</v>
      </c>
      <c r="BD781" t="s">
        <v>74</v>
      </c>
      <c r="BE781" t="s">
        <v>14478</v>
      </c>
      <c r="BF781" t="str">
        <f>HYPERLINK("http://dx.doi.org/10.1111/j.1365-2427.2011.02628.x","http://dx.doi.org/10.1111/j.1365-2427.2011.02628.x")</f>
        <v>http://dx.doi.org/10.1111/j.1365-2427.2011.02628.x</v>
      </c>
      <c r="BG781" t="s">
        <v>74</v>
      </c>
      <c r="BH781" t="s">
        <v>74</v>
      </c>
      <c r="BI781">
        <v>19</v>
      </c>
      <c r="BJ781" t="s">
        <v>4394</v>
      </c>
      <c r="BK781" t="s">
        <v>100</v>
      </c>
      <c r="BL781" t="s">
        <v>4395</v>
      </c>
      <c r="BM781" t="s">
        <v>14479</v>
      </c>
      <c r="BN781" t="s">
        <v>74</v>
      </c>
      <c r="BO781" t="s">
        <v>342</v>
      </c>
      <c r="BP781" t="s">
        <v>74</v>
      </c>
      <c r="BQ781" t="s">
        <v>74</v>
      </c>
      <c r="BR781" t="s">
        <v>102</v>
      </c>
      <c r="BS781" t="s">
        <v>14480</v>
      </c>
      <c r="BT781" t="str">
        <f>HYPERLINK("https%3A%2F%2Fwww.webofscience.com%2Fwos%2Fwoscc%2Ffull-record%2FWOS:000295013800004","View Full Record in Web of Science")</f>
        <v>View Full Record in Web of Science</v>
      </c>
    </row>
    <row r="782" spans="1:72" x14ac:dyDescent="0.15">
      <c r="A782" t="s">
        <v>72</v>
      </c>
      <c r="B782" t="s">
        <v>14481</v>
      </c>
      <c r="C782" t="s">
        <v>74</v>
      </c>
      <c r="D782" t="s">
        <v>74</v>
      </c>
      <c r="E782" t="s">
        <v>74</v>
      </c>
      <c r="F782" t="s">
        <v>14482</v>
      </c>
      <c r="G782" t="s">
        <v>74</v>
      </c>
      <c r="H782" t="s">
        <v>74</v>
      </c>
      <c r="I782" t="s">
        <v>14483</v>
      </c>
      <c r="J782" t="s">
        <v>14484</v>
      </c>
      <c r="K782" t="s">
        <v>74</v>
      </c>
      <c r="L782" t="s">
        <v>74</v>
      </c>
      <c r="M782" t="s">
        <v>78</v>
      </c>
      <c r="N782" t="s">
        <v>79</v>
      </c>
      <c r="O782" t="s">
        <v>74</v>
      </c>
      <c r="P782" t="s">
        <v>74</v>
      </c>
      <c r="Q782" t="s">
        <v>74</v>
      </c>
      <c r="R782" t="s">
        <v>74</v>
      </c>
      <c r="S782" t="s">
        <v>74</v>
      </c>
      <c r="T782" t="s">
        <v>14485</v>
      </c>
      <c r="U782" t="s">
        <v>14486</v>
      </c>
      <c r="V782" t="s">
        <v>14487</v>
      </c>
      <c r="W782" t="s">
        <v>14488</v>
      </c>
      <c r="X782" t="s">
        <v>14489</v>
      </c>
      <c r="Y782" t="s">
        <v>14490</v>
      </c>
      <c r="Z782" t="s">
        <v>14491</v>
      </c>
      <c r="AA782" t="s">
        <v>14492</v>
      </c>
      <c r="AB782" t="s">
        <v>14493</v>
      </c>
      <c r="AC782" t="s">
        <v>14494</v>
      </c>
      <c r="AD782" t="s">
        <v>14494</v>
      </c>
      <c r="AE782" t="s">
        <v>14495</v>
      </c>
      <c r="AF782" t="s">
        <v>74</v>
      </c>
      <c r="AG782">
        <v>46</v>
      </c>
      <c r="AH782">
        <v>63</v>
      </c>
      <c r="AI782">
        <v>66</v>
      </c>
      <c r="AJ782">
        <v>0</v>
      </c>
      <c r="AK782">
        <v>19</v>
      </c>
      <c r="AL782" t="s">
        <v>2917</v>
      </c>
      <c r="AM782" t="s">
        <v>156</v>
      </c>
      <c r="AN782" t="s">
        <v>2918</v>
      </c>
      <c r="AO782" t="s">
        <v>14496</v>
      </c>
      <c r="AP782" t="s">
        <v>14497</v>
      </c>
      <c r="AQ782" t="s">
        <v>74</v>
      </c>
      <c r="AR782" t="s">
        <v>14498</v>
      </c>
      <c r="AS782" t="s">
        <v>14499</v>
      </c>
      <c r="AT782" t="s">
        <v>12989</v>
      </c>
      <c r="AU782">
        <v>2011</v>
      </c>
      <c r="AV782">
        <v>115</v>
      </c>
      <c r="AW782">
        <v>10</v>
      </c>
      <c r="AX782" t="s">
        <v>74</v>
      </c>
      <c r="AY782" t="s">
        <v>74</v>
      </c>
      <c r="AZ782" t="s">
        <v>339</v>
      </c>
      <c r="BA782" t="s">
        <v>74</v>
      </c>
      <c r="BB782">
        <v>937</v>
      </c>
      <c r="BC782">
        <v>944</v>
      </c>
      <c r="BD782" t="s">
        <v>74</v>
      </c>
      <c r="BE782" t="s">
        <v>14500</v>
      </c>
      <c r="BF782" t="str">
        <f>HYPERLINK("http://dx.doi.org/10.1016/j.funbio.2011.02.016","http://dx.doi.org/10.1016/j.funbio.2011.02.016")</f>
        <v>http://dx.doi.org/10.1016/j.funbio.2011.02.016</v>
      </c>
      <c r="BG782" t="s">
        <v>74</v>
      </c>
      <c r="BH782" t="s">
        <v>74</v>
      </c>
      <c r="BI782">
        <v>8</v>
      </c>
      <c r="BJ782" t="s">
        <v>11880</v>
      </c>
      <c r="BK782" t="s">
        <v>100</v>
      </c>
      <c r="BL782" t="s">
        <v>11880</v>
      </c>
      <c r="BM782" t="s">
        <v>14501</v>
      </c>
      <c r="BN782">
        <v>21944205</v>
      </c>
      <c r="BO782" t="s">
        <v>74</v>
      </c>
      <c r="BP782" t="s">
        <v>74</v>
      </c>
      <c r="BQ782" t="s">
        <v>74</v>
      </c>
      <c r="BR782" t="s">
        <v>102</v>
      </c>
      <c r="BS782" t="s">
        <v>14502</v>
      </c>
      <c r="BT782" t="str">
        <f>HYPERLINK("https%3A%2F%2Fwww.webofscience.com%2Fwos%2Fwoscc%2Ffull-record%2FWOS:000296076300002","View Full Record in Web of Science")</f>
        <v>View Full Record in Web of Science</v>
      </c>
    </row>
    <row r="783" spans="1:72" x14ac:dyDescent="0.15">
      <c r="A783" t="s">
        <v>72</v>
      </c>
      <c r="B783" t="s">
        <v>14503</v>
      </c>
      <c r="C783" t="s">
        <v>74</v>
      </c>
      <c r="D783" t="s">
        <v>74</v>
      </c>
      <c r="E783" t="s">
        <v>74</v>
      </c>
      <c r="F783" t="s">
        <v>14504</v>
      </c>
      <c r="G783" t="s">
        <v>74</v>
      </c>
      <c r="H783" t="s">
        <v>74</v>
      </c>
      <c r="I783" t="s">
        <v>14505</v>
      </c>
      <c r="J783" t="s">
        <v>10769</v>
      </c>
      <c r="K783" t="s">
        <v>74</v>
      </c>
      <c r="L783" t="s">
        <v>74</v>
      </c>
      <c r="M783" t="s">
        <v>78</v>
      </c>
      <c r="N783" t="s">
        <v>79</v>
      </c>
      <c r="O783" t="s">
        <v>74</v>
      </c>
      <c r="P783" t="s">
        <v>74</v>
      </c>
      <c r="Q783" t="s">
        <v>74</v>
      </c>
      <c r="R783" t="s">
        <v>74</v>
      </c>
      <c r="S783" t="s">
        <v>74</v>
      </c>
      <c r="T783" t="s">
        <v>74</v>
      </c>
      <c r="U783" t="s">
        <v>14506</v>
      </c>
      <c r="V783" t="s">
        <v>14507</v>
      </c>
      <c r="W783" t="s">
        <v>14508</v>
      </c>
      <c r="X783" t="s">
        <v>14509</v>
      </c>
      <c r="Y783" t="s">
        <v>14510</v>
      </c>
      <c r="Z783" t="s">
        <v>74</v>
      </c>
      <c r="AA783" t="s">
        <v>14511</v>
      </c>
      <c r="AB783" t="s">
        <v>14512</v>
      </c>
      <c r="AC783" t="s">
        <v>14513</v>
      </c>
      <c r="AD783" t="s">
        <v>14514</v>
      </c>
      <c r="AE783" t="s">
        <v>14515</v>
      </c>
      <c r="AF783" t="s">
        <v>74</v>
      </c>
      <c r="AG783">
        <v>23</v>
      </c>
      <c r="AH783">
        <v>28</v>
      </c>
      <c r="AI783">
        <v>29</v>
      </c>
      <c r="AJ783">
        <v>0</v>
      </c>
      <c r="AK783">
        <v>11</v>
      </c>
      <c r="AL783" t="s">
        <v>7665</v>
      </c>
      <c r="AM783" t="s">
        <v>7666</v>
      </c>
      <c r="AN783" t="s">
        <v>7667</v>
      </c>
      <c r="AO783" t="s">
        <v>10777</v>
      </c>
      <c r="AP783" t="s">
        <v>11596</v>
      </c>
      <c r="AQ783" t="s">
        <v>74</v>
      </c>
      <c r="AR783" t="s">
        <v>10769</v>
      </c>
      <c r="AS783" t="s">
        <v>288</v>
      </c>
      <c r="AT783" t="s">
        <v>12989</v>
      </c>
      <c r="AU783">
        <v>2011</v>
      </c>
      <c r="AV783">
        <v>39</v>
      </c>
      <c r="AW783">
        <v>10</v>
      </c>
      <c r="AX783" t="s">
        <v>74</v>
      </c>
      <c r="AY783" t="s">
        <v>74</v>
      </c>
      <c r="AZ783" t="s">
        <v>74</v>
      </c>
      <c r="BA783" t="s">
        <v>74</v>
      </c>
      <c r="BB783">
        <v>935</v>
      </c>
      <c r="BC783">
        <v>938</v>
      </c>
      <c r="BD783" t="s">
        <v>74</v>
      </c>
      <c r="BE783" t="s">
        <v>14516</v>
      </c>
      <c r="BF783" t="str">
        <f>HYPERLINK("http://dx.doi.org/10.1130/G31920.1","http://dx.doi.org/10.1130/G31920.1")</f>
        <v>http://dx.doi.org/10.1130/G31920.1</v>
      </c>
      <c r="BG783" t="s">
        <v>74</v>
      </c>
      <c r="BH783" t="s">
        <v>74</v>
      </c>
      <c r="BI783">
        <v>4</v>
      </c>
      <c r="BJ783" t="s">
        <v>288</v>
      </c>
      <c r="BK783" t="s">
        <v>100</v>
      </c>
      <c r="BL783" t="s">
        <v>288</v>
      </c>
      <c r="BM783" t="s">
        <v>14517</v>
      </c>
      <c r="BN783" t="s">
        <v>74</v>
      </c>
      <c r="BO783" t="s">
        <v>74</v>
      </c>
      <c r="BP783" t="s">
        <v>74</v>
      </c>
      <c r="BQ783" t="s">
        <v>74</v>
      </c>
      <c r="BR783" t="s">
        <v>102</v>
      </c>
      <c r="BS783" t="s">
        <v>14518</v>
      </c>
      <c r="BT783" t="str">
        <f>HYPERLINK("https%3A%2F%2Fwww.webofscience.com%2Fwos%2Fwoscc%2Ffull-record%2FWOS:000294818700010","View Full Record in Web of Science")</f>
        <v>View Full Record in Web of Science</v>
      </c>
    </row>
    <row r="784" spans="1:72" x14ac:dyDescent="0.15">
      <c r="A784" t="s">
        <v>72</v>
      </c>
      <c r="B784" t="s">
        <v>14519</v>
      </c>
      <c r="C784" t="s">
        <v>74</v>
      </c>
      <c r="D784" t="s">
        <v>74</v>
      </c>
      <c r="E784" t="s">
        <v>74</v>
      </c>
      <c r="F784" t="s">
        <v>14520</v>
      </c>
      <c r="G784" t="s">
        <v>74</v>
      </c>
      <c r="H784" t="s">
        <v>74</v>
      </c>
      <c r="I784" t="s">
        <v>14521</v>
      </c>
      <c r="J784" t="s">
        <v>8583</v>
      </c>
      <c r="K784" t="s">
        <v>74</v>
      </c>
      <c r="L784" t="s">
        <v>74</v>
      </c>
      <c r="M784" t="s">
        <v>78</v>
      </c>
      <c r="N784" t="s">
        <v>79</v>
      </c>
      <c r="O784" t="s">
        <v>74</v>
      </c>
      <c r="P784" t="s">
        <v>74</v>
      </c>
      <c r="Q784" t="s">
        <v>74</v>
      </c>
      <c r="R784" t="s">
        <v>74</v>
      </c>
      <c r="S784" t="s">
        <v>74</v>
      </c>
      <c r="T784" t="s">
        <v>74</v>
      </c>
      <c r="U784" t="s">
        <v>14522</v>
      </c>
      <c r="V784" t="s">
        <v>14523</v>
      </c>
      <c r="W784" t="s">
        <v>14524</v>
      </c>
      <c r="X784" t="s">
        <v>14525</v>
      </c>
      <c r="Y784" t="s">
        <v>14526</v>
      </c>
      <c r="Z784" t="s">
        <v>74</v>
      </c>
      <c r="AA784" t="s">
        <v>14527</v>
      </c>
      <c r="AB784" t="s">
        <v>14528</v>
      </c>
      <c r="AC784" t="s">
        <v>74</v>
      </c>
      <c r="AD784" t="s">
        <v>74</v>
      </c>
      <c r="AE784" t="s">
        <v>74</v>
      </c>
      <c r="AF784" t="s">
        <v>74</v>
      </c>
      <c r="AG784">
        <v>34</v>
      </c>
      <c r="AH784">
        <v>2</v>
      </c>
      <c r="AI784">
        <v>2</v>
      </c>
      <c r="AJ784">
        <v>0</v>
      </c>
      <c r="AK784">
        <v>1</v>
      </c>
      <c r="AL784" t="s">
        <v>7342</v>
      </c>
      <c r="AM784" t="s">
        <v>413</v>
      </c>
      <c r="AN784" t="s">
        <v>7343</v>
      </c>
      <c r="AO784" t="s">
        <v>8594</v>
      </c>
      <c r="AP784" t="s">
        <v>74</v>
      </c>
      <c r="AQ784" t="s">
        <v>74</v>
      </c>
      <c r="AR784" t="s">
        <v>8596</v>
      </c>
      <c r="AS784" t="s">
        <v>8597</v>
      </c>
      <c r="AT784" t="s">
        <v>12989</v>
      </c>
      <c r="AU784">
        <v>2011</v>
      </c>
      <c r="AV784">
        <v>51</v>
      </c>
      <c r="AW784">
        <v>5</v>
      </c>
      <c r="AX784" t="s">
        <v>74</v>
      </c>
      <c r="AY784" t="s">
        <v>74</v>
      </c>
      <c r="AZ784" t="s">
        <v>74</v>
      </c>
      <c r="BA784" t="s">
        <v>74</v>
      </c>
      <c r="BB784">
        <v>620</v>
      </c>
      <c r="BC784">
        <v>632</v>
      </c>
      <c r="BD784" t="s">
        <v>74</v>
      </c>
      <c r="BE784" t="s">
        <v>14529</v>
      </c>
      <c r="BF784" t="str">
        <f>HYPERLINK("http://dx.doi.org/10.1134/S0016793211050033","http://dx.doi.org/10.1134/S0016793211050033")</f>
        <v>http://dx.doi.org/10.1134/S0016793211050033</v>
      </c>
      <c r="BG784" t="s">
        <v>74</v>
      </c>
      <c r="BH784" t="s">
        <v>74</v>
      </c>
      <c r="BI784">
        <v>13</v>
      </c>
      <c r="BJ784" t="s">
        <v>164</v>
      </c>
      <c r="BK784" t="s">
        <v>100</v>
      </c>
      <c r="BL784" t="s">
        <v>164</v>
      </c>
      <c r="BM784" t="s">
        <v>14530</v>
      </c>
      <c r="BN784" t="s">
        <v>74</v>
      </c>
      <c r="BO784" t="s">
        <v>74</v>
      </c>
      <c r="BP784" t="s">
        <v>74</v>
      </c>
      <c r="BQ784" t="s">
        <v>74</v>
      </c>
      <c r="BR784" t="s">
        <v>102</v>
      </c>
      <c r="BS784" t="s">
        <v>14531</v>
      </c>
      <c r="BT784" t="str">
        <f>HYPERLINK("https%3A%2F%2Fwww.webofscience.com%2Fwos%2Fwoscc%2Ffull-record%2FWOS:000298348500004","View Full Record in Web of Science")</f>
        <v>View Full Record in Web of Science</v>
      </c>
    </row>
    <row r="785" spans="1:72" x14ac:dyDescent="0.15">
      <c r="A785" t="s">
        <v>72</v>
      </c>
      <c r="B785" t="s">
        <v>14532</v>
      </c>
      <c r="C785" t="s">
        <v>74</v>
      </c>
      <c r="D785" t="s">
        <v>74</v>
      </c>
      <c r="E785" t="s">
        <v>74</v>
      </c>
      <c r="F785" t="s">
        <v>14533</v>
      </c>
      <c r="G785" t="s">
        <v>74</v>
      </c>
      <c r="H785" t="s">
        <v>74</v>
      </c>
      <c r="I785" t="s">
        <v>14534</v>
      </c>
      <c r="J785" t="s">
        <v>3444</v>
      </c>
      <c r="K785" t="s">
        <v>74</v>
      </c>
      <c r="L785" t="s">
        <v>74</v>
      </c>
      <c r="M785" t="s">
        <v>78</v>
      </c>
      <c r="N785" t="s">
        <v>79</v>
      </c>
      <c r="O785" t="s">
        <v>74</v>
      </c>
      <c r="P785" t="s">
        <v>74</v>
      </c>
      <c r="Q785" t="s">
        <v>74</v>
      </c>
      <c r="R785" t="s">
        <v>74</v>
      </c>
      <c r="S785" t="s">
        <v>74</v>
      </c>
      <c r="T785" t="s">
        <v>14535</v>
      </c>
      <c r="U785" t="s">
        <v>14536</v>
      </c>
      <c r="V785" t="s">
        <v>14537</v>
      </c>
      <c r="W785" t="s">
        <v>14538</v>
      </c>
      <c r="X785" t="s">
        <v>14539</v>
      </c>
      <c r="Y785" t="s">
        <v>14540</v>
      </c>
      <c r="Z785" t="s">
        <v>14541</v>
      </c>
      <c r="AA785" t="s">
        <v>14542</v>
      </c>
      <c r="AB785" t="s">
        <v>14543</v>
      </c>
      <c r="AC785" t="s">
        <v>14544</v>
      </c>
      <c r="AD785" t="s">
        <v>14545</v>
      </c>
      <c r="AE785" t="s">
        <v>14546</v>
      </c>
      <c r="AF785" t="s">
        <v>74</v>
      </c>
      <c r="AG785">
        <v>51</v>
      </c>
      <c r="AH785">
        <v>161</v>
      </c>
      <c r="AI785">
        <v>168</v>
      </c>
      <c r="AJ785">
        <v>0</v>
      </c>
      <c r="AK785">
        <v>28</v>
      </c>
      <c r="AL785" t="s">
        <v>3479</v>
      </c>
      <c r="AM785" t="s">
        <v>334</v>
      </c>
      <c r="AN785" t="s">
        <v>3480</v>
      </c>
      <c r="AO785" t="s">
        <v>3457</v>
      </c>
      <c r="AP785" t="s">
        <v>3458</v>
      </c>
      <c r="AQ785" t="s">
        <v>74</v>
      </c>
      <c r="AR785" t="s">
        <v>3459</v>
      </c>
      <c r="AS785" t="s">
        <v>3460</v>
      </c>
      <c r="AT785" t="s">
        <v>13130</v>
      </c>
      <c r="AU785">
        <v>2011</v>
      </c>
      <c r="AV785">
        <v>79</v>
      </c>
      <c r="AW785" t="s">
        <v>1776</v>
      </c>
      <c r="AX785" t="s">
        <v>74</v>
      </c>
      <c r="AY785" t="s">
        <v>74</v>
      </c>
      <c r="AZ785" t="s">
        <v>74</v>
      </c>
      <c r="BA785" t="s">
        <v>74</v>
      </c>
      <c r="BB785">
        <v>99</v>
      </c>
      <c r="BC785">
        <v>109</v>
      </c>
      <c r="BD785" t="s">
        <v>74</v>
      </c>
      <c r="BE785" t="s">
        <v>14547</v>
      </c>
      <c r="BF785" t="str">
        <f>HYPERLINK("http://dx.doi.org/10.1016/j.gloplacha.2011.06.009","http://dx.doi.org/10.1016/j.gloplacha.2011.06.009")</f>
        <v>http://dx.doi.org/10.1016/j.gloplacha.2011.06.009</v>
      </c>
      <c r="BG785" t="s">
        <v>74</v>
      </c>
      <c r="BH785" t="s">
        <v>74</v>
      </c>
      <c r="BI785">
        <v>11</v>
      </c>
      <c r="BJ785" t="s">
        <v>226</v>
      </c>
      <c r="BK785" t="s">
        <v>100</v>
      </c>
      <c r="BL785" t="s">
        <v>227</v>
      </c>
      <c r="BM785" t="s">
        <v>13132</v>
      </c>
      <c r="BN785" t="s">
        <v>74</v>
      </c>
      <c r="BO785" t="s">
        <v>74</v>
      </c>
      <c r="BP785" t="s">
        <v>74</v>
      </c>
      <c r="BQ785" t="s">
        <v>74</v>
      </c>
      <c r="BR785" t="s">
        <v>102</v>
      </c>
      <c r="BS785" t="s">
        <v>14548</v>
      </c>
      <c r="BT785" t="str">
        <f>HYPERLINK("https%3A%2F%2Fwww.webofscience.com%2Fwos%2Fwoscc%2Ffull-record%2FWOS:000297428600009","View Full Record in Web of Science")</f>
        <v>View Full Record in Web of Science</v>
      </c>
    </row>
    <row r="786" spans="1:72" x14ac:dyDescent="0.15">
      <c r="A786" t="s">
        <v>72</v>
      </c>
      <c r="B786" t="s">
        <v>14549</v>
      </c>
      <c r="C786" t="s">
        <v>74</v>
      </c>
      <c r="D786" t="s">
        <v>74</v>
      </c>
      <c r="E786" t="s">
        <v>74</v>
      </c>
      <c r="F786" t="s">
        <v>14550</v>
      </c>
      <c r="G786" t="s">
        <v>74</v>
      </c>
      <c r="H786" t="s">
        <v>74</v>
      </c>
      <c r="I786" t="s">
        <v>14551</v>
      </c>
      <c r="J786" t="s">
        <v>14552</v>
      </c>
      <c r="K786" t="s">
        <v>74</v>
      </c>
      <c r="L786" t="s">
        <v>74</v>
      </c>
      <c r="M786" t="s">
        <v>78</v>
      </c>
      <c r="N786" t="s">
        <v>79</v>
      </c>
      <c r="O786" t="s">
        <v>74</v>
      </c>
      <c r="P786" t="s">
        <v>74</v>
      </c>
      <c r="Q786" t="s">
        <v>74</v>
      </c>
      <c r="R786" t="s">
        <v>74</v>
      </c>
      <c r="S786" t="s">
        <v>74</v>
      </c>
      <c r="T786" t="s">
        <v>74</v>
      </c>
      <c r="U786" t="s">
        <v>14553</v>
      </c>
      <c r="V786" t="s">
        <v>14554</v>
      </c>
      <c r="W786" t="s">
        <v>14555</v>
      </c>
      <c r="X786" t="s">
        <v>14556</v>
      </c>
      <c r="Y786" t="s">
        <v>14557</v>
      </c>
      <c r="Z786" t="s">
        <v>14558</v>
      </c>
      <c r="AA786" t="s">
        <v>14559</v>
      </c>
      <c r="AB786" t="s">
        <v>14560</v>
      </c>
      <c r="AC786" t="s">
        <v>14561</v>
      </c>
      <c r="AD786" t="s">
        <v>14562</v>
      </c>
      <c r="AE786" t="s">
        <v>14563</v>
      </c>
      <c r="AF786" t="s">
        <v>74</v>
      </c>
      <c r="AG786">
        <v>30</v>
      </c>
      <c r="AH786">
        <v>45</v>
      </c>
      <c r="AI786">
        <v>46</v>
      </c>
      <c r="AJ786">
        <v>0</v>
      </c>
      <c r="AK786">
        <v>12</v>
      </c>
      <c r="AL786" t="s">
        <v>14564</v>
      </c>
      <c r="AM786" t="s">
        <v>221</v>
      </c>
      <c r="AN786" t="s">
        <v>14565</v>
      </c>
      <c r="AO786" t="s">
        <v>14566</v>
      </c>
      <c r="AP786" t="s">
        <v>14567</v>
      </c>
      <c r="AQ786" t="s">
        <v>74</v>
      </c>
      <c r="AR786" t="s">
        <v>14568</v>
      </c>
      <c r="AS786" t="s">
        <v>14569</v>
      </c>
      <c r="AT786" t="s">
        <v>12989</v>
      </c>
      <c r="AU786">
        <v>2011</v>
      </c>
      <c r="AV786">
        <v>61</v>
      </c>
      <c r="AW786" t="s">
        <v>74</v>
      </c>
      <c r="AX786">
        <v>10</v>
      </c>
      <c r="AY786" t="s">
        <v>74</v>
      </c>
      <c r="AZ786" t="s">
        <v>74</v>
      </c>
      <c r="BA786" t="s">
        <v>74</v>
      </c>
      <c r="BB786">
        <v>2401</v>
      </c>
      <c r="BC786">
        <v>2405</v>
      </c>
      <c r="BD786" t="s">
        <v>74</v>
      </c>
      <c r="BE786" t="s">
        <v>14570</v>
      </c>
      <c r="BF786" t="str">
        <f>HYPERLINK("http://dx.doi.org/10.1099/ijs.0.024919-0","http://dx.doi.org/10.1099/ijs.0.024919-0")</f>
        <v>http://dx.doi.org/10.1099/ijs.0.024919-0</v>
      </c>
      <c r="BG786" t="s">
        <v>74</v>
      </c>
      <c r="BH786" t="s">
        <v>74</v>
      </c>
      <c r="BI786">
        <v>5</v>
      </c>
      <c r="BJ786" t="s">
        <v>3089</v>
      </c>
      <c r="BK786" t="s">
        <v>100</v>
      </c>
      <c r="BL786" t="s">
        <v>3089</v>
      </c>
      <c r="BM786" t="s">
        <v>14571</v>
      </c>
      <c r="BN786">
        <v>21062736</v>
      </c>
      <c r="BO786" t="s">
        <v>365</v>
      </c>
      <c r="BP786" t="s">
        <v>74</v>
      </c>
      <c r="BQ786" t="s">
        <v>74</v>
      </c>
      <c r="BR786" t="s">
        <v>102</v>
      </c>
      <c r="BS786" t="s">
        <v>14572</v>
      </c>
      <c r="BT786" t="str">
        <f>HYPERLINK("https%3A%2F%2Fwww.webofscience.com%2Fwos%2Fwoscc%2Ffull-record%2FWOS:000296398800014","View Full Record in Web of Science")</f>
        <v>View Full Record in Web of Science</v>
      </c>
    </row>
    <row r="787" spans="1:72" x14ac:dyDescent="0.15">
      <c r="A787" t="s">
        <v>72</v>
      </c>
      <c r="B787" t="s">
        <v>14573</v>
      </c>
      <c r="C787" t="s">
        <v>74</v>
      </c>
      <c r="D787" t="s">
        <v>74</v>
      </c>
      <c r="E787" t="s">
        <v>74</v>
      </c>
      <c r="F787" t="s">
        <v>14574</v>
      </c>
      <c r="G787" t="s">
        <v>74</v>
      </c>
      <c r="H787" t="s">
        <v>74</v>
      </c>
      <c r="I787" t="s">
        <v>14575</v>
      </c>
      <c r="J787" t="s">
        <v>14576</v>
      </c>
      <c r="K787" t="s">
        <v>74</v>
      </c>
      <c r="L787" t="s">
        <v>74</v>
      </c>
      <c r="M787" t="s">
        <v>78</v>
      </c>
      <c r="N787" t="s">
        <v>79</v>
      </c>
      <c r="O787" t="s">
        <v>74</v>
      </c>
      <c r="P787" t="s">
        <v>74</v>
      </c>
      <c r="Q787" t="s">
        <v>74</v>
      </c>
      <c r="R787" t="s">
        <v>74</v>
      </c>
      <c r="S787" t="s">
        <v>74</v>
      </c>
      <c r="T787" t="s">
        <v>14577</v>
      </c>
      <c r="U787" t="s">
        <v>14578</v>
      </c>
      <c r="V787" t="s">
        <v>14579</v>
      </c>
      <c r="W787" t="s">
        <v>14580</v>
      </c>
      <c r="X787" t="s">
        <v>14581</v>
      </c>
      <c r="Y787" t="s">
        <v>14582</v>
      </c>
      <c r="Z787" t="s">
        <v>14583</v>
      </c>
      <c r="AA787" t="s">
        <v>14584</v>
      </c>
      <c r="AB787" t="s">
        <v>14585</v>
      </c>
      <c r="AC787" t="s">
        <v>14586</v>
      </c>
      <c r="AD787" t="s">
        <v>14587</v>
      </c>
      <c r="AE787" t="s">
        <v>14588</v>
      </c>
      <c r="AF787" t="s">
        <v>74</v>
      </c>
      <c r="AG787">
        <v>74</v>
      </c>
      <c r="AH787">
        <v>22</v>
      </c>
      <c r="AI787">
        <v>24</v>
      </c>
      <c r="AJ787">
        <v>1</v>
      </c>
      <c r="AK787">
        <v>33</v>
      </c>
      <c r="AL787" t="s">
        <v>2832</v>
      </c>
      <c r="AM787" t="s">
        <v>796</v>
      </c>
      <c r="AN787" t="s">
        <v>797</v>
      </c>
      <c r="AO787" t="s">
        <v>14589</v>
      </c>
      <c r="AP787" t="s">
        <v>14590</v>
      </c>
      <c r="AQ787" t="s">
        <v>74</v>
      </c>
      <c r="AR787" t="s">
        <v>14591</v>
      </c>
      <c r="AS787" t="s">
        <v>14592</v>
      </c>
      <c r="AT787" t="s">
        <v>12989</v>
      </c>
      <c r="AU787">
        <v>2011</v>
      </c>
      <c r="AV787">
        <v>38</v>
      </c>
      <c r="AW787">
        <v>10</v>
      </c>
      <c r="AX787" t="s">
        <v>74</v>
      </c>
      <c r="AY787" t="s">
        <v>74</v>
      </c>
      <c r="AZ787" t="s">
        <v>74</v>
      </c>
      <c r="BA787" t="s">
        <v>74</v>
      </c>
      <c r="BB787">
        <v>1936</v>
      </c>
      <c r="BC787">
        <v>1947</v>
      </c>
      <c r="BD787" t="s">
        <v>74</v>
      </c>
      <c r="BE787" t="s">
        <v>14593</v>
      </c>
      <c r="BF787" t="str">
        <f>HYPERLINK("http://dx.doi.org/10.1111/j.1365-2699.2011.02540.x","http://dx.doi.org/10.1111/j.1365-2699.2011.02540.x")</f>
        <v>http://dx.doi.org/10.1111/j.1365-2699.2011.02540.x</v>
      </c>
      <c r="BG787" t="s">
        <v>74</v>
      </c>
      <c r="BH787" t="s">
        <v>74</v>
      </c>
      <c r="BI787">
        <v>12</v>
      </c>
      <c r="BJ787" t="s">
        <v>14594</v>
      </c>
      <c r="BK787" t="s">
        <v>100</v>
      </c>
      <c r="BL787" t="s">
        <v>7915</v>
      </c>
      <c r="BM787" t="s">
        <v>14595</v>
      </c>
      <c r="BN787" t="s">
        <v>74</v>
      </c>
      <c r="BO787" t="s">
        <v>74</v>
      </c>
      <c r="BP787" t="s">
        <v>74</v>
      </c>
      <c r="BQ787" t="s">
        <v>74</v>
      </c>
      <c r="BR787" t="s">
        <v>102</v>
      </c>
      <c r="BS787" t="s">
        <v>14596</v>
      </c>
      <c r="BT787" t="str">
        <f>HYPERLINK("https%3A%2F%2Fwww.webofscience.com%2Fwos%2Fwoscc%2Ffull-record%2FWOS:000295052300008","View Full Record in Web of Science")</f>
        <v>View Full Record in Web of Science</v>
      </c>
    </row>
    <row r="788" spans="1:72" x14ac:dyDescent="0.15">
      <c r="A788" t="s">
        <v>72</v>
      </c>
      <c r="B788" t="s">
        <v>14597</v>
      </c>
      <c r="C788" t="s">
        <v>74</v>
      </c>
      <c r="D788" t="s">
        <v>74</v>
      </c>
      <c r="E788" t="s">
        <v>74</v>
      </c>
      <c r="F788" t="s">
        <v>14598</v>
      </c>
      <c r="G788" t="s">
        <v>74</v>
      </c>
      <c r="H788" t="s">
        <v>74</v>
      </c>
      <c r="I788" t="s">
        <v>14599</v>
      </c>
      <c r="J788" t="s">
        <v>14600</v>
      </c>
      <c r="K788" t="s">
        <v>74</v>
      </c>
      <c r="L788" t="s">
        <v>74</v>
      </c>
      <c r="M788" t="s">
        <v>78</v>
      </c>
      <c r="N788" t="s">
        <v>79</v>
      </c>
      <c r="O788" t="s">
        <v>74</v>
      </c>
      <c r="P788" t="s">
        <v>74</v>
      </c>
      <c r="Q788" t="s">
        <v>74</v>
      </c>
      <c r="R788" t="s">
        <v>74</v>
      </c>
      <c r="S788" t="s">
        <v>74</v>
      </c>
      <c r="T788" t="s">
        <v>14601</v>
      </c>
      <c r="U788" t="s">
        <v>14602</v>
      </c>
      <c r="V788" t="s">
        <v>14603</v>
      </c>
      <c r="W788" t="s">
        <v>14604</v>
      </c>
      <c r="X788" t="s">
        <v>14605</v>
      </c>
      <c r="Y788" t="s">
        <v>14606</v>
      </c>
      <c r="Z788" t="s">
        <v>14607</v>
      </c>
      <c r="AA788" t="s">
        <v>14608</v>
      </c>
      <c r="AB788" t="s">
        <v>14609</v>
      </c>
      <c r="AC788" t="s">
        <v>14610</v>
      </c>
      <c r="AD788" t="s">
        <v>14611</v>
      </c>
      <c r="AE788" t="s">
        <v>14612</v>
      </c>
      <c r="AF788" t="s">
        <v>74</v>
      </c>
      <c r="AG788">
        <v>22</v>
      </c>
      <c r="AH788">
        <v>40</v>
      </c>
      <c r="AI788">
        <v>42</v>
      </c>
      <c r="AJ788">
        <v>2</v>
      </c>
      <c r="AK788">
        <v>31</v>
      </c>
      <c r="AL788" t="s">
        <v>2832</v>
      </c>
      <c r="AM788" t="s">
        <v>796</v>
      </c>
      <c r="AN788" t="s">
        <v>797</v>
      </c>
      <c r="AO788" t="s">
        <v>14613</v>
      </c>
      <c r="AP788" t="s">
        <v>14614</v>
      </c>
      <c r="AQ788" t="s">
        <v>74</v>
      </c>
      <c r="AR788" t="s">
        <v>14615</v>
      </c>
      <c r="AS788" t="s">
        <v>14616</v>
      </c>
      <c r="AT788" t="s">
        <v>12989</v>
      </c>
      <c r="AU788">
        <v>2011</v>
      </c>
      <c r="AV788">
        <v>46</v>
      </c>
      <c r="AW788">
        <v>10</v>
      </c>
      <c r="AX788" t="s">
        <v>74</v>
      </c>
      <c r="AY788" t="s">
        <v>74</v>
      </c>
      <c r="AZ788" t="s">
        <v>74</v>
      </c>
      <c r="BA788" t="s">
        <v>74</v>
      </c>
      <c r="BB788">
        <v>1051</v>
      </c>
      <c r="BC788">
        <v>1059</v>
      </c>
      <c r="BD788" t="s">
        <v>74</v>
      </c>
      <c r="BE788" t="s">
        <v>14617</v>
      </c>
      <c r="BF788" t="str">
        <f>HYPERLINK("http://dx.doi.org/10.1002/jms.1987","http://dx.doi.org/10.1002/jms.1987")</f>
        <v>http://dx.doi.org/10.1002/jms.1987</v>
      </c>
      <c r="BG788" t="s">
        <v>74</v>
      </c>
      <c r="BH788" t="s">
        <v>74</v>
      </c>
      <c r="BI788">
        <v>9</v>
      </c>
      <c r="BJ788" t="s">
        <v>14618</v>
      </c>
      <c r="BK788" t="s">
        <v>100</v>
      </c>
      <c r="BL788" t="s">
        <v>14619</v>
      </c>
      <c r="BM788" t="s">
        <v>14620</v>
      </c>
      <c r="BN788">
        <v>22012672</v>
      </c>
      <c r="BO788" t="s">
        <v>74</v>
      </c>
      <c r="BP788" t="s">
        <v>74</v>
      </c>
      <c r="BQ788" t="s">
        <v>74</v>
      </c>
      <c r="BR788" t="s">
        <v>102</v>
      </c>
      <c r="BS788" t="s">
        <v>14621</v>
      </c>
      <c r="BT788" t="str">
        <f>HYPERLINK("https%3A%2F%2Fwww.webofscience.com%2Fwos%2Fwoscc%2Ffull-record%2FWOS:000297028200011","View Full Record in Web of Science")</f>
        <v>View Full Record in Web of Science</v>
      </c>
    </row>
    <row r="789" spans="1:72" x14ac:dyDescent="0.15">
      <c r="A789" t="s">
        <v>72</v>
      </c>
      <c r="B789" t="s">
        <v>14622</v>
      </c>
      <c r="C789" t="s">
        <v>74</v>
      </c>
      <c r="D789" t="s">
        <v>74</v>
      </c>
      <c r="E789" t="s">
        <v>74</v>
      </c>
      <c r="F789" t="s">
        <v>14623</v>
      </c>
      <c r="G789" t="s">
        <v>74</v>
      </c>
      <c r="H789" t="s">
        <v>74</v>
      </c>
      <c r="I789" t="s">
        <v>14624</v>
      </c>
      <c r="J789" t="s">
        <v>14625</v>
      </c>
      <c r="K789" t="s">
        <v>74</v>
      </c>
      <c r="L789" t="s">
        <v>74</v>
      </c>
      <c r="M789" t="s">
        <v>14626</v>
      </c>
      <c r="N789" t="s">
        <v>810</v>
      </c>
      <c r="O789" t="s">
        <v>74</v>
      </c>
      <c r="P789" t="s">
        <v>74</v>
      </c>
      <c r="Q789" t="s">
        <v>74</v>
      </c>
      <c r="R789" t="s">
        <v>74</v>
      </c>
      <c r="S789" t="s">
        <v>74</v>
      </c>
      <c r="T789" t="s">
        <v>74</v>
      </c>
      <c r="U789" t="s">
        <v>74</v>
      </c>
      <c r="V789" t="s">
        <v>74</v>
      </c>
      <c r="W789" t="s">
        <v>14627</v>
      </c>
      <c r="X789" t="s">
        <v>14628</v>
      </c>
      <c r="Y789" t="s">
        <v>14629</v>
      </c>
      <c r="Z789" t="s">
        <v>14630</v>
      </c>
      <c r="AA789" t="s">
        <v>74</v>
      </c>
      <c r="AB789" t="s">
        <v>74</v>
      </c>
      <c r="AC789" t="s">
        <v>74</v>
      </c>
      <c r="AD789" t="s">
        <v>74</v>
      </c>
      <c r="AE789" t="s">
        <v>74</v>
      </c>
      <c r="AF789" t="s">
        <v>74</v>
      </c>
      <c r="AG789">
        <v>0</v>
      </c>
      <c r="AH789">
        <v>1</v>
      </c>
      <c r="AI789">
        <v>1</v>
      </c>
      <c r="AJ789">
        <v>0</v>
      </c>
      <c r="AK789">
        <v>0</v>
      </c>
      <c r="AL789" t="s">
        <v>14631</v>
      </c>
      <c r="AM789" t="s">
        <v>6506</v>
      </c>
      <c r="AN789" t="s">
        <v>14632</v>
      </c>
      <c r="AO789" t="s">
        <v>14633</v>
      </c>
      <c r="AP789" t="s">
        <v>14634</v>
      </c>
      <c r="AQ789" t="s">
        <v>74</v>
      </c>
      <c r="AR789" t="s">
        <v>14635</v>
      </c>
      <c r="AS789" t="s">
        <v>14636</v>
      </c>
      <c r="AT789" t="s">
        <v>12989</v>
      </c>
      <c r="AU789">
        <v>2011</v>
      </c>
      <c r="AV789">
        <v>47</v>
      </c>
      <c r="AW789">
        <v>5</v>
      </c>
      <c r="AX789" t="s">
        <v>74</v>
      </c>
      <c r="AY789" t="s">
        <v>74</v>
      </c>
      <c r="AZ789" t="s">
        <v>74</v>
      </c>
      <c r="BA789" t="s">
        <v>74</v>
      </c>
      <c r="BB789">
        <v>441</v>
      </c>
      <c r="BC789">
        <v>442</v>
      </c>
      <c r="BD789" t="s">
        <v>74</v>
      </c>
      <c r="BE789" t="s">
        <v>74</v>
      </c>
      <c r="BF789" t="s">
        <v>74</v>
      </c>
      <c r="BG789" t="s">
        <v>74</v>
      </c>
      <c r="BH789" t="s">
        <v>74</v>
      </c>
      <c r="BI789">
        <v>2</v>
      </c>
      <c r="BJ789" t="s">
        <v>287</v>
      </c>
      <c r="BK789" t="s">
        <v>1158</v>
      </c>
      <c r="BL789" t="s">
        <v>288</v>
      </c>
      <c r="BM789" t="s">
        <v>14637</v>
      </c>
      <c r="BN789" t="s">
        <v>74</v>
      </c>
      <c r="BO789" t="s">
        <v>74</v>
      </c>
      <c r="BP789" t="s">
        <v>74</v>
      </c>
      <c r="BQ789" t="s">
        <v>74</v>
      </c>
      <c r="BR789" t="s">
        <v>102</v>
      </c>
      <c r="BS789" t="s">
        <v>14638</v>
      </c>
      <c r="BT789" t="str">
        <f>HYPERLINK("https%3A%2F%2Fwww.webofscience.com%2Fwos%2Fwoscc%2Ffull-record%2FWOS:000454018200001","View Full Record in Web of Science")</f>
        <v>View Full Record in Web of Science</v>
      </c>
    </row>
    <row r="790" spans="1:72" x14ac:dyDescent="0.15">
      <c r="A790" t="s">
        <v>72</v>
      </c>
      <c r="B790" t="s">
        <v>14639</v>
      </c>
      <c r="C790" t="s">
        <v>74</v>
      </c>
      <c r="D790" t="s">
        <v>74</v>
      </c>
      <c r="E790" t="s">
        <v>74</v>
      </c>
      <c r="F790" t="s">
        <v>14640</v>
      </c>
      <c r="G790" t="s">
        <v>74</v>
      </c>
      <c r="H790" t="s">
        <v>74</v>
      </c>
      <c r="I790" t="s">
        <v>14641</v>
      </c>
      <c r="J790" t="s">
        <v>14625</v>
      </c>
      <c r="K790" t="s">
        <v>74</v>
      </c>
      <c r="L790" t="s">
        <v>74</v>
      </c>
      <c r="M790" t="s">
        <v>14626</v>
      </c>
      <c r="N790" t="s">
        <v>79</v>
      </c>
      <c r="O790" t="s">
        <v>74</v>
      </c>
      <c r="P790" t="s">
        <v>74</v>
      </c>
      <c r="Q790" t="s">
        <v>74</v>
      </c>
      <c r="R790" t="s">
        <v>74</v>
      </c>
      <c r="S790" t="s">
        <v>74</v>
      </c>
      <c r="T790" t="s">
        <v>14642</v>
      </c>
      <c r="U790" t="s">
        <v>14643</v>
      </c>
      <c r="V790" t="s">
        <v>14644</v>
      </c>
      <c r="W790" t="s">
        <v>14645</v>
      </c>
      <c r="X790" t="s">
        <v>14628</v>
      </c>
      <c r="Y790" t="s">
        <v>14646</v>
      </c>
      <c r="Z790" t="s">
        <v>14647</v>
      </c>
      <c r="AA790" t="s">
        <v>14648</v>
      </c>
      <c r="AB790" t="s">
        <v>74</v>
      </c>
      <c r="AC790" t="s">
        <v>74</v>
      </c>
      <c r="AD790" t="s">
        <v>74</v>
      </c>
      <c r="AE790" t="s">
        <v>74</v>
      </c>
      <c r="AF790" t="s">
        <v>74</v>
      </c>
      <c r="AG790">
        <v>52</v>
      </c>
      <c r="AH790">
        <v>0</v>
      </c>
      <c r="AI790">
        <v>0</v>
      </c>
      <c r="AJ790">
        <v>0</v>
      </c>
      <c r="AK790">
        <v>1</v>
      </c>
      <c r="AL790" t="s">
        <v>14631</v>
      </c>
      <c r="AM790" t="s">
        <v>6506</v>
      </c>
      <c r="AN790" t="s">
        <v>14632</v>
      </c>
      <c r="AO790" t="s">
        <v>14633</v>
      </c>
      <c r="AP790" t="s">
        <v>14634</v>
      </c>
      <c r="AQ790" t="s">
        <v>74</v>
      </c>
      <c r="AR790" t="s">
        <v>14635</v>
      </c>
      <c r="AS790" t="s">
        <v>14636</v>
      </c>
      <c r="AT790" t="s">
        <v>12989</v>
      </c>
      <c r="AU790">
        <v>2011</v>
      </c>
      <c r="AV790">
        <v>47</v>
      </c>
      <c r="AW790">
        <v>5</v>
      </c>
      <c r="AX790" t="s">
        <v>74</v>
      </c>
      <c r="AY790" t="s">
        <v>74</v>
      </c>
      <c r="AZ790" t="s">
        <v>74</v>
      </c>
      <c r="BA790" t="s">
        <v>74</v>
      </c>
      <c r="BB790">
        <v>443</v>
      </c>
      <c r="BC790">
        <v>457</v>
      </c>
      <c r="BD790" t="s">
        <v>74</v>
      </c>
      <c r="BE790" t="s">
        <v>74</v>
      </c>
      <c r="BF790" t="s">
        <v>74</v>
      </c>
      <c r="BG790" t="s">
        <v>74</v>
      </c>
      <c r="BH790" t="s">
        <v>74</v>
      </c>
      <c r="BI790">
        <v>15</v>
      </c>
      <c r="BJ790" t="s">
        <v>287</v>
      </c>
      <c r="BK790" t="s">
        <v>1158</v>
      </c>
      <c r="BL790" t="s">
        <v>288</v>
      </c>
      <c r="BM790" t="s">
        <v>14637</v>
      </c>
      <c r="BN790" t="s">
        <v>74</v>
      </c>
      <c r="BO790" t="s">
        <v>74</v>
      </c>
      <c r="BP790" t="s">
        <v>74</v>
      </c>
      <c r="BQ790" t="s">
        <v>74</v>
      </c>
      <c r="BR790" t="s">
        <v>102</v>
      </c>
      <c r="BS790" t="s">
        <v>14649</v>
      </c>
      <c r="BT790" t="str">
        <f>HYPERLINK("https%3A%2F%2Fwww.webofscience.com%2Fwos%2Fwoscc%2Ffull-record%2FWOS:000454018200002","View Full Record in Web of Science")</f>
        <v>View Full Record in Web of Science</v>
      </c>
    </row>
    <row r="791" spans="1:72" x14ac:dyDescent="0.15">
      <c r="A791" t="s">
        <v>72</v>
      </c>
      <c r="B791" t="s">
        <v>14650</v>
      </c>
      <c r="C791" t="s">
        <v>74</v>
      </c>
      <c r="D791" t="s">
        <v>74</v>
      </c>
      <c r="E791" t="s">
        <v>74</v>
      </c>
      <c r="F791" t="s">
        <v>14651</v>
      </c>
      <c r="G791" t="s">
        <v>74</v>
      </c>
      <c r="H791" t="s">
        <v>74</v>
      </c>
      <c r="I791" t="s">
        <v>14652</v>
      </c>
      <c r="J791" t="s">
        <v>14653</v>
      </c>
      <c r="K791" t="s">
        <v>74</v>
      </c>
      <c r="L791" t="s">
        <v>74</v>
      </c>
      <c r="M791" t="s">
        <v>14626</v>
      </c>
      <c r="N791" t="s">
        <v>79</v>
      </c>
      <c r="O791" t="s">
        <v>74</v>
      </c>
      <c r="P791" t="s">
        <v>74</v>
      </c>
      <c r="Q791" t="s">
        <v>74</v>
      </c>
      <c r="R791" t="s">
        <v>74</v>
      </c>
      <c r="S791" t="s">
        <v>74</v>
      </c>
      <c r="T791" t="s">
        <v>14654</v>
      </c>
      <c r="U791" t="s">
        <v>74</v>
      </c>
      <c r="V791" t="s">
        <v>14655</v>
      </c>
      <c r="W791" t="s">
        <v>14656</v>
      </c>
      <c r="X791" t="s">
        <v>14628</v>
      </c>
      <c r="Y791" t="s">
        <v>14657</v>
      </c>
      <c r="Z791" t="s">
        <v>14658</v>
      </c>
      <c r="AA791" t="s">
        <v>14659</v>
      </c>
      <c r="AB791" t="s">
        <v>14660</v>
      </c>
      <c r="AC791" t="s">
        <v>74</v>
      </c>
      <c r="AD791" t="s">
        <v>74</v>
      </c>
      <c r="AE791" t="s">
        <v>74</v>
      </c>
      <c r="AF791" t="s">
        <v>74</v>
      </c>
      <c r="AG791">
        <v>20</v>
      </c>
      <c r="AH791">
        <v>1</v>
      </c>
      <c r="AI791">
        <v>1</v>
      </c>
      <c r="AJ791">
        <v>0</v>
      </c>
      <c r="AK791">
        <v>1</v>
      </c>
      <c r="AL791" t="s">
        <v>14661</v>
      </c>
      <c r="AM791" t="s">
        <v>14662</v>
      </c>
      <c r="AN791" t="s">
        <v>14663</v>
      </c>
      <c r="AO791" t="s">
        <v>14664</v>
      </c>
      <c r="AP791" t="s">
        <v>14665</v>
      </c>
      <c r="AQ791" t="s">
        <v>74</v>
      </c>
      <c r="AR791" t="s">
        <v>14666</v>
      </c>
      <c r="AS791" t="s">
        <v>14667</v>
      </c>
      <c r="AT791" t="s">
        <v>12989</v>
      </c>
      <c r="AU791">
        <v>2011</v>
      </c>
      <c r="AV791">
        <v>32</v>
      </c>
      <c r="AW791">
        <v>6</v>
      </c>
      <c r="AX791" t="s">
        <v>74</v>
      </c>
      <c r="AY791" t="s">
        <v>74</v>
      </c>
      <c r="AZ791" t="s">
        <v>74</v>
      </c>
      <c r="BA791" t="s">
        <v>74</v>
      </c>
      <c r="BB791">
        <v>586</v>
      </c>
      <c r="BC791">
        <v>594</v>
      </c>
      <c r="BD791" t="s">
        <v>74</v>
      </c>
      <c r="BE791" t="s">
        <v>14668</v>
      </c>
      <c r="BF791" t="str">
        <f>HYPERLINK("http://dx.doi.org/10.5467/JKESS.2011.32.6.586","http://dx.doi.org/10.5467/JKESS.2011.32.6.586")</f>
        <v>http://dx.doi.org/10.5467/JKESS.2011.32.6.586</v>
      </c>
      <c r="BG791" t="s">
        <v>74</v>
      </c>
      <c r="BH791" t="s">
        <v>74</v>
      </c>
      <c r="BI791">
        <v>9</v>
      </c>
      <c r="BJ791" t="s">
        <v>287</v>
      </c>
      <c r="BK791" t="s">
        <v>1158</v>
      </c>
      <c r="BL791" t="s">
        <v>288</v>
      </c>
      <c r="BM791" t="s">
        <v>14669</v>
      </c>
      <c r="BN791" t="s">
        <v>74</v>
      </c>
      <c r="BO791" t="s">
        <v>365</v>
      </c>
      <c r="BP791" t="s">
        <v>74</v>
      </c>
      <c r="BQ791" t="s">
        <v>74</v>
      </c>
      <c r="BR791" t="s">
        <v>102</v>
      </c>
      <c r="BS791" t="s">
        <v>14670</v>
      </c>
      <c r="BT791" t="str">
        <f>HYPERLINK("https%3A%2F%2Fwww.webofscience.com%2Fwos%2Fwoscc%2Ffull-record%2FWOS:000437647900006","View Full Record in Web of Science")</f>
        <v>View Full Record in Web of Science</v>
      </c>
    </row>
    <row r="792" spans="1:72" x14ac:dyDescent="0.15">
      <c r="A792" t="s">
        <v>72</v>
      </c>
      <c r="B792" t="s">
        <v>14671</v>
      </c>
      <c r="C792" t="s">
        <v>74</v>
      </c>
      <c r="D792" t="s">
        <v>74</v>
      </c>
      <c r="E792" t="s">
        <v>74</v>
      </c>
      <c r="F792" t="s">
        <v>14672</v>
      </c>
      <c r="G792" t="s">
        <v>74</v>
      </c>
      <c r="H792" t="s">
        <v>74</v>
      </c>
      <c r="I792" t="s">
        <v>14673</v>
      </c>
      <c r="J792" t="s">
        <v>14653</v>
      </c>
      <c r="K792" t="s">
        <v>74</v>
      </c>
      <c r="L792" t="s">
        <v>74</v>
      </c>
      <c r="M792" t="s">
        <v>14626</v>
      </c>
      <c r="N792" t="s">
        <v>79</v>
      </c>
      <c r="O792" t="s">
        <v>74</v>
      </c>
      <c r="P792" t="s">
        <v>74</v>
      </c>
      <c r="Q792" t="s">
        <v>74</v>
      </c>
      <c r="R792" t="s">
        <v>74</v>
      </c>
      <c r="S792" t="s">
        <v>74</v>
      </c>
      <c r="T792" t="s">
        <v>14674</v>
      </c>
      <c r="U792" t="s">
        <v>74</v>
      </c>
      <c r="V792" t="s">
        <v>14675</v>
      </c>
      <c r="W792" t="s">
        <v>14676</v>
      </c>
      <c r="X792" t="s">
        <v>14677</v>
      </c>
      <c r="Y792" t="s">
        <v>14678</v>
      </c>
      <c r="Z792" t="s">
        <v>14679</v>
      </c>
      <c r="AA792" t="s">
        <v>14680</v>
      </c>
      <c r="AB792" t="s">
        <v>74</v>
      </c>
      <c r="AC792" t="s">
        <v>74</v>
      </c>
      <c r="AD792" t="s">
        <v>74</v>
      </c>
      <c r="AE792" t="s">
        <v>74</v>
      </c>
      <c r="AF792" t="s">
        <v>74</v>
      </c>
      <c r="AG792">
        <v>24</v>
      </c>
      <c r="AH792">
        <v>0</v>
      </c>
      <c r="AI792">
        <v>0</v>
      </c>
      <c r="AJ792">
        <v>0</v>
      </c>
      <c r="AK792">
        <v>0</v>
      </c>
      <c r="AL792" t="s">
        <v>14661</v>
      </c>
      <c r="AM792" t="s">
        <v>14662</v>
      </c>
      <c r="AN792" t="s">
        <v>14663</v>
      </c>
      <c r="AO792" t="s">
        <v>14664</v>
      </c>
      <c r="AP792" t="s">
        <v>14665</v>
      </c>
      <c r="AQ792" t="s">
        <v>74</v>
      </c>
      <c r="AR792" t="s">
        <v>14666</v>
      </c>
      <c r="AS792" t="s">
        <v>14667</v>
      </c>
      <c r="AT792" t="s">
        <v>12989</v>
      </c>
      <c r="AU792">
        <v>2011</v>
      </c>
      <c r="AV792">
        <v>32</v>
      </c>
      <c r="AW792">
        <v>6</v>
      </c>
      <c r="AX792" t="s">
        <v>74</v>
      </c>
      <c r="AY792" t="s">
        <v>74</v>
      </c>
      <c r="AZ792" t="s">
        <v>74</v>
      </c>
      <c r="BA792" t="s">
        <v>74</v>
      </c>
      <c r="BB792">
        <v>640</v>
      </c>
      <c r="BC792">
        <v>653</v>
      </c>
      <c r="BD792" t="s">
        <v>74</v>
      </c>
      <c r="BE792" t="s">
        <v>14681</v>
      </c>
      <c r="BF792" t="str">
        <f>HYPERLINK("http://dx.doi.org/10.5467/JKESS.2011.32.6.640","http://dx.doi.org/10.5467/JKESS.2011.32.6.640")</f>
        <v>http://dx.doi.org/10.5467/JKESS.2011.32.6.640</v>
      </c>
      <c r="BG792" t="s">
        <v>74</v>
      </c>
      <c r="BH792" t="s">
        <v>74</v>
      </c>
      <c r="BI792">
        <v>14</v>
      </c>
      <c r="BJ792" t="s">
        <v>287</v>
      </c>
      <c r="BK792" t="s">
        <v>1158</v>
      </c>
      <c r="BL792" t="s">
        <v>288</v>
      </c>
      <c r="BM792" t="s">
        <v>14669</v>
      </c>
      <c r="BN792" t="s">
        <v>74</v>
      </c>
      <c r="BO792" t="s">
        <v>365</v>
      </c>
      <c r="BP792" t="s">
        <v>74</v>
      </c>
      <c r="BQ792" t="s">
        <v>74</v>
      </c>
      <c r="BR792" t="s">
        <v>102</v>
      </c>
      <c r="BS792" t="s">
        <v>14682</v>
      </c>
      <c r="BT792" t="str">
        <f>HYPERLINK("https%3A%2F%2Fwww.webofscience.com%2Fwos%2Fwoscc%2Ffull-record%2FWOS:000437647900011","View Full Record in Web of Science")</f>
        <v>View Full Record in Web of Science</v>
      </c>
    </row>
    <row r="793" spans="1:72" x14ac:dyDescent="0.15">
      <c r="A793" t="s">
        <v>72</v>
      </c>
      <c r="B793" t="s">
        <v>14683</v>
      </c>
      <c r="C793" t="s">
        <v>74</v>
      </c>
      <c r="D793" t="s">
        <v>74</v>
      </c>
      <c r="E793" t="s">
        <v>74</v>
      </c>
      <c r="F793" t="s">
        <v>14684</v>
      </c>
      <c r="G793" t="s">
        <v>74</v>
      </c>
      <c r="H793" t="s">
        <v>74</v>
      </c>
      <c r="I793" t="s">
        <v>14685</v>
      </c>
      <c r="J793" t="s">
        <v>14686</v>
      </c>
      <c r="K793" t="s">
        <v>74</v>
      </c>
      <c r="L793" t="s">
        <v>74</v>
      </c>
      <c r="M793" t="s">
        <v>14626</v>
      </c>
      <c r="N793" t="s">
        <v>79</v>
      </c>
      <c r="O793" t="s">
        <v>74</v>
      </c>
      <c r="P793" t="s">
        <v>74</v>
      </c>
      <c r="Q793" t="s">
        <v>74</v>
      </c>
      <c r="R793" t="s">
        <v>74</v>
      </c>
      <c r="S793" t="s">
        <v>74</v>
      </c>
      <c r="T793" t="s">
        <v>14687</v>
      </c>
      <c r="U793" t="s">
        <v>74</v>
      </c>
      <c r="V793" t="s">
        <v>14688</v>
      </c>
      <c r="W793" t="s">
        <v>14689</v>
      </c>
      <c r="X793" t="s">
        <v>14690</v>
      </c>
      <c r="Y793" t="s">
        <v>14691</v>
      </c>
      <c r="Z793" t="s">
        <v>14692</v>
      </c>
      <c r="AA793" t="s">
        <v>14693</v>
      </c>
      <c r="AB793" t="s">
        <v>14694</v>
      </c>
      <c r="AC793" t="s">
        <v>74</v>
      </c>
      <c r="AD793" t="s">
        <v>74</v>
      </c>
      <c r="AE793" t="s">
        <v>74</v>
      </c>
      <c r="AF793" t="s">
        <v>74</v>
      </c>
      <c r="AG793">
        <v>23</v>
      </c>
      <c r="AH793">
        <v>3</v>
      </c>
      <c r="AI793">
        <v>3</v>
      </c>
      <c r="AJ793">
        <v>0</v>
      </c>
      <c r="AK793">
        <v>1</v>
      </c>
      <c r="AL793" t="s">
        <v>14695</v>
      </c>
      <c r="AM793" t="s">
        <v>6506</v>
      </c>
      <c r="AN793" t="s">
        <v>14696</v>
      </c>
      <c r="AO793" t="s">
        <v>14697</v>
      </c>
      <c r="AP793" t="s">
        <v>14698</v>
      </c>
      <c r="AQ793" t="s">
        <v>74</v>
      </c>
      <c r="AR793" t="s">
        <v>14699</v>
      </c>
      <c r="AS793" t="s">
        <v>14700</v>
      </c>
      <c r="AT793" t="s">
        <v>12989</v>
      </c>
      <c r="AU793">
        <v>2011</v>
      </c>
      <c r="AV793">
        <v>27</v>
      </c>
      <c r="AW793">
        <v>5</v>
      </c>
      <c r="AX793" t="s">
        <v>74</v>
      </c>
      <c r="AY793" t="s">
        <v>74</v>
      </c>
      <c r="AZ793" t="s">
        <v>74</v>
      </c>
      <c r="BA793" t="s">
        <v>74</v>
      </c>
      <c r="BB793">
        <v>543</v>
      </c>
      <c r="BC793">
        <v>553</v>
      </c>
      <c r="BD793" t="s">
        <v>74</v>
      </c>
      <c r="BE793" t="s">
        <v>14701</v>
      </c>
      <c r="BF793" t="str">
        <f>HYPERLINK("http://dx.doi.org/10.7780/kjrs.2011.27.5.543","http://dx.doi.org/10.7780/kjrs.2011.27.5.543")</f>
        <v>http://dx.doi.org/10.7780/kjrs.2011.27.5.543</v>
      </c>
      <c r="BG793" t="s">
        <v>74</v>
      </c>
      <c r="BH793" t="s">
        <v>74</v>
      </c>
      <c r="BI793">
        <v>11</v>
      </c>
      <c r="BJ793" t="s">
        <v>3262</v>
      </c>
      <c r="BK793" t="s">
        <v>1158</v>
      </c>
      <c r="BL793" t="s">
        <v>3262</v>
      </c>
      <c r="BM793" t="s">
        <v>14702</v>
      </c>
      <c r="BN793" t="s">
        <v>74</v>
      </c>
      <c r="BO793" t="s">
        <v>365</v>
      </c>
      <c r="BP793" t="s">
        <v>74</v>
      </c>
      <c r="BQ793" t="s">
        <v>74</v>
      </c>
      <c r="BR793" t="s">
        <v>102</v>
      </c>
      <c r="BS793" t="s">
        <v>14703</v>
      </c>
      <c r="BT793" t="str">
        <f>HYPERLINK("https%3A%2F%2Fwww.webofscience.com%2Fwos%2Fwoscc%2Ffull-record%2FWOS:000410192900004","View Full Record in Web of Science")</f>
        <v>View Full Record in Web of Science</v>
      </c>
    </row>
    <row r="794" spans="1:72" x14ac:dyDescent="0.15">
      <c r="A794" t="s">
        <v>72</v>
      </c>
      <c r="B794" t="s">
        <v>14704</v>
      </c>
      <c r="C794" t="s">
        <v>74</v>
      </c>
      <c r="D794" t="s">
        <v>74</v>
      </c>
      <c r="E794" t="s">
        <v>74</v>
      </c>
      <c r="F794" t="s">
        <v>14705</v>
      </c>
      <c r="G794" t="s">
        <v>74</v>
      </c>
      <c r="H794" t="s">
        <v>74</v>
      </c>
      <c r="I794" t="s">
        <v>14706</v>
      </c>
      <c r="J794" t="s">
        <v>14707</v>
      </c>
      <c r="K794" t="s">
        <v>74</v>
      </c>
      <c r="L794" t="s">
        <v>74</v>
      </c>
      <c r="M794" t="s">
        <v>78</v>
      </c>
      <c r="N794" t="s">
        <v>1513</v>
      </c>
      <c r="O794" t="s">
        <v>74</v>
      </c>
      <c r="P794" t="s">
        <v>74</v>
      </c>
      <c r="Q794" t="s">
        <v>74</v>
      </c>
      <c r="R794" t="s">
        <v>74</v>
      </c>
      <c r="S794" t="s">
        <v>74</v>
      </c>
      <c r="T794" t="s">
        <v>14708</v>
      </c>
      <c r="U794" t="s">
        <v>14709</v>
      </c>
      <c r="V794" t="s">
        <v>14710</v>
      </c>
      <c r="W794" t="s">
        <v>14711</v>
      </c>
      <c r="X794" t="s">
        <v>13342</v>
      </c>
      <c r="Y794" t="s">
        <v>14712</v>
      </c>
      <c r="Z794" t="s">
        <v>14713</v>
      </c>
      <c r="AA794" t="s">
        <v>14714</v>
      </c>
      <c r="AB794" t="s">
        <v>14715</v>
      </c>
      <c r="AC794" t="s">
        <v>74</v>
      </c>
      <c r="AD794" t="s">
        <v>74</v>
      </c>
      <c r="AE794" t="s">
        <v>74</v>
      </c>
      <c r="AF794" t="s">
        <v>74</v>
      </c>
      <c r="AG794">
        <v>132</v>
      </c>
      <c r="AH794">
        <v>77</v>
      </c>
      <c r="AI794">
        <v>80</v>
      </c>
      <c r="AJ794">
        <v>0</v>
      </c>
      <c r="AK794">
        <v>61</v>
      </c>
      <c r="AL794" t="s">
        <v>2832</v>
      </c>
      <c r="AM794" t="s">
        <v>796</v>
      </c>
      <c r="AN794" t="s">
        <v>797</v>
      </c>
      <c r="AO794" t="s">
        <v>14716</v>
      </c>
      <c r="AP794" t="s">
        <v>14717</v>
      </c>
      <c r="AQ794" t="s">
        <v>74</v>
      </c>
      <c r="AR794" t="s">
        <v>14718</v>
      </c>
      <c r="AS794" t="s">
        <v>14719</v>
      </c>
      <c r="AT794" t="s">
        <v>12989</v>
      </c>
      <c r="AU794">
        <v>2011</v>
      </c>
      <c r="AV794">
        <v>41</v>
      </c>
      <c r="AW794">
        <v>4</v>
      </c>
      <c r="AX794" t="s">
        <v>74</v>
      </c>
      <c r="AY794" t="s">
        <v>74</v>
      </c>
      <c r="AZ794" t="s">
        <v>74</v>
      </c>
      <c r="BA794" t="s">
        <v>74</v>
      </c>
      <c r="BB794">
        <v>253</v>
      </c>
      <c r="BC794">
        <v>275</v>
      </c>
      <c r="BD794" t="s">
        <v>74</v>
      </c>
      <c r="BE794" t="s">
        <v>14720</v>
      </c>
      <c r="BF794" t="str">
        <f>HYPERLINK("http://dx.doi.org/10.1111/j.1365-2907.2011.00186.x","http://dx.doi.org/10.1111/j.1365-2907.2011.00186.x")</f>
        <v>http://dx.doi.org/10.1111/j.1365-2907.2011.00186.x</v>
      </c>
      <c r="BG794" t="s">
        <v>74</v>
      </c>
      <c r="BH794" t="s">
        <v>74</v>
      </c>
      <c r="BI794">
        <v>23</v>
      </c>
      <c r="BJ794" t="s">
        <v>12991</v>
      </c>
      <c r="BK794" t="s">
        <v>100</v>
      </c>
      <c r="BL794" t="s">
        <v>12992</v>
      </c>
      <c r="BM794" t="s">
        <v>14721</v>
      </c>
      <c r="BN794" t="s">
        <v>74</v>
      </c>
      <c r="BO794" t="s">
        <v>74</v>
      </c>
      <c r="BP794" t="s">
        <v>74</v>
      </c>
      <c r="BQ794" t="s">
        <v>74</v>
      </c>
      <c r="BR794" t="s">
        <v>102</v>
      </c>
      <c r="BS794" t="s">
        <v>14722</v>
      </c>
      <c r="BT794" t="str">
        <f>HYPERLINK("https%3A%2F%2Fwww.webofscience.com%2Fwos%2Fwoscc%2Ffull-record%2FWOS:000294823400002","View Full Record in Web of Science")</f>
        <v>View Full Record in Web of Science</v>
      </c>
    </row>
    <row r="795" spans="1:72" x14ac:dyDescent="0.15">
      <c r="A795" t="s">
        <v>72</v>
      </c>
      <c r="B795" t="s">
        <v>14723</v>
      </c>
      <c r="C795" t="s">
        <v>74</v>
      </c>
      <c r="D795" t="s">
        <v>74</v>
      </c>
      <c r="E795" t="s">
        <v>74</v>
      </c>
      <c r="F795" t="s">
        <v>14724</v>
      </c>
      <c r="G795" t="s">
        <v>74</v>
      </c>
      <c r="H795" t="s">
        <v>74</v>
      </c>
      <c r="I795" t="s">
        <v>14725</v>
      </c>
      <c r="J795" t="s">
        <v>7392</v>
      </c>
      <c r="K795" t="s">
        <v>74</v>
      </c>
      <c r="L795" t="s">
        <v>74</v>
      </c>
      <c r="M795" t="s">
        <v>78</v>
      </c>
      <c r="N795" t="s">
        <v>79</v>
      </c>
      <c r="O795" t="s">
        <v>74</v>
      </c>
      <c r="P795" t="s">
        <v>74</v>
      </c>
      <c r="Q795" t="s">
        <v>74</v>
      </c>
      <c r="R795" t="s">
        <v>74</v>
      </c>
      <c r="S795" t="s">
        <v>74</v>
      </c>
      <c r="T795" t="s">
        <v>74</v>
      </c>
      <c r="U795" t="s">
        <v>14726</v>
      </c>
      <c r="V795" t="s">
        <v>14727</v>
      </c>
      <c r="W795" t="s">
        <v>14728</v>
      </c>
      <c r="X795" t="s">
        <v>14729</v>
      </c>
      <c r="Y795" t="s">
        <v>14730</v>
      </c>
      <c r="Z795" t="s">
        <v>14731</v>
      </c>
      <c r="AA795" t="s">
        <v>14732</v>
      </c>
      <c r="AB795" t="s">
        <v>14733</v>
      </c>
      <c r="AC795" t="s">
        <v>14734</v>
      </c>
      <c r="AD795" t="s">
        <v>14735</v>
      </c>
      <c r="AE795" t="s">
        <v>14736</v>
      </c>
      <c r="AF795" t="s">
        <v>74</v>
      </c>
      <c r="AG795">
        <v>62</v>
      </c>
      <c r="AH795">
        <v>136</v>
      </c>
      <c r="AI795">
        <v>149</v>
      </c>
      <c r="AJ795">
        <v>1</v>
      </c>
      <c r="AK795">
        <v>87</v>
      </c>
      <c r="AL795" t="s">
        <v>7404</v>
      </c>
      <c r="AM795" t="s">
        <v>7405</v>
      </c>
      <c r="AN795" t="s">
        <v>7406</v>
      </c>
      <c r="AO795" t="s">
        <v>7407</v>
      </c>
      <c r="AP795" t="s">
        <v>7408</v>
      </c>
      <c r="AQ795" t="s">
        <v>74</v>
      </c>
      <c r="AR795" t="s">
        <v>7409</v>
      </c>
      <c r="AS795" t="s">
        <v>7410</v>
      </c>
      <c r="AT795" t="s">
        <v>12989</v>
      </c>
      <c r="AU795">
        <v>2011</v>
      </c>
      <c r="AV795">
        <v>158</v>
      </c>
      <c r="AW795">
        <v>10</v>
      </c>
      <c r="AX795" t="s">
        <v>74</v>
      </c>
      <c r="AY795" t="s">
        <v>74</v>
      </c>
      <c r="AZ795" t="s">
        <v>74</v>
      </c>
      <c r="BA795" t="s">
        <v>74</v>
      </c>
      <c r="BB795">
        <v>2199</v>
      </c>
      <c r="BC795">
        <v>2208</v>
      </c>
      <c r="BD795" t="s">
        <v>74</v>
      </c>
      <c r="BE795" t="s">
        <v>14737</v>
      </c>
      <c r="BF795" t="str">
        <f>HYPERLINK("http://dx.doi.org/10.1007/s00227-011-1725-4","http://dx.doi.org/10.1007/s00227-011-1725-4")</f>
        <v>http://dx.doi.org/10.1007/s00227-011-1725-4</v>
      </c>
      <c r="BG795" t="s">
        <v>74</v>
      </c>
      <c r="BH795" t="s">
        <v>74</v>
      </c>
      <c r="BI795">
        <v>10</v>
      </c>
      <c r="BJ795" t="s">
        <v>1015</v>
      </c>
      <c r="BK795" t="s">
        <v>100</v>
      </c>
      <c r="BL795" t="s">
        <v>1015</v>
      </c>
      <c r="BM795" t="s">
        <v>13752</v>
      </c>
      <c r="BN795" t="s">
        <v>74</v>
      </c>
      <c r="BO795" t="s">
        <v>74</v>
      </c>
      <c r="BP795" t="s">
        <v>74</v>
      </c>
      <c r="BQ795" t="s">
        <v>74</v>
      </c>
      <c r="BR795" t="s">
        <v>102</v>
      </c>
      <c r="BS795" t="s">
        <v>14738</v>
      </c>
      <c r="BT795" t="str">
        <f>HYPERLINK("https%3A%2F%2Fwww.webofscience.com%2Fwos%2Fwoscc%2Ffull-record%2FWOS:000296089900005","View Full Record in Web of Science")</f>
        <v>View Full Record in Web of Science</v>
      </c>
    </row>
    <row r="796" spans="1:72" x14ac:dyDescent="0.15">
      <c r="A796" t="s">
        <v>72</v>
      </c>
      <c r="B796" t="s">
        <v>14739</v>
      </c>
      <c r="C796" t="s">
        <v>74</v>
      </c>
      <c r="D796" t="s">
        <v>74</v>
      </c>
      <c r="E796" t="s">
        <v>74</v>
      </c>
      <c r="F796" t="s">
        <v>14740</v>
      </c>
      <c r="G796" t="s">
        <v>74</v>
      </c>
      <c r="H796" t="s">
        <v>74</v>
      </c>
      <c r="I796" t="s">
        <v>14741</v>
      </c>
      <c r="J796" t="s">
        <v>7195</v>
      </c>
      <c r="K796" t="s">
        <v>74</v>
      </c>
      <c r="L796" t="s">
        <v>74</v>
      </c>
      <c r="M796" t="s">
        <v>78</v>
      </c>
      <c r="N796" t="s">
        <v>79</v>
      </c>
      <c r="O796" t="s">
        <v>74</v>
      </c>
      <c r="P796" t="s">
        <v>74</v>
      </c>
      <c r="Q796" t="s">
        <v>74</v>
      </c>
      <c r="R796" t="s">
        <v>74</v>
      </c>
      <c r="S796" t="s">
        <v>74</v>
      </c>
      <c r="T796" t="s">
        <v>14742</v>
      </c>
      <c r="U796" t="s">
        <v>14743</v>
      </c>
      <c r="V796" t="s">
        <v>14744</v>
      </c>
      <c r="W796" t="s">
        <v>14745</v>
      </c>
      <c r="X796" t="s">
        <v>14746</v>
      </c>
      <c r="Y796" t="s">
        <v>14747</v>
      </c>
      <c r="Z796" t="s">
        <v>14748</v>
      </c>
      <c r="AA796" t="s">
        <v>14749</v>
      </c>
      <c r="AB796" t="s">
        <v>14750</v>
      </c>
      <c r="AC796" t="s">
        <v>14751</v>
      </c>
      <c r="AD796" t="s">
        <v>14751</v>
      </c>
      <c r="AE796" t="s">
        <v>14752</v>
      </c>
      <c r="AF796" t="s">
        <v>74</v>
      </c>
      <c r="AG796">
        <v>49</v>
      </c>
      <c r="AH796">
        <v>23</v>
      </c>
      <c r="AI796">
        <v>25</v>
      </c>
      <c r="AJ796">
        <v>0</v>
      </c>
      <c r="AK796">
        <v>15</v>
      </c>
      <c r="AL796" t="s">
        <v>333</v>
      </c>
      <c r="AM796" t="s">
        <v>334</v>
      </c>
      <c r="AN796" t="s">
        <v>335</v>
      </c>
      <c r="AO796" t="s">
        <v>7208</v>
      </c>
      <c r="AP796" t="s">
        <v>7209</v>
      </c>
      <c r="AQ796" t="s">
        <v>74</v>
      </c>
      <c r="AR796" t="s">
        <v>7210</v>
      </c>
      <c r="AS796" t="s">
        <v>7211</v>
      </c>
      <c r="AT796" t="s">
        <v>13682</v>
      </c>
      <c r="AU796">
        <v>2011</v>
      </c>
      <c r="AV796">
        <v>288</v>
      </c>
      <c r="AW796" t="s">
        <v>6483</v>
      </c>
      <c r="AX796" t="s">
        <v>74</v>
      </c>
      <c r="AY796" t="s">
        <v>74</v>
      </c>
      <c r="AZ796" t="s">
        <v>74</v>
      </c>
      <c r="BA796" t="s">
        <v>74</v>
      </c>
      <c r="BB796">
        <v>43</v>
      </c>
      <c r="BC796">
        <v>48</v>
      </c>
      <c r="BD796" t="s">
        <v>74</v>
      </c>
      <c r="BE796" t="s">
        <v>14753</v>
      </c>
      <c r="BF796" t="str">
        <f>HYPERLINK("http://dx.doi.org/10.1016/j.margeo.2011.08.002","http://dx.doi.org/10.1016/j.margeo.2011.08.002")</f>
        <v>http://dx.doi.org/10.1016/j.margeo.2011.08.002</v>
      </c>
      <c r="BG796" t="s">
        <v>74</v>
      </c>
      <c r="BH796" t="s">
        <v>74</v>
      </c>
      <c r="BI796">
        <v>6</v>
      </c>
      <c r="BJ796" t="s">
        <v>7214</v>
      </c>
      <c r="BK796" t="s">
        <v>100</v>
      </c>
      <c r="BL796" t="s">
        <v>7215</v>
      </c>
      <c r="BM796" t="s">
        <v>14754</v>
      </c>
      <c r="BN796" t="s">
        <v>74</v>
      </c>
      <c r="BO796" t="s">
        <v>74</v>
      </c>
      <c r="BP796" t="s">
        <v>74</v>
      </c>
      <c r="BQ796" t="s">
        <v>74</v>
      </c>
      <c r="BR796" t="s">
        <v>102</v>
      </c>
      <c r="BS796" t="s">
        <v>14755</v>
      </c>
      <c r="BT796" t="str">
        <f>HYPERLINK("https%3A%2F%2Fwww.webofscience.com%2Fwos%2Fwoscc%2Ffull-record%2FWOS:000297486400004","View Full Record in Web of Science")</f>
        <v>View Full Record in Web of Science</v>
      </c>
    </row>
    <row r="797" spans="1:72" x14ac:dyDescent="0.15">
      <c r="A797" t="s">
        <v>72</v>
      </c>
      <c r="B797" t="s">
        <v>14756</v>
      </c>
      <c r="C797" t="s">
        <v>74</v>
      </c>
      <c r="D797" t="s">
        <v>74</v>
      </c>
      <c r="E797" t="s">
        <v>74</v>
      </c>
      <c r="F797" t="s">
        <v>14757</v>
      </c>
      <c r="G797" t="s">
        <v>74</v>
      </c>
      <c r="H797" t="s">
        <v>74</v>
      </c>
      <c r="I797" t="s">
        <v>14758</v>
      </c>
      <c r="J797" t="s">
        <v>13378</v>
      </c>
      <c r="K797" t="s">
        <v>74</v>
      </c>
      <c r="L797" t="s">
        <v>74</v>
      </c>
      <c r="M797" t="s">
        <v>78</v>
      </c>
      <c r="N797" t="s">
        <v>79</v>
      </c>
      <c r="O797" t="s">
        <v>74</v>
      </c>
      <c r="P797" t="s">
        <v>74</v>
      </c>
      <c r="Q797" t="s">
        <v>74</v>
      </c>
      <c r="R797" t="s">
        <v>74</v>
      </c>
      <c r="S797" t="s">
        <v>74</v>
      </c>
      <c r="T797" t="s">
        <v>14759</v>
      </c>
      <c r="U797" t="s">
        <v>14760</v>
      </c>
      <c r="V797" t="s">
        <v>14761</v>
      </c>
      <c r="W797" t="s">
        <v>14762</v>
      </c>
      <c r="X797" t="s">
        <v>13383</v>
      </c>
      <c r="Y797" t="s">
        <v>14763</v>
      </c>
      <c r="Z797" t="s">
        <v>14764</v>
      </c>
      <c r="AA797" t="s">
        <v>14765</v>
      </c>
      <c r="AB797" t="s">
        <v>14766</v>
      </c>
      <c r="AC797" t="s">
        <v>74</v>
      </c>
      <c r="AD797" t="s">
        <v>74</v>
      </c>
      <c r="AE797" t="s">
        <v>74</v>
      </c>
      <c r="AF797" t="s">
        <v>74</v>
      </c>
      <c r="AG797">
        <v>33</v>
      </c>
      <c r="AH797">
        <v>7</v>
      </c>
      <c r="AI797">
        <v>7</v>
      </c>
      <c r="AJ797">
        <v>0</v>
      </c>
      <c r="AK797">
        <v>3</v>
      </c>
      <c r="AL797" t="s">
        <v>13388</v>
      </c>
      <c r="AM797" t="s">
        <v>7259</v>
      </c>
      <c r="AN797" t="s">
        <v>13389</v>
      </c>
      <c r="AO797" t="s">
        <v>13390</v>
      </c>
      <c r="AP797" t="s">
        <v>74</v>
      </c>
      <c r="AQ797" t="s">
        <v>74</v>
      </c>
      <c r="AR797" t="s">
        <v>13378</v>
      </c>
      <c r="AS797" t="s">
        <v>13391</v>
      </c>
      <c r="AT797" t="s">
        <v>12989</v>
      </c>
      <c r="AU797">
        <v>2011</v>
      </c>
      <c r="AV797">
        <v>62</v>
      </c>
      <c r="AW797">
        <v>4</v>
      </c>
      <c r="AX797" t="s">
        <v>74</v>
      </c>
      <c r="AY797" t="s">
        <v>74</v>
      </c>
      <c r="AZ797" t="s">
        <v>339</v>
      </c>
      <c r="BA797" t="s">
        <v>74</v>
      </c>
      <c r="BB797">
        <v>513</v>
      </c>
      <c r="BC797">
        <v>534</v>
      </c>
      <c r="BD797" t="s">
        <v>74</v>
      </c>
      <c r="BE797" t="s">
        <v>74</v>
      </c>
      <c r="BF797" t="s">
        <v>74</v>
      </c>
      <c r="BG797" t="s">
        <v>74</v>
      </c>
      <c r="BH797" t="s">
        <v>74</v>
      </c>
      <c r="BI797">
        <v>22</v>
      </c>
      <c r="BJ797" t="s">
        <v>463</v>
      </c>
      <c r="BK797" t="s">
        <v>100</v>
      </c>
      <c r="BL797" t="s">
        <v>463</v>
      </c>
      <c r="BM797" t="s">
        <v>13392</v>
      </c>
      <c r="BN797" t="s">
        <v>74</v>
      </c>
      <c r="BO797" t="s">
        <v>74</v>
      </c>
      <c r="BP797" t="s">
        <v>74</v>
      </c>
      <c r="BQ797" t="s">
        <v>74</v>
      </c>
      <c r="BR797" t="s">
        <v>102</v>
      </c>
      <c r="BS797" t="s">
        <v>14767</v>
      </c>
      <c r="BT797" t="str">
        <f>HYPERLINK("https%3A%2F%2Fwww.webofscience.com%2Fwos%2Fwoscc%2Ffull-record%2FWOS:000296935900003","View Full Record in Web of Science")</f>
        <v>View Full Record in Web of Science</v>
      </c>
    </row>
    <row r="798" spans="1:72" x14ac:dyDescent="0.15">
      <c r="A798" t="s">
        <v>72</v>
      </c>
      <c r="B798" t="s">
        <v>14768</v>
      </c>
      <c r="C798" t="s">
        <v>74</v>
      </c>
      <c r="D798" t="s">
        <v>74</v>
      </c>
      <c r="E798" t="s">
        <v>74</v>
      </c>
      <c r="F798" t="s">
        <v>14769</v>
      </c>
      <c r="G798" t="s">
        <v>74</v>
      </c>
      <c r="H798" t="s">
        <v>74</v>
      </c>
      <c r="I798" t="s">
        <v>14770</v>
      </c>
      <c r="J798" t="s">
        <v>14771</v>
      </c>
      <c r="K798" t="s">
        <v>74</v>
      </c>
      <c r="L798" t="s">
        <v>74</v>
      </c>
      <c r="M798" t="s">
        <v>78</v>
      </c>
      <c r="N798" t="s">
        <v>79</v>
      </c>
      <c r="O798" t="s">
        <v>74</v>
      </c>
      <c r="P798" t="s">
        <v>74</v>
      </c>
      <c r="Q798" t="s">
        <v>74</v>
      </c>
      <c r="R798" t="s">
        <v>74</v>
      </c>
      <c r="S798" t="s">
        <v>74</v>
      </c>
      <c r="T798" t="s">
        <v>14772</v>
      </c>
      <c r="U798" t="s">
        <v>14773</v>
      </c>
      <c r="V798" t="s">
        <v>14774</v>
      </c>
      <c r="W798" t="s">
        <v>14775</v>
      </c>
      <c r="X798" t="s">
        <v>14776</v>
      </c>
      <c r="Y798" t="s">
        <v>14777</v>
      </c>
      <c r="Z798" t="s">
        <v>14778</v>
      </c>
      <c r="AA798" t="s">
        <v>14779</v>
      </c>
      <c r="AB798" t="s">
        <v>14780</v>
      </c>
      <c r="AC798" t="s">
        <v>14781</v>
      </c>
      <c r="AD798" t="s">
        <v>14782</v>
      </c>
      <c r="AE798" t="s">
        <v>14783</v>
      </c>
      <c r="AF798" t="s">
        <v>74</v>
      </c>
      <c r="AG798">
        <v>33</v>
      </c>
      <c r="AH798">
        <v>9</v>
      </c>
      <c r="AI798">
        <v>10</v>
      </c>
      <c r="AJ798">
        <v>0</v>
      </c>
      <c r="AK798">
        <v>5</v>
      </c>
      <c r="AL798" t="s">
        <v>1150</v>
      </c>
      <c r="AM798" t="s">
        <v>1151</v>
      </c>
      <c r="AN798" t="s">
        <v>1152</v>
      </c>
      <c r="AO798" t="s">
        <v>14784</v>
      </c>
      <c r="AP798" t="s">
        <v>14785</v>
      </c>
      <c r="AQ798" t="s">
        <v>74</v>
      </c>
      <c r="AR798" t="s">
        <v>14786</v>
      </c>
      <c r="AS798" t="s">
        <v>14787</v>
      </c>
      <c r="AT798" t="s">
        <v>12989</v>
      </c>
      <c r="AU798">
        <v>2011</v>
      </c>
      <c r="AV798">
        <v>22</v>
      </c>
      <c r="AW798" t="s">
        <v>74</v>
      </c>
      <c r="AX798" t="s">
        <v>74</v>
      </c>
      <c r="AY798">
        <v>1</v>
      </c>
      <c r="AZ798" t="s">
        <v>74</v>
      </c>
      <c r="BA798" t="s">
        <v>74</v>
      </c>
      <c r="BB798">
        <v>21</v>
      </c>
      <c r="BC798">
        <v>26</v>
      </c>
      <c r="BD798" t="s">
        <v>74</v>
      </c>
      <c r="BE798" t="s">
        <v>14788</v>
      </c>
      <c r="BF798" t="str">
        <f>HYPERLINK("http://dx.doi.org/10.3109/19401736.2010.532329","http://dx.doi.org/10.3109/19401736.2010.532329")</f>
        <v>http://dx.doi.org/10.3109/19401736.2010.532329</v>
      </c>
      <c r="BG798" t="s">
        <v>74</v>
      </c>
      <c r="BH798" t="s">
        <v>74</v>
      </c>
      <c r="BI798">
        <v>6</v>
      </c>
      <c r="BJ798" t="s">
        <v>14789</v>
      </c>
      <c r="BK798" t="s">
        <v>100</v>
      </c>
      <c r="BL798" t="s">
        <v>14789</v>
      </c>
      <c r="BM798" t="s">
        <v>14790</v>
      </c>
      <c r="BN798">
        <v>21271848</v>
      </c>
      <c r="BO798" t="s">
        <v>74</v>
      </c>
      <c r="BP798" t="s">
        <v>74</v>
      </c>
      <c r="BQ798" t="s">
        <v>74</v>
      </c>
      <c r="BR798" t="s">
        <v>102</v>
      </c>
      <c r="BS798" t="s">
        <v>14791</v>
      </c>
      <c r="BT798" t="str">
        <f>HYPERLINK("https%3A%2F%2Fwww.webofscience.com%2Fwos%2Fwoscc%2Ffull-record%2FWOS:000295726100005","View Full Record in Web of Science")</f>
        <v>View Full Record in Web of Science</v>
      </c>
    </row>
    <row r="799" spans="1:72" x14ac:dyDescent="0.15">
      <c r="A799" t="s">
        <v>72</v>
      </c>
      <c r="B799" t="s">
        <v>14792</v>
      </c>
      <c r="C799" t="s">
        <v>74</v>
      </c>
      <c r="D799" t="s">
        <v>74</v>
      </c>
      <c r="E799" t="s">
        <v>74</v>
      </c>
      <c r="F799" t="s">
        <v>14793</v>
      </c>
      <c r="G799" t="s">
        <v>74</v>
      </c>
      <c r="H799" t="s">
        <v>74</v>
      </c>
      <c r="I799" t="s">
        <v>14794</v>
      </c>
      <c r="J799" t="s">
        <v>11824</v>
      </c>
      <c r="K799" t="s">
        <v>74</v>
      </c>
      <c r="L799" t="s">
        <v>74</v>
      </c>
      <c r="M799" t="s">
        <v>78</v>
      </c>
      <c r="N799" t="s">
        <v>79</v>
      </c>
      <c r="O799" t="s">
        <v>74</v>
      </c>
      <c r="P799" t="s">
        <v>74</v>
      </c>
      <c r="Q799" t="s">
        <v>74</v>
      </c>
      <c r="R799" t="s">
        <v>74</v>
      </c>
      <c r="S799" t="s">
        <v>74</v>
      </c>
      <c r="T799" t="s">
        <v>14795</v>
      </c>
      <c r="U799" t="s">
        <v>14796</v>
      </c>
      <c r="V799" t="s">
        <v>14797</v>
      </c>
      <c r="W799" t="s">
        <v>14798</v>
      </c>
      <c r="X799" t="s">
        <v>14799</v>
      </c>
      <c r="Y799" t="s">
        <v>4280</v>
      </c>
      <c r="Z799" t="s">
        <v>4281</v>
      </c>
      <c r="AA799" t="s">
        <v>4282</v>
      </c>
      <c r="AB799" t="s">
        <v>4283</v>
      </c>
      <c r="AC799" t="s">
        <v>14800</v>
      </c>
      <c r="AD799" t="s">
        <v>14801</v>
      </c>
      <c r="AE799" t="s">
        <v>14802</v>
      </c>
      <c r="AF799" t="s">
        <v>74</v>
      </c>
      <c r="AG799">
        <v>101</v>
      </c>
      <c r="AH799">
        <v>64</v>
      </c>
      <c r="AI799">
        <v>66</v>
      </c>
      <c r="AJ799">
        <v>1</v>
      </c>
      <c r="AK799">
        <v>75</v>
      </c>
      <c r="AL799" t="s">
        <v>2832</v>
      </c>
      <c r="AM799" t="s">
        <v>796</v>
      </c>
      <c r="AN799" t="s">
        <v>797</v>
      </c>
      <c r="AO799" t="s">
        <v>11834</v>
      </c>
      <c r="AP799" t="s">
        <v>11857</v>
      </c>
      <c r="AQ799" t="s">
        <v>74</v>
      </c>
      <c r="AR799" t="s">
        <v>11835</v>
      </c>
      <c r="AS799" t="s">
        <v>11836</v>
      </c>
      <c r="AT799" t="s">
        <v>12989</v>
      </c>
      <c r="AU799">
        <v>2011</v>
      </c>
      <c r="AV799">
        <v>20</v>
      </c>
      <c r="AW799">
        <v>19</v>
      </c>
      <c r="AX799" t="s">
        <v>74</v>
      </c>
      <c r="AY799" t="s">
        <v>74</v>
      </c>
      <c r="AZ799" t="s">
        <v>74</v>
      </c>
      <c r="BA799" t="s">
        <v>74</v>
      </c>
      <c r="BB799">
        <v>3989</v>
      </c>
      <c r="BC799">
        <v>4008</v>
      </c>
      <c r="BD799" t="s">
        <v>74</v>
      </c>
      <c r="BE799" t="s">
        <v>14803</v>
      </c>
      <c r="BF799" t="str">
        <f>HYPERLINK("http://dx.doi.org/10.1111/j.1365-294X.2011.05248.x","http://dx.doi.org/10.1111/j.1365-294X.2011.05248.x")</f>
        <v>http://dx.doi.org/10.1111/j.1365-294X.2011.05248.x</v>
      </c>
      <c r="BG799" t="s">
        <v>74</v>
      </c>
      <c r="BH799" t="s">
        <v>74</v>
      </c>
      <c r="BI799">
        <v>20</v>
      </c>
      <c r="BJ799" t="s">
        <v>11838</v>
      </c>
      <c r="BK799" t="s">
        <v>100</v>
      </c>
      <c r="BL799" t="s">
        <v>11839</v>
      </c>
      <c r="BM799" t="s">
        <v>14804</v>
      </c>
      <c r="BN799">
        <v>21895820</v>
      </c>
      <c r="BO799" t="s">
        <v>74</v>
      </c>
      <c r="BP799" t="s">
        <v>74</v>
      </c>
      <c r="BQ799" t="s">
        <v>74</v>
      </c>
      <c r="BR799" t="s">
        <v>102</v>
      </c>
      <c r="BS799" t="s">
        <v>14805</v>
      </c>
      <c r="BT799" t="str">
        <f>HYPERLINK("https%3A%2F%2Fwww.webofscience.com%2Fwos%2Fwoscc%2Ffull-record%2FWOS:000295230000006","View Full Record in Web of Science")</f>
        <v>View Full Record in Web of Science</v>
      </c>
    </row>
    <row r="800" spans="1:72" x14ac:dyDescent="0.15">
      <c r="A800" t="s">
        <v>72</v>
      </c>
      <c r="B800" t="s">
        <v>14806</v>
      </c>
      <c r="C800" t="s">
        <v>74</v>
      </c>
      <c r="D800" t="s">
        <v>74</v>
      </c>
      <c r="E800" t="s">
        <v>74</v>
      </c>
      <c r="F800" t="s">
        <v>14807</v>
      </c>
      <c r="G800" t="s">
        <v>74</v>
      </c>
      <c r="H800" t="s">
        <v>74</v>
      </c>
      <c r="I800" t="s">
        <v>14808</v>
      </c>
      <c r="J800" t="s">
        <v>14809</v>
      </c>
      <c r="K800" t="s">
        <v>74</v>
      </c>
      <c r="L800" t="s">
        <v>74</v>
      </c>
      <c r="M800" t="s">
        <v>78</v>
      </c>
      <c r="N800" t="s">
        <v>79</v>
      </c>
      <c r="O800" t="s">
        <v>74</v>
      </c>
      <c r="P800" t="s">
        <v>74</v>
      </c>
      <c r="Q800" t="s">
        <v>74</v>
      </c>
      <c r="R800" t="s">
        <v>74</v>
      </c>
      <c r="S800" t="s">
        <v>74</v>
      </c>
      <c r="T800" t="s">
        <v>74</v>
      </c>
      <c r="U800" t="s">
        <v>14810</v>
      </c>
      <c r="V800" t="s">
        <v>14811</v>
      </c>
      <c r="W800" t="s">
        <v>14812</v>
      </c>
      <c r="X800" t="s">
        <v>527</v>
      </c>
      <c r="Y800" t="s">
        <v>14813</v>
      </c>
      <c r="Z800" t="s">
        <v>14814</v>
      </c>
      <c r="AA800" t="s">
        <v>14815</v>
      </c>
      <c r="AB800" t="s">
        <v>14816</v>
      </c>
      <c r="AC800" t="s">
        <v>14817</v>
      </c>
      <c r="AD800" t="s">
        <v>586</v>
      </c>
      <c r="AE800" t="s">
        <v>74</v>
      </c>
      <c r="AF800" t="s">
        <v>74</v>
      </c>
      <c r="AG800">
        <v>18</v>
      </c>
      <c r="AH800">
        <v>84</v>
      </c>
      <c r="AI800">
        <v>86</v>
      </c>
      <c r="AJ800">
        <v>0</v>
      </c>
      <c r="AK800">
        <v>49</v>
      </c>
      <c r="AL800" t="s">
        <v>9403</v>
      </c>
      <c r="AM800" t="s">
        <v>221</v>
      </c>
      <c r="AN800" t="s">
        <v>9404</v>
      </c>
      <c r="AO800" t="s">
        <v>14818</v>
      </c>
      <c r="AP800" t="s">
        <v>74</v>
      </c>
      <c r="AQ800" t="s">
        <v>74</v>
      </c>
      <c r="AR800" t="s">
        <v>14819</v>
      </c>
      <c r="AS800" t="s">
        <v>14820</v>
      </c>
      <c r="AT800" t="s">
        <v>12989</v>
      </c>
      <c r="AU800">
        <v>2011</v>
      </c>
      <c r="AV800">
        <v>1</v>
      </c>
      <c r="AW800">
        <v>7</v>
      </c>
      <c r="AX800" t="s">
        <v>74</v>
      </c>
      <c r="AY800" t="s">
        <v>74</v>
      </c>
      <c r="AZ800" t="s">
        <v>74</v>
      </c>
      <c r="BA800" t="s">
        <v>74</v>
      </c>
      <c r="BB800">
        <v>365</v>
      </c>
      <c r="BC800">
        <v>368</v>
      </c>
      <c r="BD800" t="s">
        <v>74</v>
      </c>
      <c r="BE800" t="s">
        <v>14821</v>
      </c>
      <c r="BF800" t="str">
        <f>HYPERLINK("http://dx.doi.org/10.1038/NCLIMATE1232","http://dx.doi.org/10.1038/NCLIMATE1232")</f>
        <v>http://dx.doi.org/10.1038/NCLIMATE1232</v>
      </c>
      <c r="BG800" t="s">
        <v>74</v>
      </c>
      <c r="BH800" t="s">
        <v>74</v>
      </c>
      <c r="BI800">
        <v>4</v>
      </c>
      <c r="BJ800" t="s">
        <v>14822</v>
      </c>
      <c r="BK800" t="s">
        <v>7768</v>
      </c>
      <c r="BL800" t="s">
        <v>1182</v>
      </c>
      <c r="BM800" t="s">
        <v>14823</v>
      </c>
      <c r="BN800" t="s">
        <v>74</v>
      </c>
      <c r="BO800" t="s">
        <v>74</v>
      </c>
      <c r="BP800" t="s">
        <v>74</v>
      </c>
      <c r="BQ800" t="s">
        <v>74</v>
      </c>
      <c r="BR800" t="s">
        <v>102</v>
      </c>
      <c r="BS800" t="s">
        <v>14824</v>
      </c>
      <c r="BT800" t="str">
        <f>HYPERLINK("https%3A%2F%2Fwww.webofscience.com%2Fwos%2Fwoscc%2Ffull-record%2FWOS:000296142400019","View Full Record in Web of Science")</f>
        <v>View Full Record in Web of Science</v>
      </c>
    </row>
    <row r="801" spans="1:72" x14ac:dyDescent="0.15">
      <c r="A801" t="s">
        <v>72</v>
      </c>
      <c r="B801" t="s">
        <v>14825</v>
      </c>
      <c r="C801" t="s">
        <v>74</v>
      </c>
      <c r="D801" t="s">
        <v>74</v>
      </c>
      <c r="E801" t="s">
        <v>74</v>
      </c>
      <c r="F801" t="s">
        <v>14826</v>
      </c>
      <c r="G801" t="s">
        <v>74</v>
      </c>
      <c r="H801" t="s">
        <v>74</v>
      </c>
      <c r="I801" t="s">
        <v>14827</v>
      </c>
      <c r="J801" t="s">
        <v>5283</v>
      </c>
      <c r="K801" t="s">
        <v>74</v>
      </c>
      <c r="L801" t="s">
        <v>74</v>
      </c>
      <c r="M801" t="s">
        <v>78</v>
      </c>
      <c r="N801" t="s">
        <v>1513</v>
      </c>
      <c r="O801" t="s">
        <v>74</v>
      </c>
      <c r="P801" t="s">
        <v>74</v>
      </c>
      <c r="Q801" t="s">
        <v>74</v>
      </c>
      <c r="R801" t="s">
        <v>74</v>
      </c>
      <c r="S801" t="s">
        <v>74</v>
      </c>
      <c r="T801" t="s">
        <v>14828</v>
      </c>
      <c r="U801" t="s">
        <v>14829</v>
      </c>
      <c r="V801" t="s">
        <v>14830</v>
      </c>
      <c r="W801" t="s">
        <v>14831</v>
      </c>
      <c r="X801" t="s">
        <v>14832</v>
      </c>
      <c r="Y801" t="s">
        <v>14833</v>
      </c>
      <c r="Z801" t="s">
        <v>14834</v>
      </c>
      <c r="AA801" t="s">
        <v>14835</v>
      </c>
      <c r="AB801" t="s">
        <v>14836</v>
      </c>
      <c r="AC801" t="s">
        <v>14837</v>
      </c>
      <c r="AD801" t="s">
        <v>14838</v>
      </c>
      <c r="AE801" t="s">
        <v>14839</v>
      </c>
      <c r="AF801" t="s">
        <v>74</v>
      </c>
      <c r="AG801">
        <v>88</v>
      </c>
      <c r="AH801">
        <v>60</v>
      </c>
      <c r="AI801">
        <v>65</v>
      </c>
      <c r="AJ801">
        <v>7</v>
      </c>
      <c r="AK801">
        <v>107</v>
      </c>
      <c r="AL801" t="s">
        <v>250</v>
      </c>
      <c r="AM801" t="s">
        <v>413</v>
      </c>
      <c r="AN801" t="s">
        <v>490</v>
      </c>
      <c r="AO801" t="s">
        <v>5295</v>
      </c>
      <c r="AP801" t="s">
        <v>5296</v>
      </c>
      <c r="AQ801" t="s">
        <v>74</v>
      </c>
      <c r="AR801" t="s">
        <v>5297</v>
      </c>
      <c r="AS801" t="s">
        <v>5298</v>
      </c>
      <c r="AT801" t="s">
        <v>12989</v>
      </c>
      <c r="AU801">
        <v>2011</v>
      </c>
      <c r="AV801">
        <v>34</v>
      </c>
      <c r="AW801">
        <v>10</v>
      </c>
      <c r="AX801" t="s">
        <v>74</v>
      </c>
      <c r="AY801" t="s">
        <v>74</v>
      </c>
      <c r="AZ801" t="s">
        <v>74</v>
      </c>
      <c r="BA801" t="s">
        <v>74</v>
      </c>
      <c r="BB801">
        <v>1421</v>
      </c>
      <c r="BC801">
        <v>1435</v>
      </c>
      <c r="BD801" t="s">
        <v>74</v>
      </c>
      <c r="BE801" t="s">
        <v>14840</v>
      </c>
      <c r="BF801" t="str">
        <f>HYPERLINK("http://dx.doi.org/10.1007/s00300-011-0997-y","http://dx.doi.org/10.1007/s00300-011-0997-y")</f>
        <v>http://dx.doi.org/10.1007/s00300-011-0997-y</v>
      </c>
      <c r="BG801" t="s">
        <v>74</v>
      </c>
      <c r="BH801" t="s">
        <v>74</v>
      </c>
      <c r="BI801">
        <v>15</v>
      </c>
      <c r="BJ801" t="s">
        <v>5300</v>
      </c>
      <c r="BK801" t="s">
        <v>100</v>
      </c>
      <c r="BL801" t="s">
        <v>3505</v>
      </c>
      <c r="BM801" t="s">
        <v>13169</v>
      </c>
      <c r="BN801" t="s">
        <v>74</v>
      </c>
      <c r="BO801" t="s">
        <v>74</v>
      </c>
      <c r="BP801" t="s">
        <v>74</v>
      </c>
      <c r="BQ801" t="s">
        <v>74</v>
      </c>
      <c r="BR801" t="s">
        <v>102</v>
      </c>
      <c r="BS801" t="s">
        <v>14841</v>
      </c>
      <c r="BT801" t="str">
        <f>HYPERLINK("https%3A%2F%2Fwww.webofscience.com%2Fwos%2Fwoscc%2Ffull-record%2FWOS:000297202300001","View Full Record in Web of Science")</f>
        <v>View Full Record in Web of Science</v>
      </c>
    </row>
    <row r="802" spans="1:72" x14ac:dyDescent="0.15">
      <c r="A802" t="s">
        <v>72</v>
      </c>
      <c r="B802" t="s">
        <v>14842</v>
      </c>
      <c r="C802" t="s">
        <v>74</v>
      </c>
      <c r="D802" t="s">
        <v>74</v>
      </c>
      <c r="E802" t="s">
        <v>74</v>
      </c>
      <c r="F802" t="s">
        <v>14843</v>
      </c>
      <c r="G802" t="s">
        <v>74</v>
      </c>
      <c r="H802" t="s">
        <v>74</v>
      </c>
      <c r="I802" t="s">
        <v>14844</v>
      </c>
      <c r="J802" t="s">
        <v>5283</v>
      </c>
      <c r="K802" t="s">
        <v>74</v>
      </c>
      <c r="L802" t="s">
        <v>74</v>
      </c>
      <c r="M802" t="s">
        <v>78</v>
      </c>
      <c r="N802" t="s">
        <v>79</v>
      </c>
      <c r="O802" t="s">
        <v>74</v>
      </c>
      <c r="P802" t="s">
        <v>74</v>
      </c>
      <c r="Q802" t="s">
        <v>74</v>
      </c>
      <c r="R802" t="s">
        <v>74</v>
      </c>
      <c r="S802" t="s">
        <v>74</v>
      </c>
      <c r="T802" t="s">
        <v>14845</v>
      </c>
      <c r="U802" t="s">
        <v>14846</v>
      </c>
      <c r="V802" t="s">
        <v>14847</v>
      </c>
      <c r="W802" t="s">
        <v>14848</v>
      </c>
      <c r="X802" t="s">
        <v>14849</v>
      </c>
      <c r="Y802" t="s">
        <v>14850</v>
      </c>
      <c r="Z802" t="s">
        <v>14851</v>
      </c>
      <c r="AA802" t="s">
        <v>14852</v>
      </c>
      <c r="AB802" t="s">
        <v>14853</v>
      </c>
      <c r="AC802" t="s">
        <v>14854</v>
      </c>
      <c r="AD802" t="s">
        <v>14855</v>
      </c>
      <c r="AE802" t="s">
        <v>14856</v>
      </c>
      <c r="AF802" t="s">
        <v>74</v>
      </c>
      <c r="AG802">
        <v>75</v>
      </c>
      <c r="AH802">
        <v>20</v>
      </c>
      <c r="AI802">
        <v>22</v>
      </c>
      <c r="AJ802">
        <v>1</v>
      </c>
      <c r="AK802">
        <v>42</v>
      </c>
      <c r="AL802" t="s">
        <v>250</v>
      </c>
      <c r="AM802" t="s">
        <v>413</v>
      </c>
      <c r="AN802" t="s">
        <v>514</v>
      </c>
      <c r="AO802" t="s">
        <v>5295</v>
      </c>
      <c r="AP802" t="s">
        <v>5296</v>
      </c>
      <c r="AQ802" t="s">
        <v>74</v>
      </c>
      <c r="AR802" t="s">
        <v>5297</v>
      </c>
      <c r="AS802" t="s">
        <v>5298</v>
      </c>
      <c r="AT802" t="s">
        <v>12989</v>
      </c>
      <c r="AU802">
        <v>2011</v>
      </c>
      <c r="AV802">
        <v>34</v>
      </c>
      <c r="AW802">
        <v>10</v>
      </c>
      <c r="AX802" t="s">
        <v>74</v>
      </c>
      <c r="AY802" t="s">
        <v>74</v>
      </c>
      <c r="AZ802" t="s">
        <v>74</v>
      </c>
      <c r="BA802" t="s">
        <v>74</v>
      </c>
      <c r="BB802">
        <v>1501</v>
      </c>
      <c r="BC802">
        <v>1512</v>
      </c>
      <c r="BD802" t="s">
        <v>74</v>
      </c>
      <c r="BE802" t="s">
        <v>14857</v>
      </c>
      <c r="BF802" t="str">
        <f>HYPERLINK("http://dx.doi.org/10.1007/s00300-011-1009-y","http://dx.doi.org/10.1007/s00300-011-1009-y")</f>
        <v>http://dx.doi.org/10.1007/s00300-011-1009-y</v>
      </c>
      <c r="BG802" t="s">
        <v>74</v>
      </c>
      <c r="BH802" t="s">
        <v>74</v>
      </c>
      <c r="BI802">
        <v>12</v>
      </c>
      <c r="BJ802" t="s">
        <v>5300</v>
      </c>
      <c r="BK802" t="s">
        <v>100</v>
      </c>
      <c r="BL802" t="s">
        <v>3505</v>
      </c>
      <c r="BM802" t="s">
        <v>13169</v>
      </c>
      <c r="BN802" t="s">
        <v>74</v>
      </c>
      <c r="BO802" t="s">
        <v>74</v>
      </c>
      <c r="BP802" t="s">
        <v>74</v>
      </c>
      <c r="BQ802" t="s">
        <v>74</v>
      </c>
      <c r="BR802" t="s">
        <v>102</v>
      </c>
      <c r="BS802" t="s">
        <v>14858</v>
      </c>
      <c r="BT802" t="str">
        <f>HYPERLINK("https%3A%2F%2Fwww.webofscience.com%2Fwos%2Fwoscc%2Ffull-record%2FWOS:000297202300008","View Full Record in Web of Science")</f>
        <v>View Full Record in Web of Science</v>
      </c>
    </row>
    <row r="803" spans="1:72" x14ac:dyDescent="0.15">
      <c r="A803" t="s">
        <v>72</v>
      </c>
      <c r="B803" t="s">
        <v>14859</v>
      </c>
      <c r="C803" t="s">
        <v>74</v>
      </c>
      <c r="D803" t="s">
        <v>74</v>
      </c>
      <c r="E803" t="s">
        <v>74</v>
      </c>
      <c r="F803" t="s">
        <v>14860</v>
      </c>
      <c r="G803" t="s">
        <v>74</v>
      </c>
      <c r="H803" t="s">
        <v>74</v>
      </c>
      <c r="I803" t="s">
        <v>14861</v>
      </c>
      <c r="J803" t="s">
        <v>5283</v>
      </c>
      <c r="K803" t="s">
        <v>74</v>
      </c>
      <c r="L803" t="s">
        <v>74</v>
      </c>
      <c r="M803" t="s">
        <v>78</v>
      </c>
      <c r="N803" t="s">
        <v>79</v>
      </c>
      <c r="O803" t="s">
        <v>74</v>
      </c>
      <c r="P803" t="s">
        <v>74</v>
      </c>
      <c r="Q803" t="s">
        <v>74</v>
      </c>
      <c r="R803" t="s">
        <v>74</v>
      </c>
      <c r="S803" t="s">
        <v>74</v>
      </c>
      <c r="T803" t="s">
        <v>14862</v>
      </c>
      <c r="U803" t="s">
        <v>14863</v>
      </c>
      <c r="V803" t="s">
        <v>14864</v>
      </c>
      <c r="W803" t="s">
        <v>14865</v>
      </c>
      <c r="X803" t="s">
        <v>14866</v>
      </c>
      <c r="Y803" t="s">
        <v>14867</v>
      </c>
      <c r="Z803" t="s">
        <v>14868</v>
      </c>
      <c r="AA803" t="s">
        <v>14869</v>
      </c>
      <c r="AB803" t="s">
        <v>14870</v>
      </c>
      <c r="AC803" t="s">
        <v>14871</v>
      </c>
      <c r="AD803" t="s">
        <v>14872</v>
      </c>
      <c r="AE803" t="s">
        <v>14873</v>
      </c>
      <c r="AF803" t="s">
        <v>74</v>
      </c>
      <c r="AG803">
        <v>46</v>
      </c>
      <c r="AH803">
        <v>48</v>
      </c>
      <c r="AI803">
        <v>56</v>
      </c>
      <c r="AJ803">
        <v>1</v>
      </c>
      <c r="AK803">
        <v>43</v>
      </c>
      <c r="AL803" t="s">
        <v>250</v>
      </c>
      <c r="AM803" t="s">
        <v>413</v>
      </c>
      <c r="AN803" t="s">
        <v>490</v>
      </c>
      <c r="AO803" t="s">
        <v>5295</v>
      </c>
      <c r="AP803" t="s">
        <v>5296</v>
      </c>
      <c r="AQ803" t="s">
        <v>74</v>
      </c>
      <c r="AR803" t="s">
        <v>5297</v>
      </c>
      <c r="AS803" t="s">
        <v>5298</v>
      </c>
      <c r="AT803" t="s">
        <v>12989</v>
      </c>
      <c r="AU803">
        <v>2011</v>
      </c>
      <c r="AV803">
        <v>34</v>
      </c>
      <c r="AW803">
        <v>10</v>
      </c>
      <c r="AX803" t="s">
        <v>74</v>
      </c>
      <c r="AY803" t="s">
        <v>74</v>
      </c>
      <c r="AZ803" t="s">
        <v>74</v>
      </c>
      <c r="BA803" t="s">
        <v>74</v>
      </c>
      <c r="BB803">
        <v>1535</v>
      </c>
      <c r="BC803">
        <v>1542</v>
      </c>
      <c r="BD803" t="s">
        <v>74</v>
      </c>
      <c r="BE803" t="s">
        <v>14874</v>
      </c>
      <c r="BF803" t="str">
        <f>HYPERLINK("http://dx.doi.org/10.1007/s00300-011-1012-3","http://dx.doi.org/10.1007/s00300-011-1012-3")</f>
        <v>http://dx.doi.org/10.1007/s00300-011-1012-3</v>
      </c>
      <c r="BG803" t="s">
        <v>74</v>
      </c>
      <c r="BH803" t="s">
        <v>74</v>
      </c>
      <c r="BI803">
        <v>8</v>
      </c>
      <c r="BJ803" t="s">
        <v>5300</v>
      </c>
      <c r="BK803" t="s">
        <v>100</v>
      </c>
      <c r="BL803" t="s">
        <v>3505</v>
      </c>
      <c r="BM803" t="s">
        <v>13169</v>
      </c>
      <c r="BN803" t="s">
        <v>74</v>
      </c>
      <c r="BO803" t="s">
        <v>74</v>
      </c>
      <c r="BP803" t="s">
        <v>74</v>
      </c>
      <c r="BQ803" t="s">
        <v>74</v>
      </c>
      <c r="BR803" t="s">
        <v>102</v>
      </c>
      <c r="BS803" t="s">
        <v>14875</v>
      </c>
      <c r="BT803" t="str">
        <f>HYPERLINK("https%3A%2F%2Fwww.webofscience.com%2Fwos%2Fwoscc%2Ffull-record%2FWOS:000297202300011","View Full Record in Web of Science")</f>
        <v>View Full Record in Web of Science</v>
      </c>
    </row>
    <row r="804" spans="1:72" x14ac:dyDescent="0.15">
      <c r="A804" t="s">
        <v>72</v>
      </c>
      <c r="B804" t="s">
        <v>14876</v>
      </c>
      <c r="C804" t="s">
        <v>74</v>
      </c>
      <c r="D804" t="s">
        <v>74</v>
      </c>
      <c r="E804" t="s">
        <v>74</v>
      </c>
      <c r="F804" t="s">
        <v>14877</v>
      </c>
      <c r="G804" t="s">
        <v>74</v>
      </c>
      <c r="H804" t="s">
        <v>74</v>
      </c>
      <c r="I804" t="s">
        <v>14878</v>
      </c>
      <c r="J804" t="s">
        <v>5283</v>
      </c>
      <c r="K804" t="s">
        <v>74</v>
      </c>
      <c r="L804" t="s">
        <v>74</v>
      </c>
      <c r="M804" t="s">
        <v>78</v>
      </c>
      <c r="N804" t="s">
        <v>79</v>
      </c>
      <c r="O804" t="s">
        <v>74</v>
      </c>
      <c r="P804" t="s">
        <v>74</v>
      </c>
      <c r="Q804" t="s">
        <v>74</v>
      </c>
      <c r="R804" t="s">
        <v>74</v>
      </c>
      <c r="S804" t="s">
        <v>74</v>
      </c>
      <c r="T804" t="s">
        <v>14879</v>
      </c>
      <c r="U804" t="s">
        <v>14880</v>
      </c>
      <c r="V804" t="s">
        <v>14881</v>
      </c>
      <c r="W804" t="s">
        <v>14882</v>
      </c>
      <c r="X804" t="s">
        <v>14883</v>
      </c>
      <c r="Y804" t="s">
        <v>14884</v>
      </c>
      <c r="Z804" t="s">
        <v>14885</v>
      </c>
      <c r="AA804" t="s">
        <v>74</v>
      </c>
      <c r="AB804" t="s">
        <v>74</v>
      </c>
      <c r="AC804" t="s">
        <v>74</v>
      </c>
      <c r="AD804" t="s">
        <v>74</v>
      </c>
      <c r="AE804" t="s">
        <v>74</v>
      </c>
      <c r="AF804" t="s">
        <v>74</v>
      </c>
      <c r="AG804">
        <v>23</v>
      </c>
      <c r="AH804">
        <v>10</v>
      </c>
      <c r="AI804">
        <v>12</v>
      </c>
      <c r="AJ804">
        <v>0</v>
      </c>
      <c r="AK804">
        <v>47</v>
      </c>
      <c r="AL804" t="s">
        <v>250</v>
      </c>
      <c r="AM804" t="s">
        <v>413</v>
      </c>
      <c r="AN804" t="s">
        <v>514</v>
      </c>
      <c r="AO804" t="s">
        <v>5295</v>
      </c>
      <c r="AP804" t="s">
        <v>74</v>
      </c>
      <c r="AQ804" t="s">
        <v>74</v>
      </c>
      <c r="AR804" t="s">
        <v>5297</v>
      </c>
      <c r="AS804" t="s">
        <v>5298</v>
      </c>
      <c r="AT804" t="s">
        <v>12989</v>
      </c>
      <c r="AU804">
        <v>2011</v>
      </c>
      <c r="AV804">
        <v>34</v>
      </c>
      <c r="AW804">
        <v>10</v>
      </c>
      <c r="AX804" t="s">
        <v>74</v>
      </c>
      <c r="AY804" t="s">
        <v>74</v>
      </c>
      <c r="AZ804" t="s">
        <v>74</v>
      </c>
      <c r="BA804" t="s">
        <v>74</v>
      </c>
      <c r="BB804">
        <v>1615</v>
      </c>
      <c r="BC804">
        <v>1620</v>
      </c>
      <c r="BD804" t="s">
        <v>74</v>
      </c>
      <c r="BE804" t="s">
        <v>14886</v>
      </c>
      <c r="BF804" t="str">
        <f>HYPERLINK("http://dx.doi.org/10.1007/s00300-011-0994-1","http://dx.doi.org/10.1007/s00300-011-0994-1")</f>
        <v>http://dx.doi.org/10.1007/s00300-011-0994-1</v>
      </c>
      <c r="BG804" t="s">
        <v>74</v>
      </c>
      <c r="BH804" t="s">
        <v>74</v>
      </c>
      <c r="BI804">
        <v>6</v>
      </c>
      <c r="BJ804" t="s">
        <v>5300</v>
      </c>
      <c r="BK804" t="s">
        <v>100</v>
      </c>
      <c r="BL804" t="s">
        <v>3505</v>
      </c>
      <c r="BM804" t="s">
        <v>13169</v>
      </c>
      <c r="BN804" t="s">
        <v>74</v>
      </c>
      <c r="BO804" t="s">
        <v>74</v>
      </c>
      <c r="BP804" t="s">
        <v>74</v>
      </c>
      <c r="BQ804" t="s">
        <v>74</v>
      </c>
      <c r="BR804" t="s">
        <v>102</v>
      </c>
      <c r="BS804" t="s">
        <v>14887</v>
      </c>
      <c r="BT804" t="str">
        <f>HYPERLINK("https%3A%2F%2Fwww.webofscience.com%2Fwos%2Fwoscc%2Ffull-record%2FWOS:000297202300019","View Full Record in Web of Science")</f>
        <v>View Full Record in Web of Science</v>
      </c>
    </row>
    <row r="805" spans="1:72" x14ac:dyDescent="0.15">
      <c r="A805" t="s">
        <v>72</v>
      </c>
      <c r="B805" t="s">
        <v>14888</v>
      </c>
      <c r="C805" t="s">
        <v>74</v>
      </c>
      <c r="D805" t="s">
        <v>74</v>
      </c>
      <c r="E805" t="s">
        <v>74</v>
      </c>
      <c r="F805" t="s">
        <v>14889</v>
      </c>
      <c r="G805" t="s">
        <v>74</v>
      </c>
      <c r="H805" t="s">
        <v>74</v>
      </c>
      <c r="I805" t="s">
        <v>14890</v>
      </c>
      <c r="J805" t="s">
        <v>5283</v>
      </c>
      <c r="K805" t="s">
        <v>74</v>
      </c>
      <c r="L805" t="s">
        <v>74</v>
      </c>
      <c r="M805" t="s">
        <v>78</v>
      </c>
      <c r="N805" t="s">
        <v>79</v>
      </c>
      <c r="O805" t="s">
        <v>74</v>
      </c>
      <c r="P805" t="s">
        <v>74</v>
      </c>
      <c r="Q805" t="s">
        <v>74</v>
      </c>
      <c r="R805" t="s">
        <v>74</v>
      </c>
      <c r="S805" t="s">
        <v>74</v>
      </c>
      <c r="T805" t="s">
        <v>14891</v>
      </c>
      <c r="U805" t="s">
        <v>14892</v>
      </c>
      <c r="V805" t="s">
        <v>14893</v>
      </c>
      <c r="W805" t="s">
        <v>14894</v>
      </c>
      <c r="X805" t="s">
        <v>14895</v>
      </c>
      <c r="Y805" t="s">
        <v>14896</v>
      </c>
      <c r="Z805" t="s">
        <v>14897</v>
      </c>
      <c r="AA805" t="s">
        <v>14898</v>
      </c>
      <c r="AB805" t="s">
        <v>14899</v>
      </c>
      <c r="AC805" t="s">
        <v>14900</v>
      </c>
      <c r="AD805" t="s">
        <v>14901</v>
      </c>
      <c r="AE805" t="s">
        <v>14902</v>
      </c>
      <c r="AF805" t="s">
        <v>74</v>
      </c>
      <c r="AG805">
        <v>30</v>
      </c>
      <c r="AH805">
        <v>25</v>
      </c>
      <c r="AI805">
        <v>29</v>
      </c>
      <c r="AJ805">
        <v>1</v>
      </c>
      <c r="AK805">
        <v>22</v>
      </c>
      <c r="AL805" t="s">
        <v>250</v>
      </c>
      <c r="AM805" t="s">
        <v>413</v>
      </c>
      <c r="AN805" t="s">
        <v>514</v>
      </c>
      <c r="AO805" t="s">
        <v>5295</v>
      </c>
      <c r="AP805" t="s">
        <v>74</v>
      </c>
      <c r="AQ805" t="s">
        <v>74</v>
      </c>
      <c r="AR805" t="s">
        <v>5297</v>
      </c>
      <c r="AS805" t="s">
        <v>5298</v>
      </c>
      <c r="AT805" t="s">
        <v>12989</v>
      </c>
      <c r="AU805">
        <v>2011</v>
      </c>
      <c r="AV805">
        <v>34</v>
      </c>
      <c r="AW805">
        <v>10</v>
      </c>
      <c r="AX805" t="s">
        <v>74</v>
      </c>
      <c r="AY805" t="s">
        <v>74</v>
      </c>
      <c r="AZ805" t="s">
        <v>74</v>
      </c>
      <c r="BA805" t="s">
        <v>74</v>
      </c>
      <c r="BB805">
        <v>1621</v>
      </c>
      <c r="BC805">
        <v>1624</v>
      </c>
      <c r="BD805" t="s">
        <v>74</v>
      </c>
      <c r="BE805" t="s">
        <v>14903</v>
      </c>
      <c r="BF805" t="str">
        <f>HYPERLINK("http://dx.doi.org/10.1007/s00300-011-1000-7","http://dx.doi.org/10.1007/s00300-011-1000-7")</f>
        <v>http://dx.doi.org/10.1007/s00300-011-1000-7</v>
      </c>
      <c r="BG805" t="s">
        <v>74</v>
      </c>
      <c r="BH805" t="s">
        <v>74</v>
      </c>
      <c r="BI805">
        <v>4</v>
      </c>
      <c r="BJ805" t="s">
        <v>5300</v>
      </c>
      <c r="BK805" t="s">
        <v>100</v>
      </c>
      <c r="BL805" t="s">
        <v>3505</v>
      </c>
      <c r="BM805" t="s">
        <v>13169</v>
      </c>
      <c r="BN805" t="s">
        <v>74</v>
      </c>
      <c r="BO805" t="s">
        <v>1133</v>
      </c>
      <c r="BP805" t="s">
        <v>74</v>
      </c>
      <c r="BQ805" t="s">
        <v>74</v>
      </c>
      <c r="BR805" t="s">
        <v>102</v>
      </c>
      <c r="BS805" t="s">
        <v>14904</v>
      </c>
      <c r="BT805" t="str">
        <f>HYPERLINK("https%3A%2F%2Fwww.webofscience.com%2Fwos%2Fwoscc%2Ffull-record%2FWOS:000297202300020","View Full Record in Web of Science")</f>
        <v>View Full Record in Web of Science</v>
      </c>
    </row>
    <row r="806" spans="1:72" x14ac:dyDescent="0.15">
      <c r="A806" t="s">
        <v>72</v>
      </c>
      <c r="B806" t="s">
        <v>14905</v>
      </c>
      <c r="C806" t="s">
        <v>74</v>
      </c>
      <c r="D806" t="s">
        <v>74</v>
      </c>
      <c r="E806" t="s">
        <v>74</v>
      </c>
      <c r="F806" t="s">
        <v>14906</v>
      </c>
      <c r="G806" t="s">
        <v>74</v>
      </c>
      <c r="H806" t="s">
        <v>74</v>
      </c>
      <c r="I806" t="s">
        <v>14907</v>
      </c>
      <c r="J806" t="s">
        <v>13570</v>
      </c>
      <c r="K806" t="s">
        <v>74</v>
      </c>
      <c r="L806" t="s">
        <v>74</v>
      </c>
      <c r="M806" t="s">
        <v>78</v>
      </c>
      <c r="N806" t="s">
        <v>810</v>
      </c>
      <c r="O806" t="s">
        <v>74</v>
      </c>
      <c r="P806" t="s">
        <v>74</v>
      </c>
      <c r="Q806" t="s">
        <v>74</v>
      </c>
      <c r="R806" t="s">
        <v>74</v>
      </c>
      <c r="S806" t="s">
        <v>74</v>
      </c>
      <c r="T806" t="s">
        <v>74</v>
      </c>
      <c r="U806" t="s">
        <v>74</v>
      </c>
      <c r="V806" t="s">
        <v>14908</v>
      </c>
      <c r="W806" t="s">
        <v>14909</v>
      </c>
      <c r="X806" t="s">
        <v>74</v>
      </c>
      <c r="Y806" t="s">
        <v>14910</v>
      </c>
      <c r="Z806" t="s">
        <v>14911</v>
      </c>
      <c r="AA806" t="s">
        <v>74</v>
      </c>
      <c r="AB806" t="s">
        <v>74</v>
      </c>
      <c r="AC806" t="s">
        <v>74</v>
      </c>
      <c r="AD806" t="s">
        <v>74</v>
      </c>
      <c r="AE806" t="s">
        <v>74</v>
      </c>
      <c r="AF806" t="s">
        <v>74</v>
      </c>
      <c r="AG806">
        <v>10</v>
      </c>
      <c r="AH806">
        <v>0</v>
      </c>
      <c r="AI806">
        <v>0</v>
      </c>
      <c r="AJ806">
        <v>0</v>
      </c>
      <c r="AK806">
        <v>1</v>
      </c>
      <c r="AL806" t="s">
        <v>813</v>
      </c>
      <c r="AM806" t="s">
        <v>413</v>
      </c>
      <c r="AN806" t="s">
        <v>7426</v>
      </c>
      <c r="AO806" t="s">
        <v>13574</v>
      </c>
      <c r="AP806" t="s">
        <v>74</v>
      </c>
      <c r="AQ806" t="s">
        <v>74</v>
      </c>
      <c r="AR806" t="s">
        <v>13575</v>
      </c>
      <c r="AS806" t="s">
        <v>13576</v>
      </c>
      <c r="AT806" t="s">
        <v>12989</v>
      </c>
      <c r="AU806">
        <v>2011</v>
      </c>
      <c r="AV806">
        <v>47</v>
      </c>
      <c r="AW806">
        <v>243</v>
      </c>
      <c r="AX806" t="s">
        <v>74</v>
      </c>
      <c r="AY806" t="s">
        <v>74</v>
      </c>
      <c r="AZ806" t="s">
        <v>74</v>
      </c>
      <c r="BA806" t="s">
        <v>74</v>
      </c>
      <c r="BB806">
        <v>374</v>
      </c>
      <c r="BC806">
        <v>377</v>
      </c>
      <c r="BD806" t="s">
        <v>74</v>
      </c>
      <c r="BE806" t="s">
        <v>14912</v>
      </c>
      <c r="BF806" t="str">
        <f>HYPERLINK("http://dx.doi.org/10.1017/S003224741100009X","http://dx.doi.org/10.1017/S003224741100009X")</f>
        <v>http://dx.doi.org/10.1017/S003224741100009X</v>
      </c>
      <c r="BG806" t="s">
        <v>74</v>
      </c>
      <c r="BH806" t="s">
        <v>74</v>
      </c>
      <c r="BI806">
        <v>5</v>
      </c>
      <c r="BJ806" t="s">
        <v>13578</v>
      </c>
      <c r="BK806" t="s">
        <v>100</v>
      </c>
      <c r="BL806" t="s">
        <v>2837</v>
      </c>
      <c r="BM806" t="s">
        <v>13579</v>
      </c>
      <c r="BN806" t="s">
        <v>74</v>
      </c>
      <c r="BO806" t="s">
        <v>74</v>
      </c>
      <c r="BP806" t="s">
        <v>74</v>
      </c>
      <c r="BQ806" t="s">
        <v>74</v>
      </c>
      <c r="BR806" t="s">
        <v>102</v>
      </c>
      <c r="BS806" t="s">
        <v>14913</v>
      </c>
      <c r="BT806" t="str">
        <f>HYPERLINK("https%3A%2F%2Fwww.webofscience.com%2Fwos%2Fwoscc%2Ffull-record%2FWOS:000295364900008","View Full Record in Web of Science")</f>
        <v>View Full Record in Web of Science</v>
      </c>
    </row>
    <row r="807" spans="1:72" x14ac:dyDescent="0.15">
      <c r="A807" t="s">
        <v>72</v>
      </c>
      <c r="B807" t="s">
        <v>14914</v>
      </c>
      <c r="C807" t="s">
        <v>74</v>
      </c>
      <c r="D807" t="s">
        <v>74</v>
      </c>
      <c r="E807" t="s">
        <v>74</v>
      </c>
      <c r="F807" t="s">
        <v>14915</v>
      </c>
      <c r="G807" t="s">
        <v>74</v>
      </c>
      <c r="H807" t="s">
        <v>74</v>
      </c>
      <c r="I807" t="s">
        <v>14916</v>
      </c>
      <c r="J807" t="s">
        <v>13137</v>
      </c>
      <c r="K807" t="s">
        <v>74</v>
      </c>
      <c r="L807" t="s">
        <v>74</v>
      </c>
      <c r="M807" t="s">
        <v>78</v>
      </c>
      <c r="N807" t="s">
        <v>79</v>
      </c>
      <c r="O807" t="s">
        <v>74</v>
      </c>
      <c r="P807" t="s">
        <v>74</v>
      </c>
      <c r="Q807" t="s">
        <v>74</v>
      </c>
      <c r="R807" t="s">
        <v>74</v>
      </c>
      <c r="S807" t="s">
        <v>74</v>
      </c>
      <c r="T807" t="s">
        <v>14917</v>
      </c>
      <c r="U807" t="s">
        <v>14918</v>
      </c>
      <c r="V807" t="s">
        <v>14919</v>
      </c>
      <c r="W807" t="s">
        <v>14920</v>
      </c>
      <c r="X807" t="s">
        <v>14921</v>
      </c>
      <c r="Y807" t="s">
        <v>14922</v>
      </c>
      <c r="Z807" t="s">
        <v>14923</v>
      </c>
      <c r="AA807" t="s">
        <v>14924</v>
      </c>
      <c r="AB807" t="s">
        <v>14925</v>
      </c>
      <c r="AC807" t="s">
        <v>14926</v>
      </c>
      <c r="AD807" t="s">
        <v>14927</v>
      </c>
      <c r="AE807" t="s">
        <v>14928</v>
      </c>
      <c r="AF807" t="s">
        <v>74</v>
      </c>
      <c r="AG807">
        <v>32</v>
      </c>
      <c r="AH807">
        <v>51</v>
      </c>
      <c r="AI807">
        <v>52</v>
      </c>
      <c r="AJ807">
        <v>0</v>
      </c>
      <c r="AK807">
        <v>23</v>
      </c>
      <c r="AL807" t="s">
        <v>2832</v>
      </c>
      <c r="AM807" t="s">
        <v>796</v>
      </c>
      <c r="AN807" t="s">
        <v>797</v>
      </c>
      <c r="AO807" t="s">
        <v>13148</v>
      </c>
      <c r="AP807" t="s">
        <v>14929</v>
      </c>
      <c r="AQ807" t="s">
        <v>74</v>
      </c>
      <c r="AR807" t="s">
        <v>13149</v>
      </c>
      <c r="AS807" t="s">
        <v>13150</v>
      </c>
      <c r="AT807" t="s">
        <v>12989</v>
      </c>
      <c r="AU807">
        <v>2011</v>
      </c>
      <c r="AV807">
        <v>137</v>
      </c>
      <c r="AW807">
        <v>661</v>
      </c>
      <c r="AX807" t="s">
        <v>517</v>
      </c>
      <c r="AY807" t="s">
        <v>74</v>
      </c>
      <c r="AZ807" t="s">
        <v>339</v>
      </c>
      <c r="BA807" t="s">
        <v>74</v>
      </c>
      <c r="BB807">
        <v>2064</v>
      </c>
      <c r="BC807">
        <v>2078</v>
      </c>
      <c r="BD807" t="s">
        <v>74</v>
      </c>
      <c r="BE807" t="s">
        <v>14930</v>
      </c>
      <c r="BF807" t="str">
        <f>HYPERLINK("http://dx.doi.org/10.1002/qj.882","http://dx.doi.org/10.1002/qj.882")</f>
        <v>http://dx.doi.org/10.1002/qj.882</v>
      </c>
      <c r="BG807" t="s">
        <v>74</v>
      </c>
      <c r="BH807" t="s">
        <v>74</v>
      </c>
      <c r="BI807">
        <v>15</v>
      </c>
      <c r="BJ807" t="s">
        <v>463</v>
      </c>
      <c r="BK807" t="s">
        <v>100</v>
      </c>
      <c r="BL807" t="s">
        <v>463</v>
      </c>
      <c r="BM807" t="s">
        <v>14931</v>
      </c>
      <c r="BN807" t="s">
        <v>74</v>
      </c>
      <c r="BO807" t="s">
        <v>74</v>
      </c>
      <c r="BP807" t="s">
        <v>74</v>
      </c>
      <c r="BQ807" t="s">
        <v>74</v>
      </c>
      <c r="BR807" t="s">
        <v>102</v>
      </c>
      <c r="BS807" t="s">
        <v>14932</v>
      </c>
      <c r="BT807" t="str">
        <f>HYPERLINK("https%3A%2F%2Fwww.webofscience.com%2Fwos%2Fwoscc%2Ffull-record%2FWOS:000298389300012","View Full Record in Web of Science")</f>
        <v>View Full Record in Web of Science</v>
      </c>
    </row>
    <row r="808" spans="1:72" x14ac:dyDescent="0.15">
      <c r="A808" t="s">
        <v>72</v>
      </c>
      <c r="B808" t="s">
        <v>14933</v>
      </c>
      <c r="C808" t="s">
        <v>74</v>
      </c>
      <c r="D808" t="s">
        <v>74</v>
      </c>
      <c r="E808" t="s">
        <v>74</v>
      </c>
      <c r="F808" t="s">
        <v>14934</v>
      </c>
      <c r="G808" t="s">
        <v>74</v>
      </c>
      <c r="H808" t="s">
        <v>74</v>
      </c>
      <c r="I808" t="s">
        <v>14935</v>
      </c>
      <c r="J808" t="s">
        <v>8925</v>
      </c>
      <c r="K808" t="s">
        <v>74</v>
      </c>
      <c r="L808" t="s">
        <v>74</v>
      </c>
      <c r="M808" t="s">
        <v>78</v>
      </c>
      <c r="N808" t="s">
        <v>79</v>
      </c>
      <c r="O808" t="s">
        <v>74</v>
      </c>
      <c r="P808" t="s">
        <v>74</v>
      </c>
      <c r="Q808" t="s">
        <v>74</v>
      </c>
      <c r="R808" t="s">
        <v>74</v>
      </c>
      <c r="S808" t="s">
        <v>74</v>
      </c>
      <c r="T808" t="s">
        <v>14936</v>
      </c>
      <c r="U808" t="s">
        <v>14937</v>
      </c>
      <c r="V808" t="s">
        <v>14938</v>
      </c>
      <c r="W808" t="s">
        <v>14939</v>
      </c>
      <c r="X808" t="s">
        <v>14940</v>
      </c>
      <c r="Y808" t="s">
        <v>14941</v>
      </c>
      <c r="Z808" t="s">
        <v>14942</v>
      </c>
      <c r="AA808" t="s">
        <v>14943</v>
      </c>
      <c r="AB808" t="s">
        <v>14944</v>
      </c>
      <c r="AC808" t="s">
        <v>14945</v>
      </c>
      <c r="AD808" t="s">
        <v>14946</v>
      </c>
      <c r="AE808" t="s">
        <v>14947</v>
      </c>
      <c r="AF808" t="s">
        <v>74</v>
      </c>
      <c r="AG808">
        <v>31</v>
      </c>
      <c r="AH808">
        <v>11</v>
      </c>
      <c r="AI808">
        <v>11</v>
      </c>
      <c r="AJ808">
        <v>0</v>
      </c>
      <c r="AK808">
        <v>8</v>
      </c>
      <c r="AL808" t="s">
        <v>155</v>
      </c>
      <c r="AM808" t="s">
        <v>156</v>
      </c>
      <c r="AN808" t="s">
        <v>157</v>
      </c>
      <c r="AO808" t="s">
        <v>8938</v>
      </c>
      <c r="AP808" t="s">
        <v>74</v>
      </c>
      <c r="AQ808" t="s">
        <v>74</v>
      </c>
      <c r="AR808" t="s">
        <v>8939</v>
      </c>
      <c r="AS808" t="s">
        <v>8940</v>
      </c>
      <c r="AT808" t="s">
        <v>12989</v>
      </c>
      <c r="AU808">
        <v>2011</v>
      </c>
      <c r="AV808">
        <v>30</v>
      </c>
      <c r="AW808" t="s">
        <v>10981</v>
      </c>
      <c r="AX808" t="s">
        <v>74</v>
      </c>
      <c r="AY808" t="s">
        <v>74</v>
      </c>
      <c r="AZ808" t="s">
        <v>74</v>
      </c>
      <c r="BA808" t="s">
        <v>74</v>
      </c>
      <c r="BB808">
        <v>2961</v>
      </c>
      <c r="BC808">
        <v>2975</v>
      </c>
      <c r="BD808" t="s">
        <v>74</v>
      </c>
      <c r="BE808" t="s">
        <v>14948</v>
      </c>
      <c r="BF808" t="str">
        <f>HYPERLINK("http://dx.doi.org/10.1016/j.quascirev.2011.03.008","http://dx.doi.org/10.1016/j.quascirev.2011.03.008")</f>
        <v>http://dx.doi.org/10.1016/j.quascirev.2011.03.008</v>
      </c>
      <c r="BG808" t="s">
        <v>74</v>
      </c>
      <c r="BH808" t="s">
        <v>74</v>
      </c>
      <c r="BI808">
        <v>15</v>
      </c>
      <c r="BJ808" t="s">
        <v>226</v>
      </c>
      <c r="BK808" t="s">
        <v>100</v>
      </c>
      <c r="BL808" t="s">
        <v>227</v>
      </c>
      <c r="BM808" t="s">
        <v>14949</v>
      </c>
      <c r="BN808" t="s">
        <v>74</v>
      </c>
      <c r="BO808" t="s">
        <v>74</v>
      </c>
      <c r="BP808" t="s">
        <v>74</v>
      </c>
      <c r="BQ808" t="s">
        <v>74</v>
      </c>
      <c r="BR808" t="s">
        <v>102</v>
      </c>
      <c r="BS808" t="s">
        <v>14950</v>
      </c>
      <c r="BT808" t="str">
        <f>HYPERLINK("https%3A%2F%2Fwww.webofscience.com%2Fwos%2Fwoscc%2Ffull-record%2FWOS:000295663500007","View Full Record in Web of Science")</f>
        <v>View Full Record in Web of Science</v>
      </c>
    </row>
    <row r="809" spans="1:72" x14ac:dyDescent="0.15">
      <c r="A809" t="s">
        <v>72</v>
      </c>
      <c r="B809" t="s">
        <v>14951</v>
      </c>
      <c r="C809" t="s">
        <v>74</v>
      </c>
      <c r="D809" t="s">
        <v>74</v>
      </c>
      <c r="E809" t="s">
        <v>74</v>
      </c>
      <c r="F809" t="s">
        <v>14952</v>
      </c>
      <c r="G809" t="s">
        <v>74</v>
      </c>
      <c r="H809" t="s">
        <v>74</v>
      </c>
      <c r="I809" t="s">
        <v>14953</v>
      </c>
      <c r="J809" t="s">
        <v>8925</v>
      </c>
      <c r="K809" t="s">
        <v>74</v>
      </c>
      <c r="L809" t="s">
        <v>74</v>
      </c>
      <c r="M809" t="s">
        <v>78</v>
      </c>
      <c r="N809" t="s">
        <v>79</v>
      </c>
      <c r="O809" t="s">
        <v>74</v>
      </c>
      <c r="P809" t="s">
        <v>74</v>
      </c>
      <c r="Q809" t="s">
        <v>74</v>
      </c>
      <c r="R809" t="s">
        <v>74</v>
      </c>
      <c r="S809" t="s">
        <v>74</v>
      </c>
      <c r="T809" t="s">
        <v>14954</v>
      </c>
      <c r="U809" t="s">
        <v>14955</v>
      </c>
      <c r="V809" t="s">
        <v>14956</v>
      </c>
      <c r="W809" t="s">
        <v>14957</v>
      </c>
      <c r="X809" t="s">
        <v>14958</v>
      </c>
      <c r="Y809" t="s">
        <v>14959</v>
      </c>
      <c r="Z809" t="s">
        <v>14960</v>
      </c>
      <c r="AA809" t="s">
        <v>14961</v>
      </c>
      <c r="AB809" t="s">
        <v>14962</v>
      </c>
      <c r="AC809" t="s">
        <v>14963</v>
      </c>
      <c r="AD809" t="s">
        <v>14964</v>
      </c>
      <c r="AE809" t="s">
        <v>14965</v>
      </c>
      <c r="AF809" t="s">
        <v>74</v>
      </c>
      <c r="AG809">
        <v>95</v>
      </c>
      <c r="AH809">
        <v>81</v>
      </c>
      <c r="AI809">
        <v>91</v>
      </c>
      <c r="AJ809">
        <v>4</v>
      </c>
      <c r="AK809">
        <v>37</v>
      </c>
      <c r="AL809" t="s">
        <v>155</v>
      </c>
      <c r="AM809" t="s">
        <v>156</v>
      </c>
      <c r="AN809" t="s">
        <v>157</v>
      </c>
      <c r="AO809" t="s">
        <v>8938</v>
      </c>
      <c r="AP809" t="s">
        <v>8959</v>
      </c>
      <c r="AQ809" t="s">
        <v>74</v>
      </c>
      <c r="AR809" t="s">
        <v>8939</v>
      </c>
      <c r="AS809" t="s">
        <v>8940</v>
      </c>
      <c r="AT809" t="s">
        <v>12989</v>
      </c>
      <c r="AU809">
        <v>2011</v>
      </c>
      <c r="AV809">
        <v>30</v>
      </c>
      <c r="AW809" t="s">
        <v>10981</v>
      </c>
      <c r="AX809" t="s">
        <v>74</v>
      </c>
      <c r="AY809" t="s">
        <v>74</v>
      </c>
      <c r="AZ809" t="s">
        <v>74</v>
      </c>
      <c r="BA809" t="s">
        <v>74</v>
      </c>
      <c r="BB809">
        <v>3152</v>
      </c>
      <c r="BC809">
        <v>3170</v>
      </c>
      <c r="BD809" t="s">
        <v>74</v>
      </c>
      <c r="BE809" t="s">
        <v>14966</v>
      </c>
      <c r="BF809" t="str">
        <f>HYPERLINK("http://dx.doi.org/10.1016/j.quascirev.2011.07.021","http://dx.doi.org/10.1016/j.quascirev.2011.07.021")</f>
        <v>http://dx.doi.org/10.1016/j.quascirev.2011.07.021</v>
      </c>
      <c r="BG809" t="s">
        <v>74</v>
      </c>
      <c r="BH809" t="s">
        <v>74</v>
      </c>
      <c r="BI809">
        <v>19</v>
      </c>
      <c r="BJ809" t="s">
        <v>226</v>
      </c>
      <c r="BK809" t="s">
        <v>100</v>
      </c>
      <c r="BL809" t="s">
        <v>227</v>
      </c>
      <c r="BM809" t="s">
        <v>14949</v>
      </c>
      <c r="BN809" t="s">
        <v>74</v>
      </c>
      <c r="BO809" t="s">
        <v>74</v>
      </c>
      <c r="BP809" t="s">
        <v>74</v>
      </c>
      <c r="BQ809" t="s">
        <v>74</v>
      </c>
      <c r="BR809" t="s">
        <v>102</v>
      </c>
      <c r="BS809" t="s">
        <v>14967</v>
      </c>
      <c r="BT809" t="str">
        <f>HYPERLINK("https%3A%2F%2Fwww.webofscience.com%2Fwos%2Fwoscc%2Ffull-record%2FWOS:000295663500021","View Full Record in Web of Science")</f>
        <v>View Full Record in Web of Science</v>
      </c>
    </row>
    <row r="810" spans="1:72" x14ac:dyDescent="0.15">
      <c r="A810" t="s">
        <v>72</v>
      </c>
      <c r="B810" t="s">
        <v>14968</v>
      </c>
      <c r="C810" t="s">
        <v>74</v>
      </c>
      <c r="D810" t="s">
        <v>74</v>
      </c>
      <c r="E810" t="s">
        <v>74</v>
      </c>
      <c r="F810" t="s">
        <v>14969</v>
      </c>
      <c r="G810" t="s">
        <v>74</v>
      </c>
      <c r="H810" t="s">
        <v>74</v>
      </c>
      <c r="I810" t="s">
        <v>14970</v>
      </c>
      <c r="J810" t="s">
        <v>13999</v>
      </c>
      <c r="K810" t="s">
        <v>74</v>
      </c>
      <c r="L810" t="s">
        <v>74</v>
      </c>
      <c r="M810" t="s">
        <v>78</v>
      </c>
      <c r="N810" t="s">
        <v>79</v>
      </c>
      <c r="O810" t="s">
        <v>74</v>
      </c>
      <c r="P810" t="s">
        <v>74</v>
      </c>
      <c r="Q810" t="s">
        <v>74</v>
      </c>
      <c r="R810" t="s">
        <v>74</v>
      </c>
      <c r="S810" t="s">
        <v>74</v>
      </c>
      <c r="T810" t="s">
        <v>74</v>
      </c>
      <c r="U810" t="s">
        <v>14971</v>
      </c>
      <c r="V810" t="s">
        <v>14972</v>
      </c>
      <c r="W810" t="s">
        <v>14973</v>
      </c>
      <c r="X810" t="s">
        <v>14974</v>
      </c>
      <c r="Y810" t="s">
        <v>14975</v>
      </c>
      <c r="Z810" t="s">
        <v>14976</v>
      </c>
      <c r="AA810" t="s">
        <v>14977</v>
      </c>
      <c r="AB810" t="s">
        <v>14978</v>
      </c>
      <c r="AC810" t="s">
        <v>14979</v>
      </c>
      <c r="AD810" t="s">
        <v>586</v>
      </c>
      <c r="AE810" t="s">
        <v>74</v>
      </c>
      <c r="AF810" t="s">
        <v>74</v>
      </c>
      <c r="AG810">
        <v>39</v>
      </c>
      <c r="AH810">
        <v>64</v>
      </c>
      <c r="AI810">
        <v>75</v>
      </c>
      <c r="AJ810">
        <v>2</v>
      </c>
      <c r="AK810">
        <v>26</v>
      </c>
      <c r="AL810" t="s">
        <v>1150</v>
      </c>
      <c r="AM810" t="s">
        <v>1151</v>
      </c>
      <c r="AN810" t="s">
        <v>1152</v>
      </c>
      <c r="AO810" t="s">
        <v>74</v>
      </c>
      <c r="AP810" t="s">
        <v>14014</v>
      </c>
      <c r="AQ810" t="s">
        <v>74</v>
      </c>
      <c r="AR810" t="s">
        <v>14015</v>
      </c>
      <c r="AS810" t="s">
        <v>14980</v>
      </c>
      <c r="AT810" t="s">
        <v>12989</v>
      </c>
      <c r="AU810">
        <v>2011</v>
      </c>
      <c r="AV810">
        <v>63</v>
      </c>
      <c r="AW810">
        <v>5</v>
      </c>
      <c r="AX810" t="s">
        <v>74</v>
      </c>
      <c r="AY810" t="s">
        <v>74</v>
      </c>
      <c r="AZ810" t="s">
        <v>74</v>
      </c>
      <c r="BA810" t="s">
        <v>74</v>
      </c>
      <c r="BB810">
        <v>907</v>
      </c>
      <c r="BC810">
        <v>920</v>
      </c>
      <c r="BD810" t="s">
        <v>74</v>
      </c>
      <c r="BE810" t="s">
        <v>14981</v>
      </c>
      <c r="BF810" t="str">
        <f>HYPERLINK("http://dx.doi.org/10.1111/j.1600-0870.2011.00534.x","http://dx.doi.org/10.1111/j.1600-0870.2011.00534.x")</f>
        <v>http://dx.doi.org/10.1111/j.1600-0870.2011.00534.x</v>
      </c>
      <c r="BG810" t="s">
        <v>74</v>
      </c>
      <c r="BH810" t="s">
        <v>74</v>
      </c>
      <c r="BI810">
        <v>14</v>
      </c>
      <c r="BJ810" t="s">
        <v>5044</v>
      </c>
      <c r="BK810" t="s">
        <v>100</v>
      </c>
      <c r="BL810" t="s">
        <v>5044</v>
      </c>
      <c r="BM810" t="s">
        <v>14018</v>
      </c>
      <c r="BN810" t="s">
        <v>74</v>
      </c>
      <c r="BO810" t="s">
        <v>14982</v>
      </c>
      <c r="BP810" t="s">
        <v>74</v>
      </c>
      <c r="BQ810" t="s">
        <v>74</v>
      </c>
      <c r="BR810" t="s">
        <v>102</v>
      </c>
      <c r="BS810" t="s">
        <v>14983</v>
      </c>
      <c r="BT810" t="str">
        <f>HYPERLINK("https%3A%2F%2Fwww.webofscience.com%2Fwos%2Fwoscc%2Ffull-record%2FWOS:000295466600006","View Full Record in Web of Science")</f>
        <v>View Full Record in Web of Science</v>
      </c>
    </row>
    <row r="811" spans="1:72" x14ac:dyDescent="0.15">
      <c r="A811" t="s">
        <v>72</v>
      </c>
      <c r="B811" t="s">
        <v>14984</v>
      </c>
      <c r="C811" t="s">
        <v>74</v>
      </c>
      <c r="D811" t="s">
        <v>74</v>
      </c>
      <c r="E811" t="s">
        <v>74</v>
      </c>
      <c r="F811" t="s">
        <v>14985</v>
      </c>
      <c r="G811" t="s">
        <v>74</v>
      </c>
      <c r="H811" t="s">
        <v>74</v>
      </c>
      <c r="I811" t="s">
        <v>14986</v>
      </c>
      <c r="J811" t="s">
        <v>14987</v>
      </c>
      <c r="K811" t="s">
        <v>74</v>
      </c>
      <c r="L811" t="s">
        <v>74</v>
      </c>
      <c r="M811" t="s">
        <v>78</v>
      </c>
      <c r="N811" t="s">
        <v>79</v>
      </c>
      <c r="O811" t="s">
        <v>74</v>
      </c>
      <c r="P811" t="s">
        <v>74</v>
      </c>
      <c r="Q811" t="s">
        <v>74</v>
      </c>
      <c r="R811" t="s">
        <v>74</v>
      </c>
      <c r="S811" t="s">
        <v>74</v>
      </c>
      <c r="T811" t="s">
        <v>14988</v>
      </c>
      <c r="U811" t="s">
        <v>74</v>
      </c>
      <c r="V811" t="s">
        <v>14989</v>
      </c>
      <c r="W811" t="s">
        <v>14990</v>
      </c>
      <c r="X811" t="s">
        <v>375</v>
      </c>
      <c r="Y811" t="s">
        <v>14991</v>
      </c>
      <c r="Z811" t="s">
        <v>14992</v>
      </c>
      <c r="AA811" t="s">
        <v>14993</v>
      </c>
      <c r="AB811" t="s">
        <v>14994</v>
      </c>
      <c r="AC811" t="s">
        <v>74</v>
      </c>
      <c r="AD811" t="s">
        <v>74</v>
      </c>
      <c r="AE811" t="s">
        <v>74</v>
      </c>
      <c r="AF811" t="s">
        <v>74</v>
      </c>
      <c r="AG811">
        <v>5</v>
      </c>
      <c r="AH811">
        <v>4</v>
      </c>
      <c r="AI811">
        <v>6</v>
      </c>
      <c r="AJ811">
        <v>0</v>
      </c>
      <c r="AK811">
        <v>16</v>
      </c>
      <c r="AL811" t="s">
        <v>250</v>
      </c>
      <c r="AM811" t="s">
        <v>251</v>
      </c>
      <c r="AN811" t="s">
        <v>252</v>
      </c>
      <c r="AO811" t="s">
        <v>14995</v>
      </c>
      <c r="AP811" t="s">
        <v>14996</v>
      </c>
      <c r="AQ811" t="s">
        <v>74</v>
      </c>
      <c r="AR811" t="s">
        <v>14997</v>
      </c>
      <c r="AS811" t="s">
        <v>14998</v>
      </c>
      <c r="AT811" t="s">
        <v>12989</v>
      </c>
      <c r="AU811">
        <v>2011</v>
      </c>
      <c r="AV811">
        <v>3</v>
      </c>
      <c r="AW811">
        <v>4</v>
      </c>
      <c r="AX811" t="s">
        <v>74</v>
      </c>
      <c r="AY811" t="s">
        <v>74</v>
      </c>
      <c r="AZ811" t="s">
        <v>74</v>
      </c>
      <c r="BA811" t="s">
        <v>74</v>
      </c>
      <c r="BB811">
        <v>645</v>
      </c>
      <c r="BC811">
        <v>649</v>
      </c>
      <c r="BD811" t="s">
        <v>74</v>
      </c>
      <c r="BE811" t="s">
        <v>14999</v>
      </c>
      <c r="BF811" t="str">
        <f>HYPERLINK("http://dx.doi.org/10.1007/s12686-011-9424-5","http://dx.doi.org/10.1007/s12686-011-9424-5")</f>
        <v>http://dx.doi.org/10.1007/s12686-011-9424-5</v>
      </c>
      <c r="BG811" t="s">
        <v>74</v>
      </c>
      <c r="BH811" t="s">
        <v>74</v>
      </c>
      <c r="BI811">
        <v>5</v>
      </c>
      <c r="BJ811" t="s">
        <v>8482</v>
      </c>
      <c r="BK811" t="s">
        <v>100</v>
      </c>
      <c r="BL811" t="s">
        <v>8483</v>
      </c>
      <c r="BM811" t="s">
        <v>15000</v>
      </c>
      <c r="BN811" t="s">
        <v>74</v>
      </c>
      <c r="BO811" t="s">
        <v>74</v>
      </c>
      <c r="BP811" t="s">
        <v>74</v>
      </c>
      <c r="BQ811" t="s">
        <v>74</v>
      </c>
      <c r="BR811" t="s">
        <v>102</v>
      </c>
      <c r="BS811" t="s">
        <v>15001</v>
      </c>
      <c r="BT811" t="str">
        <f>HYPERLINK("https%3A%2F%2Fwww.webofscience.com%2Fwos%2Fwoscc%2Ffull-record%2FWOS:000294682100012","View Full Record in Web of Science")</f>
        <v>View Full Record in Web of Science</v>
      </c>
    </row>
    <row r="812" spans="1:72" x14ac:dyDescent="0.15">
      <c r="A812" t="s">
        <v>72</v>
      </c>
      <c r="B812" t="s">
        <v>15002</v>
      </c>
      <c r="C812" t="s">
        <v>74</v>
      </c>
      <c r="D812" t="s">
        <v>74</v>
      </c>
      <c r="E812" t="s">
        <v>74</v>
      </c>
      <c r="F812" t="s">
        <v>15003</v>
      </c>
      <c r="G812" t="s">
        <v>74</v>
      </c>
      <c r="H812" t="s">
        <v>74</v>
      </c>
      <c r="I812" t="s">
        <v>15004</v>
      </c>
      <c r="J812" t="s">
        <v>14987</v>
      </c>
      <c r="K812" t="s">
        <v>74</v>
      </c>
      <c r="L812" t="s">
        <v>74</v>
      </c>
      <c r="M812" t="s">
        <v>78</v>
      </c>
      <c r="N812" t="s">
        <v>79</v>
      </c>
      <c r="O812" t="s">
        <v>74</v>
      </c>
      <c r="P812" t="s">
        <v>74</v>
      </c>
      <c r="Q812" t="s">
        <v>74</v>
      </c>
      <c r="R812" t="s">
        <v>74</v>
      </c>
      <c r="S812" t="s">
        <v>74</v>
      </c>
      <c r="T812" t="s">
        <v>15005</v>
      </c>
      <c r="U812" t="s">
        <v>15006</v>
      </c>
      <c r="V812" t="s">
        <v>15007</v>
      </c>
      <c r="W812" t="s">
        <v>15008</v>
      </c>
      <c r="X812" t="s">
        <v>15009</v>
      </c>
      <c r="Y812" t="s">
        <v>15010</v>
      </c>
      <c r="Z812" t="s">
        <v>15011</v>
      </c>
      <c r="AA812" t="s">
        <v>15012</v>
      </c>
      <c r="AB812" t="s">
        <v>15013</v>
      </c>
      <c r="AC812" t="s">
        <v>15014</v>
      </c>
      <c r="AD812" t="s">
        <v>15015</v>
      </c>
      <c r="AE812" t="s">
        <v>15016</v>
      </c>
      <c r="AF812" t="s">
        <v>74</v>
      </c>
      <c r="AG812">
        <v>15</v>
      </c>
      <c r="AH812">
        <v>4</v>
      </c>
      <c r="AI812">
        <v>4</v>
      </c>
      <c r="AJ812">
        <v>0</v>
      </c>
      <c r="AK812">
        <v>10</v>
      </c>
      <c r="AL812" t="s">
        <v>250</v>
      </c>
      <c r="AM812" t="s">
        <v>251</v>
      </c>
      <c r="AN812" t="s">
        <v>252</v>
      </c>
      <c r="AO812" t="s">
        <v>14995</v>
      </c>
      <c r="AP812" t="s">
        <v>14996</v>
      </c>
      <c r="AQ812" t="s">
        <v>74</v>
      </c>
      <c r="AR812" t="s">
        <v>14997</v>
      </c>
      <c r="AS812" t="s">
        <v>14998</v>
      </c>
      <c r="AT812" t="s">
        <v>12989</v>
      </c>
      <c r="AU812">
        <v>2011</v>
      </c>
      <c r="AV812">
        <v>3</v>
      </c>
      <c r="AW812">
        <v>4</v>
      </c>
      <c r="AX812" t="s">
        <v>74</v>
      </c>
      <c r="AY812" t="s">
        <v>74</v>
      </c>
      <c r="AZ812" t="s">
        <v>74</v>
      </c>
      <c r="BA812" t="s">
        <v>74</v>
      </c>
      <c r="BB812">
        <v>689</v>
      </c>
      <c r="BC812">
        <v>691</v>
      </c>
      <c r="BD812" t="s">
        <v>74</v>
      </c>
      <c r="BE812" t="s">
        <v>15017</v>
      </c>
      <c r="BF812" t="str">
        <f>HYPERLINK("http://dx.doi.org/10.1007/s12686-011-9434-3","http://dx.doi.org/10.1007/s12686-011-9434-3")</f>
        <v>http://dx.doi.org/10.1007/s12686-011-9434-3</v>
      </c>
      <c r="BG812" t="s">
        <v>74</v>
      </c>
      <c r="BH812" t="s">
        <v>74</v>
      </c>
      <c r="BI812">
        <v>3</v>
      </c>
      <c r="BJ812" t="s">
        <v>8482</v>
      </c>
      <c r="BK812" t="s">
        <v>100</v>
      </c>
      <c r="BL812" t="s">
        <v>8483</v>
      </c>
      <c r="BM812" t="s">
        <v>15000</v>
      </c>
      <c r="BN812" t="s">
        <v>74</v>
      </c>
      <c r="BO812" t="s">
        <v>74</v>
      </c>
      <c r="BP812" t="s">
        <v>74</v>
      </c>
      <c r="BQ812" t="s">
        <v>74</v>
      </c>
      <c r="BR812" t="s">
        <v>102</v>
      </c>
      <c r="BS812" t="s">
        <v>15018</v>
      </c>
      <c r="BT812" t="str">
        <f>HYPERLINK("https%3A%2F%2Fwww.webofscience.com%2Fwos%2Fwoscc%2Ffull-record%2FWOS:000294682100022","View Full Record in Web of Science")</f>
        <v>View Full Record in Web of Science</v>
      </c>
    </row>
    <row r="813" spans="1:72" x14ac:dyDescent="0.15">
      <c r="A813" t="s">
        <v>72</v>
      </c>
      <c r="B813" t="s">
        <v>15019</v>
      </c>
      <c r="C813" t="s">
        <v>74</v>
      </c>
      <c r="D813" t="s">
        <v>74</v>
      </c>
      <c r="E813" t="s">
        <v>74</v>
      </c>
      <c r="F813" t="s">
        <v>15020</v>
      </c>
      <c r="G813" t="s">
        <v>74</v>
      </c>
      <c r="H813" t="s">
        <v>74</v>
      </c>
      <c r="I813" t="s">
        <v>15021</v>
      </c>
      <c r="J813" t="s">
        <v>9195</v>
      </c>
      <c r="K813" t="s">
        <v>74</v>
      </c>
      <c r="L813" t="s">
        <v>74</v>
      </c>
      <c r="M813" t="s">
        <v>78</v>
      </c>
      <c r="N813" t="s">
        <v>79</v>
      </c>
      <c r="O813" t="s">
        <v>74</v>
      </c>
      <c r="P813" t="s">
        <v>74</v>
      </c>
      <c r="Q813" t="s">
        <v>74</v>
      </c>
      <c r="R813" t="s">
        <v>74</v>
      </c>
      <c r="S813" t="s">
        <v>74</v>
      </c>
      <c r="T813" t="s">
        <v>15022</v>
      </c>
      <c r="U813" t="s">
        <v>15023</v>
      </c>
      <c r="V813" t="s">
        <v>15024</v>
      </c>
      <c r="W813" t="s">
        <v>15025</v>
      </c>
      <c r="X813" t="s">
        <v>15026</v>
      </c>
      <c r="Y813" t="s">
        <v>15027</v>
      </c>
      <c r="Z813" t="s">
        <v>15028</v>
      </c>
      <c r="AA813" t="s">
        <v>15029</v>
      </c>
      <c r="AB813" t="s">
        <v>74</v>
      </c>
      <c r="AC813" t="s">
        <v>15030</v>
      </c>
      <c r="AD813" t="s">
        <v>15031</v>
      </c>
      <c r="AE813" t="s">
        <v>15032</v>
      </c>
      <c r="AF813" t="s">
        <v>74</v>
      </c>
      <c r="AG813">
        <v>109</v>
      </c>
      <c r="AH813">
        <v>27</v>
      </c>
      <c r="AI813">
        <v>32</v>
      </c>
      <c r="AJ813">
        <v>1</v>
      </c>
      <c r="AK813">
        <v>25</v>
      </c>
      <c r="AL813" t="s">
        <v>3864</v>
      </c>
      <c r="AM813" t="s">
        <v>221</v>
      </c>
      <c r="AN813" t="s">
        <v>3865</v>
      </c>
      <c r="AO813" t="s">
        <v>9204</v>
      </c>
      <c r="AP813" t="s">
        <v>15033</v>
      </c>
      <c r="AQ813" t="s">
        <v>74</v>
      </c>
      <c r="AR813" t="s">
        <v>9205</v>
      </c>
      <c r="AS813" t="s">
        <v>9206</v>
      </c>
      <c r="AT813" t="s">
        <v>12989</v>
      </c>
      <c r="AU813">
        <v>2011</v>
      </c>
      <c r="AV813">
        <v>32</v>
      </c>
      <c r="AW813">
        <v>5</v>
      </c>
      <c r="AX813" t="s">
        <v>74</v>
      </c>
      <c r="AY813" t="s">
        <v>74</v>
      </c>
      <c r="AZ813" t="s">
        <v>74</v>
      </c>
      <c r="BA813" t="s">
        <v>74</v>
      </c>
      <c r="BB813">
        <v>623</v>
      </c>
      <c r="BC813">
        <v>645</v>
      </c>
      <c r="BD813" t="s">
        <v>74</v>
      </c>
      <c r="BE813" t="s">
        <v>15034</v>
      </c>
      <c r="BF813" t="str">
        <f>HYPERLINK("http://dx.doi.org/10.1016/j.cretres.2011.04.007","http://dx.doi.org/10.1016/j.cretres.2011.04.007")</f>
        <v>http://dx.doi.org/10.1016/j.cretres.2011.04.007</v>
      </c>
      <c r="BG813" t="s">
        <v>74</v>
      </c>
      <c r="BH813" t="s">
        <v>74</v>
      </c>
      <c r="BI813">
        <v>23</v>
      </c>
      <c r="BJ813" t="s">
        <v>5141</v>
      </c>
      <c r="BK813" t="s">
        <v>100</v>
      </c>
      <c r="BL813" t="s">
        <v>5141</v>
      </c>
      <c r="BM813" t="s">
        <v>15035</v>
      </c>
      <c r="BN813" t="s">
        <v>74</v>
      </c>
      <c r="BO813" t="s">
        <v>74</v>
      </c>
      <c r="BP813" t="s">
        <v>74</v>
      </c>
      <c r="BQ813" t="s">
        <v>74</v>
      </c>
      <c r="BR813" t="s">
        <v>102</v>
      </c>
      <c r="BS813" t="s">
        <v>15036</v>
      </c>
      <c r="BT813" t="str">
        <f>HYPERLINK("https%3A%2F%2Fwww.webofscience.com%2Fwos%2Fwoscc%2Ffull-record%2FWOS:000294396400007","View Full Record in Web of Science")</f>
        <v>View Full Record in Web of Science</v>
      </c>
    </row>
    <row r="814" spans="1:72" x14ac:dyDescent="0.15">
      <c r="A814" t="s">
        <v>72</v>
      </c>
      <c r="B814" t="s">
        <v>15037</v>
      </c>
      <c r="C814" t="s">
        <v>74</v>
      </c>
      <c r="D814" t="s">
        <v>74</v>
      </c>
      <c r="E814" t="s">
        <v>74</v>
      </c>
      <c r="F814" t="s">
        <v>15038</v>
      </c>
      <c r="G814" t="s">
        <v>74</v>
      </c>
      <c r="H814" t="s">
        <v>74</v>
      </c>
      <c r="I814" t="s">
        <v>15039</v>
      </c>
      <c r="J814" t="s">
        <v>233</v>
      </c>
      <c r="K814" t="s">
        <v>74</v>
      </c>
      <c r="L814" t="s">
        <v>74</v>
      </c>
      <c r="M814" t="s">
        <v>78</v>
      </c>
      <c r="N814" t="s">
        <v>79</v>
      </c>
      <c r="O814" t="s">
        <v>74</v>
      </c>
      <c r="P814" t="s">
        <v>74</v>
      </c>
      <c r="Q814" t="s">
        <v>74</v>
      </c>
      <c r="R814" t="s">
        <v>74</v>
      </c>
      <c r="S814" t="s">
        <v>74</v>
      </c>
      <c r="T814" t="s">
        <v>15040</v>
      </c>
      <c r="U814" t="s">
        <v>15041</v>
      </c>
      <c r="V814" t="s">
        <v>15042</v>
      </c>
      <c r="W814" t="s">
        <v>15043</v>
      </c>
      <c r="X814" t="s">
        <v>15044</v>
      </c>
      <c r="Y814" t="s">
        <v>15045</v>
      </c>
      <c r="Z814" t="s">
        <v>15046</v>
      </c>
      <c r="AA814" t="s">
        <v>15047</v>
      </c>
      <c r="AB814" t="s">
        <v>15048</v>
      </c>
      <c r="AC814" t="s">
        <v>15049</v>
      </c>
      <c r="AD814" t="s">
        <v>15050</v>
      </c>
      <c r="AE814" t="s">
        <v>15051</v>
      </c>
      <c r="AF814" t="s">
        <v>74</v>
      </c>
      <c r="AG814">
        <v>26</v>
      </c>
      <c r="AH814">
        <v>5</v>
      </c>
      <c r="AI814">
        <v>5</v>
      </c>
      <c r="AJ814">
        <v>1</v>
      </c>
      <c r="AK814">
        <v>9</v>
      </c>
      <c r="AL814" t="s">
        <v>250</v>
      </c>
      <c r="AM814" t="s">
        <v>251</v>
      </c>
      <c r="AN814" t="s">
        <v>252</v>
      </c>
      <c r="AO814" t="s">
        <v>253</v>
      </c>
      <c r="AP814" t="s">
        <v>74</v>
      </c>
      <c r="AQ814" t="s">
        <v>74</v>
      </c>
      <c r="AR814" t="s">
        <v>255</v>
      </c>
      <c r="AS814" t="s">
        <v>256</v>
      </c>
      <c r="AT814" t="s">
        <v>12989</v>
      </c>
      <c r="AU814">
        <v>2011</v>
      </c>
      <c r="AV814">
        <v>290</v>
      </c>
      <c r="AW814">
        <v>1</v>
      </c>
      <c r="AX814" t="s">
        <v>74</v>
      </c>
      <c r="AY814" t="s">
        <v>74</v>
      </c>
      <c r="AZ814" t="s">
        <v>74</v>
      </c>
      <c r="BA814" t="s">
        <v>74</v>
      </c>
      <c r="BB814">
        <v>197</v>
      </c>
      <c r="BC814">
        <v>201</v>
      </c>
      <c r="BD814" t="s">
        <v>74</v>
      </c>
      <c r="BE814" t="s">
        <v>15052</v>
      </c>
      <c r="BF814" t="str">
        <f>HYPERLINK("http://dx.doi.org/10.1007/s10967-011-1218-4","http://dx.doi.org/10.1007/s10967-011-1218-4")</f>
        <v>http://dx.doi.org/10.1007/s10967-011-1218-4</v>
      </c>
      <c r="BG814" t="s">
        <v>74</v>
      </c>
      <c r="BH814" t="s">
        <v>74</v>
      </c>
      <c r="BI814">
        <v>5</v>
      </c>
      <c r="BJ814" t="s">
        <v>258</v>
      </c>
      <c r="BK814" t="s">
        <v>100</v>
      </c>
      <c r="BL814" t="s">
        <v>260</v>
      </c>
      <c r="BM814" t="s">
        <v>15053</v>
      </c>
      <c r="BN814" t="s">
        <v>74</v>
      </c>
      <c r="BO814" t="s">
        <v>74</v>
      </c>
      <c r="BP814" t="s">
        <v>74</v>
      </c>
      <c r="BQ814" t="s">
        <v>74</v>
      </c>
      <c r="BR814" t="s">
        <v>102</v>
      </c>
      <c r="BS814" t="s">
        <v>15054</v>
      </c>
      <c r="BT814" t="str">
        <f>HYPERLINK("https%3A%2F%2Fwww.webofscience.com%2Fwos%2Fwoscc%2Ffull-record%2FWOS:000294536200033","View Full Record in Web of Science")</f>
        <v>View Full Record in Web of Science</v>
      </c>
    </row>
    <row r="815" spans="1:72" x14ac:dyDescent="0.15">
      <c r="A815" t="s">
        <v>72</v>
      </c>
      <c r="B815" t="s">
        <v>15055</v>
      </c>
      <c r="C815" t="s">
        <v>74</v>
      </c>
      <c r="D815" t="s">
        <v>74</v>
      </c>
      <c r="E815" t="s">
        <v>74</v>
      </c>
      <c r="F815" t="s">
        <v>15056</v>
      </c>
      <c r="G815" t="s">
        <v>74</v>
      </c>
      <c r="H815" t="s">
        <v>74</v>
      </c>
      <c r="I815" t="s">
        <v>15057</v>
      </c>
      <c r="J815" t="s">
        <v>15058</v>
      </c>
      <c r="K815" t="s">
        <v>74</v>
      </c>
      <c r="L815" t="s">
        <v>74</v>
      </c>
      <c r="M815" t="s">
        <v>78</v>
      </c>
      <c r="N815" t="s">
        <v>79</v>
      </c>
      <c r="O815" t="s">
        <v>74</v>
      </c>
      <c r="P815" t="s">
        <v>74</v>
      </c>
      <c r="Q815" t="s">
        <v>74</v>
      </c>
      <c r="R815" t="s">
        <v>74</v>
      </c>
      <c r="S815" t="s">
        <v>74</v>
      </c>
      <c r="T815" t="s">
        <v>15059</v>
      </c>
      <c r="U815" t="s">
        <v>15060</v>
      </c>
      <c r="V815" t="s">
        <v>15061</v>
      </c>
      <c r="W815" t="s">
        <v>15062</v>
      </c>
      <c r="X815" t="s">
        <v>15063</v>
      </c>
      <c r="Y815" t="s">
        <v>15064</v>
      </c>
      <c r="Z815" t="s">
        <v>15065</v>
      </c>
      <c r="AA815" t="s">
        <v>15066</v>
      </c>
      <c r="AB815" t="s">
        <v>74</v>
      </c>
      <c r="AC815" t="s">
        <v>15067</v>
      </c>
      <c r="AD815" t="s">
        <v>15068</v>
      </c>
      <c r="AE815" t="s">
        <v>15069</v>
      </c>
      <c r="AF815" t="s">
        <v>74</v>
      </c>
      <c r="AG815">
        <v>15</v>
      </c>
      <c r="AH815">
        <v>4</v>
      </c>
      <c r="AI815">
        <v>4</v>
      </c>
      <c r="AJ815">
        <v>0</v>
      </c>
      <c r="AK815">
        <v>6</v>
      </c>
      <c r="AL815" t="s">
        <v>15070</v>
      </c>
      <c r="AM815" t="s">
        <v>15071</v>
      </c>
      <c r="AN815" t="s">
        <v>15072</v>
      </c>
      <c r="AO815" t="s">
        <v>15073</v>
      </c>
      <c r="AP815" t="s">
        <v>74</v>
      </c>
      <c r="AQ815" t="s">
        <v>74</v>
      </c>
      <c r="AR815" t="s">
        <v>15074</v>
      </c>
      <c r="AS815" t="s">
        <v>15075</v>
      </c>
      <c r="AT815" t="s">
        <v>15076</v>
      </c>
      <c r="AU815">
        <v>2011</v>
      </c>
      <c r="AV815">
        <v>5</v>
      </c>
      <c r="AW815">
        <v>20</v>
      </c>
      <c r="AX815" t="s">
        <v>74</v>
      </c>
      <c r="AY815" t="s">
        <v>74</v>
      </c>
      <c r="AZ815" t="s">
        <v>74</v>
      </c>
      <c r="BA815" t="s">
        <v>74</v>
      </c>
      <c r="BB815">
        <v>3195</v>
      </c>
      <c r="BC815">
        <v>3199</v>
      </c>
      <c r="BD815" t="s">
        <v>74</v>
      </c>
      <c r="BE815" t="s">
        <v>74</v>
      </c>
      <c r="BF815" t="s">
        <v>74</v>
      </c>
      <c r="BG815" t="s">
        <v>74</v>
      </c>
      <c r="BH815" t="s">
        <v>74</v>
      </c>
      <c r="BI815">
        <v>5</v>
      </c>
      <c r="BJ815" t="s">
        <v>3089</v>
      </c>
      <c r="BK815" t="s">
        <v>100</v>
      </c>
      <c r="BL815" t="s">
        <v>3089</v>
      </c>
      <c r="BM815" t="s">
        <v>15077</v>
      </c>
      <c r="BN815" t="s">
        <v>74</v>
      </c>
      <c r="BO815" t="s">
        <v>74</v>
      </c>
      <c r="BP815" t="s">
        <v>74</v>
      </c>
      <c r="BQ815" t="s">
        <v>74</v>
      </c>
      <c r="BR815" t="s">
        <v>102</v>
      </c>
      <c r="BS815" t="s">
        <v>15078</v>
      </c>
      <c r="BT815" t="str">
        <f>HYPERLINK("https%3A%2F%2Fwww.webofscience.com%2Fwos%2Fwoscc%2Ffull-record%2FWOS:000298925600016","View Full Record in Web of Science")</f>
        <v>View Full Record in Web of Science</v>
      </c>
    </row>
    <row r="816" spans="1:72" x14ac:dyDescent="0.15">
      <c r="A816" t="s">
        <v>72</v>
      </c>
      <c r="B816" t="s">
        <v>15079</v>
      </c>
      <c r="C816" t="s">
        <v>74</v>
      </c>
      <c r="D816" t="s">
        <v>74</v>
      </c>
      <c r="E816" t="s">
        <v>74</v>
      </c>
      <c r="F816" t="s">
        <v>15080</v>
      </c>
      <c r="G816" t="s">
        <v>74</v>
      </c>
      <c r="H816" t="s">
        <v>74</v>
      </c>
      <c r="I816" t="s">
        <v>15081</v>
      </c>
      <c r="J816" t="s">
        <v>7726</v>
      </c>
      <c r="K816" t="s">
        <v>74</v>
      </c>
      <c r="L816" t="s">
        <v>74</v>
      </c>
      <c r="M816" t="s">
        <v>78</v>
      </c>
      <c r="N816" t="s">
        <v>79</v>
      </c>
      <c r="O816" t="s">
        <v>74</v>
      </c>
      <c r="P816" t="s">
        <v>74</v>
      </c>
      <c r="Q816" t="s">
        <v>74</v>
      </c>
      <c r="R816" t="s">
        <v>74</v>
      </c>
      <c r="S816" t="s">
        <v>74</v>
      </c>
      <c r="T816" t="s">
        <v>15082</v>
      </c>
      <c r="U816" t="s">
        <v>15083</v>
      </c>
      <c r="V816" t="s">
        <v>15084</v>
      </c>
      <c r="W816" t="s">
        <v>15085</v>
      </c>
      <c r="X816" t="s">
        <v>15086</v>
      </c>
      <c r="Y816" t="s">
        <v>15087</v>
      </c>
      <c r="Z816" t="s">
        <v>15088</v>
      </c>
      <c r="AA816" t="s">
        <v>15089</v>
      </c>
      <c r="AB816" t="s">
        <v>15090</v>
      </c>
      <c r="AC816" t="s">
        <v>15091</v>
      </c>
      <c r="AD816" t="s">
        <v>15092</v>
      </c>
      <c r="AE816" t="s">
        <v>15093</v>
      </c>
      <c r="AF816" t="s">
        <v>74</v>
      </c>
      <c r="AG816">
        <v>45</v>
      </c>
      <c r="AH816">
        <v>62</v>
      </c>
      <c r="AI816">
        <v>69</v>
      </c>
      <c r="AJ816">
        <v>3</v>
      </c>
      <c r="AK816">
        <v>70</v>
      </c>
      <c r="AL816" t="s">
        <v>333</v>
      </c>
      <c r="AM816" t="s">
        <v>334</v>
      </c>
      <c r="AN816" t="s">
        <v>335</v>
      </c>
      <c r="AO816" t="s">
        <v>7739</v>
      </c>
      <c r="AP816" t="s">
        <v>7740</v>
      </c>
      <c r="AQ816" t="s">
        <v>74</v>
      </c>
      <c r="AR816" t="s">
        <v>7741</v>
      </c>
      <c r="AS816" t="s">
        <v>7742</v>
      </c>
      <c r="AT816" t="s">
        <v>15076</v>
      </c>
      <c r="AU816">
        <v>2011</v>
      </c>
      <c r="AV816">
        <v>406</v>
      </c>
      <c r="AW816" t="s">
        <v>1776</v>
      </c>
      <c r="AX816" t="s">
        <v>74</v>
      </c>
      <c r="AY816" t="s">
        <v>74</v>
      </c>
      <c r="AZ816" t="s">
        <v>74</v>
      </c>
      <c r="BA816" t="s">
        <v>74</v>
      </c>
      <c r="BB816">
        <v>38</v>
      </c>
      <c r="BC816">
        <v>45</v>
      </c>
      <c r="BD816" t="s">
        <v>74</v>
      </c>
      <c r="BE816" t="s">
        <v>15094</v>
      </c>
      <c r="BF816" t="str">
        <f>HYPERLINK("http://dx.doi.org/10.1016/j.jembe.2011.06.012","http://dx.doi.org/10.1016/j.jembe.2011.06.012")</f>
        <v>http://dx.doi.org/10.1016/j.jembe.2011.06.012</v>
      </c>
      <c r="BG816" t="s">
        <v>74</v>
      </c>
      <c r="BH816" t="s">
        <v>74</v>
      </c>
      <c r="BI816">
        <v>8</v>
      </c>
      <c r="BJ816" t="s">
        <v>4394</v>
      </c>
      <c r="BK816" t="s">
        <v>100</v>
      </c>
      <c r="BL816" t="s">
        <v>4395</v>
      </c>
      <c r="BM816" t="s">
        <v>15095</v>
      </c>
      <c r="BN816" t="s">
        <v>74</v>
      </c>
      <c r="BO816" t="s">
        <v>74</v>
      </c>
      <c r="BP816" t="s">
        <v>74</v>
      </c>
      <c r="BQ816" t="s">
        <v>74</v>
      </c>
      <c r="BR816" t="s">
        <v>102</v>
      </c>
      <c r="BS816" t="s">
        <v>15096</v>
      </c>
      <c r="BT816" t="str">
        <f>HYPERLINK("https%3A%2F%2Fwww.webofscience.com%2Fwos%2Fwoscc%2Ffull-record%2FWOS:000294105200006","View Full Record in Web of Science")</f>
        <v>View Full Record in Web of Science</v>
      </c>
    </row>
    <row r="817" spans="1:72" x14ac:dyDescent="0.15">
      <c r="A817" t="s">
        <v>72</v>
      </c>
      <c r="B817" t="s">
        <v>15097</v>
      </c>
      <c r="C817" t="s">
        <v>74</v>
      </c>
      <c r="D817" t="s">
        <v>74</v>
      </c>
      <c r="E817" t="s">
        <v>74</v>
      </c>
      <c r="F817" t="s">
        <v>15098</v>
      </c>
      <c r="G817" t="s">
        <v>74</v>
      </c>
      <c r="H817" t="s">
        <v>74</v>
      </c>
      <c r="I817" t="s">
        <v>15099</v>
      </c>
      <c r="J817" t="s">
        <v>15100</v>
      </c>
      <c r="K817" t="s">
        <v>74</v>
      </c>
      <c r="L817" t="s">
        <v>74</v>
      </c>
      <c r="M817" t="s">
        <v>78</v>
      </c>
      <c r="N817" t="s">
        <v>79</v>
      </c>
      <c r="O817" t="s">
        <v>74</v>
      </c>
      <c r="P817" t="s">
        <v>74</v>
      </c>
      <c r="Q817" t="s">
        <v>74</v>
      </c>
      <c r="R817" t="s">
        <v>74</v>
      </c>
      <c r="S817" t="s">
        <v>74</v>
      </c>
      <c r="T817" t="s">
        <v>15101</v>
      </c>
      <c r="U817" t="s">
        <v>15102</v>
      </c>
      <c r="V817" t="s">
        <v>15103</v>
      </c>
      <c r="W817" t="s">
        <v>15104</v>
      </c>
      <c r="X817" t="s">
        <v>15105</v>
      </c>
      <c r="Y817" t="s">
        <v>15106</v>
      </c>
      <c r="Z817" t="s">
        <v>15107</v>
      </c>
      <c r="AA817" t="s">
        <v>15108</v>
      </c>
      <c r="AB817" t="s">
        <v>15109</v>
      </c>
      <c r="AC817" t="s">
        <v>15110</v>
      </c>
      <c r="AD817" t="s">
        <v>15111</v>
      </c>
      <c r="AE817" t="s">
        <v>15112</v>
      </c>
      <c r="AF817" t="s">
        <v>74</v>
      </c>
      <c r="AG817">
        <v>14</v>
      </c>
      <c r="AH817">
        <v>6</v>
      </c>
      <c r="AI817">
        <v>8</v>
      </c>
      <c r="AJ817">
        <v>0</v>
      </c>
      <c r="AK817">
        <v>26</v>
      </c>
      <c r="AL817" t="s">
        <v>15113</v>
      </c>
      <c r="AM817" t="s">
        <v>560</v>
      </c>
      <c r="AN817" t="s">
        <v>15114</v>
      </c>
      <c r="AO817" t="s">
        <v>15115</v>
      </c>
      <c r="AP817" t="s">
        <v>74</v>
      </c>
      <c r="AQ817" t="s">
        <v>74</v>
      </c>
      <c r="AR817" t="s">
        <v>15116</v>
      </c>
      <c r="AS817" t="s">
        <v>15117</v>
      </c>
      <c r="AT817" t="s">
        <v>15118</v>
      </c>
      <c r="AU817">
        <v>2011</v>
      </c>
      <c r="AV817">
        <v>5</v>
      </c>
      <c r="AW817" t="s">
        <v>74</v>
      </c>
      <c r="AX817" t="s">
        <v>74</v>
      </c>
      <c r="AY817" t="s">
        <v>74</v>
      </c>
      <c r="AZ817" t="s">
        <v>74</v>
      </c>
      <c r="BA817" t="s">
        <v>74</v>
      </c>
      <c r="BB817" t="s">
        <v>74</v>
      </c>
      <c r="BC817" t="s">
        <v>74</v>
      </c>
      <c r="BD817">
        <v>53557</v>
      </c>
      <c r="BE817" t="s">
        <v>15119</v>
      </c>
      <c r="BF817" t="str">
        <f>HYPERLINK("http://dx.doi.org/10.1117/1.3643691","http://dx.doi.org/10.1117/1.3643691")</f>
        <v>http://dx.doi.org/10.1117/1.3643691</v>
      </c>
      <c r="BG817" t="s">
        <v>74</v>
      </c>
      <c r="BH817" t="s">
        <v>74</v>
      </c>
      <c r="BI817">
        <v>7</v>
      </c>
      <c r="BJ817" t="s">
        <v>15120</v>
      </c>
      <c r="BK817" t="s">
        <v>100</v>
      </c>
      <c r="BL817" t="s">
        <v>15121</v>
      </c>
      <c r="BM817" t="s">
        <v>15122</v>
      </c>
      <c r="BN817" t="s">
        <v>74</v>
      </c>
      <c r="BO817" t="s">
        <v>74</v>
      </c>
      <c r="BP817" t="s">
        <v>74</v>
      </c>
      <c r="BQ817" t="s">
        <v>74</v>
      </c>
      <c r="BR817" t="s">
        <v>102</v>
      </c>
      <c r="BS817" t="s">
        <v>15123</v>
      </c>
      <c r="BT817" t="str">
        <f>HYPERLINK("https%3A%2F%2Fwww.webofscience.com%2Fwos%2Fwoscc%2Ffull-record%2FWOS:000296552200002","View Full Record in Web of Science")</f>
        <v>View Full Record in Web of Science</v>
      </c>
    </row>
    <row r="818" spans="1:72" x14ac:dyDescent="0.15">
      <c r="A818" t="s">
        <v>72</v>
      </c>
      <c r="B818" t="s">
        <v>15124</v>
      </c>
      <c r="C818" t="s">
        <v>74</v>
      </c>
      <c r="D818" t="s">
        <v>74</v>
      </c>
      <c r="E818" t="s">
        <v>74</v>
      </c>
      <c r="F818" t="s">
        <v>15125</v>
      </c>
      <c r="G818" t="s">
        <v>74</v>
      </c>
      <c r="H818" t="s">
        <v>74</v>
      </c>
      <c r="I818" t="s">
        <v>15126</v>
      </c>
      <c r="J818" t="s">
        <v>11731</v>
      </c>
      <c r="K818" t="s">
        <v>74</v>
      </c>
      <c r="L818" t="s">
        <v>74</v>
      </c>
      <c r="M818" t="s">
        <v>78</v>
      </c>
      <c r="N818" t="s">
        <v>79</v>
      </c>
      <c r="O818" t="s">
        <v>74</v>
      </c>
      <c r="P818" t="s">
        <v>74</v>
      </c>
      <c r="Q818" t="s">
        <v>74</v>
      </c>
      <c r="R818" t="s">
        <v>74</v>
      </c>
      <c r="S818" t="s">
        <v>74</v>
      </c>
      <c r="T818" t="s">
        <v>74</v>
      </c>
      <c r="U818" t="s">
        <v>15127</v>
      </c>
      <c r="V818" t="s">
        <v>15128</v>
      </c>
      <c r="W818" t="s">
        <v>15129</v>
      </c>
      <c r="X818" t="s">
        <v>15130</v>
      </c>
      <c r="Y818" t="s">
        <v>15131</v>
      </c>
      <c r="Z818" t="s">
        <v>15132</v>
      </c>
      <c r="AA818" t="s">
        <v>15133</v>
      </c>
      <c r="AB818" t="s">
        <v>15134</v>
      </c>
      <c r="AC818" t="s">
        <v>15135</v>
      </c>
      <c r="AD818" t="s">
        <v>15136</v>
      </c>
      <c r="AE818" t="s">
        <v>15137</v>
      </c>
      <c r="AF818" t="s">
        <v>74</v>
      </c>
      <c r="AG818">
        <v>95</v>
      </c>
      <c r="AH818">
        <v>22</v>
      </c>
      <c r="AI818">
        <v>24</v>
      </c>
      <c r="AJ818">
        <v>1</v>
      </c>
      <c r="AK818">
        <v>21</v>
      </c>
      <c r="AL818" t="s">
        <v>1498</v>
      </c>
      <c r="AM818" t="s">
        <v>985</v>
      </c>
      <c r="AN818" t="s">
        <v>1499</v>
      </c>
      <c r="AO818" t="s">
        <v>11743</v>
      </c>
      <c r="AP818" t="s">
        <v>11744</v>
      </c>
      <c r="AQ818" t="s">
        <v>74</v>
      </c>
      <c r="AR818" t="s">
        <v>11745</v>
      </c>
      <c r="AS818" t="s">
        <v>11746</v>
      </c>
      <c r="AT818" t="s">
        <v>15138</v>
      </c>
      <c r="AU818">
        <v>2011</v>
      </c>
      <c r="AV818">
        <v>116</v>
      </c>
      <c r="AW818" t="s">
        <v>74</v>
      </c>
      <c r="AX818" t="s">
        <v>74</v>
      </c>
      <c r="AY818" t="s">
        <v>74</v>
      </c>
      <c r="AZ818" t="s">
        <v>74</v>
      </c>
      <c r="BA818" t="s">
        <v>74</v>
      </c>
      <c r="BB818" t="s">
        <v>74</v>
      </c>
      <c r="BC818" t="s">
        <v>74</v>
      </c>
      <c r="BD818" t="s">
        <v>15139</v>
      </c>
      <c r="BE818" t="s">
        <v>15140</v>
      </c>
      <c r="BF818" t="str">
        <f>HYPERLINK("http://dx.doi.org/10.1029/2011JF002028","http://dx.doi.org/10.1029/2011JF002028")</f>
        <v>http://dx.doi.org/10.1029/2011JF002028</v>
      </c>
      <c r="BG818" t="s">
        <v>74</v>
      </c>
      <c r="BH818" t="s">
        <v>74</v>
      </c>
      <c r="BI818">
        <v>13</v>
      </c>
      <c r="BJ818" t="s">
        <v>287</v>
      </c>
      <c r="BK818" t="s">
        <v>100</v>
      </c>
      <c r="BL818" t="s">
        <v>288</v>
      </c>
      <c r="BM818" t="s">
        <v>15141</v>
      </c>
      <c r="BN818" t="s">
        <v>74</v>
      </c>
      <c r="BO818" t="s">
        <v>365</v>
      </c>
      <c r="BP818" t="s">
        <v>74</v>
      </c>
      <c r="BQ818" t="s">
        <v>74</v>
      </c>
      <c r="BR818" t="s">
        <v>102</v>
      </c>
      <c r="BS818" t="s">
        <v>15142</v>
      </c>
      <c r="BT818" t="str">
        <f>HYPERLINK("https%3A%2F%2Fwww.webofscience.com%2Fwos%2Fwoscc%2Ffull-record%2FWOS:000295524400001","View Full Record in Web of Science")</f>
        <v>View Full Record in Web of Science</v>
      </c>
    </row>
    <row r="819" spans="1:72" x14ac:dyDescent="0.15">
      <c r="A819" t="s">
        <v>72</v>
      </c>
      <c r="B819" t="s">
        <v>15143</v>
      </c>
      <c r="C819" t="s">
        <v>74</v>
      </c>
      <c r="D819" t="s">
        <v>74</v>
      </c>
      <c r="E819" t="s">
        <v>74</v>
      </c>
      <c r="F819" t="s">
        <v>15144</v>
      </c>
      <c r="G819" t="s">
        <v>74</v>
      </c>
      <c r="H819" t="s">
        <v>74</v>
      </c>
      <c r="I819" t="s">
        <v>15145</v>
      </c>
      <c r="J819" t="s">
        <v>15146</v>
      </c>
      <c r="K819" t="s">
        <v>74</v>
      </c>
      <c r="L819" t="s">
        <v>74</v>
      </c>
      <c r="M819" t="s">
        <v>78</v>
      </c>
      <c r="N819" t="s">
        <v>79</v>
      </c>
      <c r="O819" t="s">
        <v>74</v>
      </c>
      <c r="P819" t="s">
        <v>74</v>
      </c>
      <c r="Q819" t="s">
        <v>74</v>
      </c>
      <c r="R819" t="s">
        <v>74</v>
      </c>
      <c r="S819" t="s">
        <v>74</v>
      </c>
      <c r="T819" t="s">
        <v>15147</v>
      </c>
      <c r="U819" t="s">
        <v>15148</v>
      </c>
      <c r="V819" t="s">
        <v>15149</v>
      </c>
      <c r="W819" t="s">
        <v>15150</v>
      </c>
      <c r="X819" t="s">
        <v>4301</v>
      </c>
      <c r="Y819" t="s">
        <v>15151</v>
      </c>
      <c r="Z819" t="s">
        <v>15152</v>
      </c>
      <c r="AA819" t="s">
        <v>15153</v>
      </c>
      <c r="AB819" t="s">
        <v>15154</v>
      </c>
      <c r="AC819" t="s">
        <v>15155</v>
      </c>
      <c r="AD819" t="s">
        <v>15156</v>
      </c>
      <c r="AE819" t="s">
        <v>15157</v>
      </c>
      <c r="AF819" t="s">
        <v>74</v>
      </c>
      <c r="AG819">
        <v>72</v>
      </c>
      <c r="AH819">
        <v>12</v>
      </c>
      <c r="AI819">
        <v>12</v>
      </c>
      <c r="AJ819">
        <v>1</v>
      </c>
      <c r="AK819">
        <v>23</v>
      </c>
      <c r="AL819" t="s">
        <v>333</v>
      </c>
      <c r="AM819" t="s">
        <v>334</v>
      </c>
      <c r="AN819" t="s">
        <v>335</v>
      </c>
      <c r="AO819" t="s">
        <v>15158</v>
      </c>
      <c r="AP819" t="s">
        <v>15159</v>
      </c>
      <c r="AQ819" t="s">
        <v>74</v>
      </c>
      <c r="AR819" t="s">
        <v>15160</v>
      </c>
      <c r="AS819" t="s">
        <v>15161</v>
      </c>
      <c r="AT819" t="s">
        <v>15162</v>
      </c>
      <c r="AU819">
        <v>2011</v>
      </c>
      <c r="AV819">
        <v>222</v>
      </c>
      <c r="AW819">
        <v>18</v>
      </c>
      <c r="AX819" t="s">
        <v>74</v>
      </c>
      <c r="AY819" t="s">
        <v>74</v>
      </c>
      <c r="AZ819" t="s">
        <v>74</v>
      </c>
      <c r="BA819" t="s">
        <v>74</v>
      </c>
      <c r="BB819">
        <v>3320</v>
      </c>
      <c r="BC819">
        <v>3334</v>
      </c>
      <c r="BD819" t="s">
        <v>74</v>
      </c>
      <c r="BE819" t="s">
        <v>15163</v>
      </c>
      <c r="BF819" t="str">
        <f>HYPERLINK("http://dx.doi.org/10.1016/j.ecolmodel.2011.07.014","http://dx.doi.org/10.1016/j.ecolmodel.2011.07.014")</f>
        <v>http://dx.doi.org/10.1016/j.ecolmodel.2011.07.014</v>
      </c>
      <c r="BG819" t="s">
        <v>74</v>
      </c>
      <c r="BH819" t="s">
        <v>74</v>
      </c>
      <c r="BI819">
        <v>15</v>
      </c>
      <c r="BJ819" t="s">
        <v>2835</v>
      </c>
      <c r="BK819" t="s">
        <v>100</v>
      </c>
      <c r="BL819" t="s">
        <v>2837</v>
      </c>
      <c r="BM819" t="s">
        <v>15164</v>
      </c>
      <c r="BN819" t="s">
        <v>74</v>
      </c>
      <c r="BO819" t="s">
        <v>74</v>
      </c>
      <c r="BP819" t="s">
        <v>74</v>
      </c>
      <c r="BQ819" t="s">
        <v>74</v>
      </c>
      <c r="BR819" t="s">
        <v>102</v>
      </c>
      <c r="BS819" t="s">
        <v>15165</v>
      </c>
      <c r="BT819" t="str">
        <f>HYPERLINK("https%3A%2F%2Fwww.webofscience.com%2Fwos%2Fwoscc%2Ffull-record%2FWOS:000296124400002","View Full Record in Web of Science")</f>
        <v>View Full Record in Web of Science</v>
      </c>
    </row>
    <row r="820" spans="1:72" x14ac:dyDescent="0.15">
      <c r="A820" t="s">
        <v>72</v>
      </c>
      <c r="B820" t="s">
        <v>15166</v>
      </c>
      <c r="C820" t="s">
        <v>74</v>
      </c>
      <c r="D820" t="s">
        <v>74</v>
      </c>
      <c r="E820" t="s">
        <v>74</v>
      </c>
      <c r="F820" t="s">
        <v>15167</v>
      </c>
      <c r="G820" t="s">
        <v>74</v>
      </c>
      <c r="H820" t="s">
        <v>74</v>
      </c>
      <c r="I820" t="s">
        <v>15168</v>
      </c>
      <c r="J820" t="s">
        <v>6224</v>
      </c>
      <c r="K820" t="s">
        <v>74</v>
      </c>
      <c r="L820" t="s">
        <v>74</v>
      </c>
      <c r="M820" t="s">
        <v>78</v>
      </c>
      <c r="N820" t="s">
        <v>79</v>
      </c>
      <c r="O820" t="s">
        <v>74</v>
      </c>
      <c r="P820" t="s">
        <v>74</v>
      </c>
      <c r="Q820" t="s">
        <v>74</v>
      </c>
      <c r="R820" t="s">
        <v>74</v>
      </c>
      <c r="S820" t="s">
        <v>74</v>
      </c>
      <c r="T820" t="s">
        <v>74</v>
      </c>
      <c r="U820" t="s">
        <v>15169</v>
      </c>
      <c r="V820" t="s">
        <v>15170</v>
      </c>
      <c r="W820" t="s">
        <v>15171</v>
      </c>
      <c r="X820" t="s">
        <v>15172</v>
      </c>
      <c r="Y820" t="s">
        <v>15173</v>
      </c>
      <c r="Z820" t="s">
        <v>15174</v>
      </c>
      <c r="AA820" t="s">
        <v>15175</v>
      </c>
      <c r="AB820" t="s">
        <v>15176</v>
      </c>
      <c r="AC820" t="s">
        <v>15177</v>
      </c>
      <c r="AD820" t="s">
        <v>15178</v>
      </c>
      <c r="AE820" t="s">
        <v>15179</v>
      </c>
      <c r="AF820" t="s">
        <v>74</v>
      </c>
      <c r="AG820">
        <v>44</v>
      </c>
      <c r="AH820">
        <v>19</v>
      </c>
      <c r="AI820">
        <v>20</v>
      </c>
      <c r="AJ820">
        <v>0</v>
      </c>
      <c r="AK820">
        <v>14</v>
      </c>
      <c r="AL820" t="s">
        <v>1498</v>
      </c>
      <c r="AM820" t="s">
        <v>985</v>
      </c>
      <c r="AN820" t="s">
        <v>1499</v>
      </c>
      <c r="AO820" t="s">
        <v>6236</v>
      </c>
      <c r="AP820" t="s">
        <v>6237</v>
      </c>
      <c r="AQ820" t="s">
        <v>74</v>
      </c>
      <c r="AR820" t="s">
        <v>6238</v>
      </c>
      <c r="AS820" t="s">
        <v>6239</v>
      </c>
      <c r="AT820" t="s">
        <v>15162</v>
      </c>
      <c r="AU820">
        <v>2011</v>
      </c>
      <c r="AV820">
        <v>116</v>
      </c>
      <c r="AW820" t="s">
        <v>74</v>
      </c>
      <c r="AX820" t="s">
        <v>74</v>
      </c>
      <c r="AY820" t="s">
        <v>74</v>
      </c>
      <c r="AZ820" t="s">
        <v>74</v>
      </c>
      <c r="BA820" t="s">
        <v>74</v>
      </c>
      <c r="BB820" t="s">
        <v>74</v>
      </c>
      <c r="BC820" t="s">
        <v>74</v>
      </c>
      <c r="BD820" t="s">
        <v>15180</v>
      </c>
      <c r="BE820" t="s">
        <v>15181</v>
      </c>
      <c r="BF820" t="str">
        <f>HYPERLINK("http://dx.doi.org/10.1029/2011JD016070","http://dx.doi.org/10.1029/2011JD016070")</f>
        <v>http://dx.doi.org/10.1029/2011JD016070</v>
      </c>
      <c r="BG820" t="s">
        <v>74</v>
      </c>
      <c r="BH820" t="s">
        <v>74</v>
      </c>
      <c r="BI820">
        <v>15</v>
      </c>
      <c r="BJ820" t="s">
        <v>463</v>
      </c>
      <c r="BK820" t="s">
        <v>100</v>
      </c>
      <c r="BL820" t="s">
        <v>463</v>
      </c>
      <c r="BM820" t="s">
        <v>15182</v>
      </c>
      <c r="BN820" t="s">
        <v>74</v>
      </c>
      <c r="BO820" t="s">
        <v>74</v>
      </c>
      <c r="BP820" t="s">
        <v>74</v>
      </c>
      <c r="BQ820" t="s">
        <v>74</v>
      </c>
      <c r="BR820" t="s">
        <v>102</v>
      </c>
      <c r="BS820" t="s">
        <v>15183</v>
      </c>
      <c r="BT820" t="str">
        <f>HYPERLINK("https%3A%2F%2Fwww.webofscience.com%2Fwos%2Fwoscc%2Ffull-record%2FWOS:000295268500003","View Full Record in Web of Science")</f>
        <v>View Full Record in Web of Science</v>
      </c>
    </row>
    <row r="821" spans="1:72" x14ac:dyDescent="0.15">
      <c r="A821" t="s">
        <v>72</v>
      </c>
      <c r="B821" t="s">
        <v>15184</v>
      </c>
      <c r="C821" t="s">
        <v>74</v>
      </c>
      <c r="D821" t="s">
        <v>74</v>
      </c>
      <c r="E821" t="s">
        <v>74</v>
      </c>
      <c r="F821" t="s">
        <v>15185</v>
      </c>
      <c r="G821" t="s">
        <v>74</v>
      </c>
      <c r="H821" t="s">
        <v>74</v>
      </c>
      <c r="I821" t="s">
        <v>15186</v>
      </c>
      <c r="J821" t="s">
        <v>6224</v>
      </c>
      <c r="K821" t="s">
        <v>74</v>
      </c>
      <c r="L821" t="s">
        <v>74</v>
      </c>
      <c r="M821" t="s">
        <v>78</v>
      </c>
      <c r="N821" t="s">
        <v>79</v>
      </c>
      <c r="O821" t="s">
        <v>74</v>
      </c>
      <c r="P821" t="s">
        <v>74</v>
      </c>
      <c r="Q821" t="s">
        <v>74</v>
      </c>
      <c r="R821" t="s">
        <v>74</v>
      </c>
      <c r="S821" t="s">
        <v>74</v>
      </c>
      <c r="T821" t="s">
        <v>74</v>
      </c>
      <c r="U821" t="s">
        <v>15187</v>
      </c>
      <c r="V821" t="s">
        <v>15188</v>
      </c>
      <c r="W821" t="s">
        <v>15189</v>
      </c>
      <c r="X821" t="s">
        <v>15190</v>
      </c>
      <c r="Y821" t="s">
        <v>15191</v>
      </c>
      <c r="Z821" t="s">
        <v>15192</v>
      </c>
      <c r="AA821" t="s">
        <v>15193</v>
      </c>
      <c r="AB821" t="s">
        <v>74</v>
      </c>
      <c r="AC821" t="s">
        <v>15194</v>
      </c>
      <c r="AD821" t="s">
        <v>9081</v>
      </c>
      <c r="AE821" t="s">
        <v>15195</v>
      </c>
      <c r="AF821" t="s">
        <v>74</v>
      </c>
      <c r="AG821">
        <v>169</v>
      </c>
      <c r="AH821">
        <v>31</v>
      </c>
      <c r="AI821">
        <v>31</v>
      </c>
      <c r="AJ821">
        <v>0</v>
      </c>
      <c r="AK821">
        <v>19</v>
      </c>
      <c r="AL821" t="s">
        <v>1498</v>
      </c>
      <c r="AM821" t="s">
        <v>985</v>
      </c>
      <c r="AN821" t="s">
        <v>1499</v>
      </c>
      <c r="AO821" t="s">
        <v>6236</v>
      </c>
      <c r="AP821" t="s">
        <v>6237</v>
      </c>
      <c r="AQ821" t="s">
        <v>74</v>
      </c>
      <c r="AR821" t="s">
        <v>6238</v>
      </c>
      <c r="AS821" t="s">
        <v>6239</v>
      </c>
      <c r="AT821" t="s">
        <v>15162</v>
      </c>
      <c r="AU821">
        <v>2011</v>
      </c>
      <c r="AV821">
        <v>116</v>
      </c>
      <c r="AW821" t="s">
        <v>74</v>
      </c>
      <c r="AX821" t="s">
        <v>74</v>
      </c>
      <c r="AY821" t="s">
        <v>74</v>
      </c>
      <c r="AZ821" t="s">
        <v>74</v>
      </c>
      <c r="BA821" t="s">
        <v>74</v>
      </c>
      <c r="BB821" t="s">
        <v>74</v>
      </c>
      <c r="BC821" t="s">
        <v>74</v>
      </c>
      <c r="BD821" t="s">
        <v>15196</v>
      </c>
      <c r="BE821" t="s">
        <v>15197</v>
      </c>
      <c r="BF821" t="str">
        <f>HYPERLINK("http://dx.doi.org/10.1029/2011JD015590","http://dx.doi.org/10.1029/2011JD015590")</f>
        <v>http://dx.doi.org/10.1029/2011JD015590</v>
      </c>
      <c r="BG821" t="s">
        <v>74</v>
      </c>
      <c r="BH821" t="s">
        <v>74</v>
      </c>
      <c r="BI821">
        <v>22</v>
      </c>
      <c r="BJ821" t="s">
        <v>463</v>
      </c>
      <c r="BK821" t="s">
        <v>100</v>
      </c>
      <c r="BL821" t="s">
        <v>463</v>
      </c>
      <c r="BM821" t="s">
        <v>15182</v>
      </c>
      <c r="BN821" t="s">
        <v>74</v>
      </c>
      <c r="BO821" t="s">
        <v>365</v>
      </c>
      <c r="BP821" t="s">
        <v>74</v>
      </c>
      <c r="BQ821" t="s">
        <v>74</v>
      </c>
      <c r="BR821" t="s">
        <v>102</v>
      </c>
      <c r="BS821" t="s">
        <v>15198</v>
      </c>
      <c r="BT821" t="str">
        <f>HYPERLINK("https%3A%2F%2Fwww.webofscience.com%2Fwos%2Fwoscc%2Ffull-record%2FWOS:000295268500002","View Full Record in Web of Science")</f>
        <v>View Full Record in Web of Science</v>
      </c>
    </row>
    <row r="822" spans="1:72" x14ac:dyDescent="0.15">
      <c r="A822" t="s">
        <v>72</v>
      </c>
      <c r="B822" t="s">
        <v>15199</v>
      </c>
      <c r="C822" t="s">
        <v>74</v>
      </c>
      <c r="D822" t="s">
        <v>74</v>
      </c>
      <c r="E822" t="s">
        <v>74</v>
      </c>
      <c r="F822" t="s">
        <v>15200</v>
      </c>
      <c r="G822" t="s">
        <v>74</v>
      </c>
      <c r="H822" t="s">
        <v>74</v>
      </c>
      <c r="I822" t="s">
        <v>15201</v>
      </c>
      <c r="J822" t="s">
        <v>15146</v>
      </c>
      <c r="K822" t="s">
        <v>74</v>
      </c>
      <c r="L822" t="s">
        <v>74</v>
      </c>
      <c r="M822" t="s">
        <v>78</v>
      </c>
      <c r="N822" t="s">
        <v>79</v>
      </c>
      <c r="O822" t="s">
        <v>74</v>
      </c>
      <c r="P822" t="s">
        <v>74</v>
      </c>
      <c r="Q822" t="s">
        <v>74</v>
      </c>
      <c r="R822" t="s">
        <v>74</v>
      </c>
      <c r="S822" t="s">
        <v>74</v>
      </c>
      <c r="T822" t="s">
        <v>15202</v>
      </c>
      <c r="U822" t="s">
        <v>15203</v>
      </c>
      <c r="V822" t="s">
        <v>15204</v>
      </c>
      <c r="W822" t="s">
        <v>15205</v>
      </c>
      <c r="X822" t="s">
        <v>15206</v>
      </c>
      <c r="Y822" t="s">
        <v>15207</v>
      </c>
      <c r="Z822" t="s">
        <v>15208</v>
      </c>
      <c r="AA822" t="s">
        <v>15209</v>
      </c>
      <c r="AB822" t="s">
        <v>15210</v>
      </c>
      <c r="AC822" t="s">
        <v>15211</v>
      </c>
      <c r="AD822" t="s">
        <v>15211</v>
      </c>
      <c r="AE822" t="s">
        <v>15212</v>
      </c>
      <c r="AF822" t="s">
        <v>74</v>
      </c>
      <c r="AG822">
        <v>89</v>
      </c>
      <c r="AH822">
        <v>34</v>
      </c>
      <c r="AI822">
        <v>39</v>
      </c>
      <c r="AJ822">
        <v>3</v>
      </c>
      <c r="AK822">
        <v>148</v>
      </c>
      <c r="AL822" t="s">
        <v>333</v>
      </c>
      <c r="AM822" t="s">
        <v>334</v>
      </c>
      <c r="AN822" t="s">
        <v>335</v>
      </c>
      <c r="AO822" t="s">
        <v>15158</v>
      </c>
      <c r="AP822" t="s">
        <v>15159</v>
      </c>
      <c r="AQ822" t="s">
        <v>74</v>
      </c>
      <c r="AR822" t="s">
        <v>15160</v>
      </c>
      <c r="AS822" t="s">
        <v>15161</v>
      </c>
      <c r="AT822" t="s">
        <v>15162</v>
      </c>
      <c r="AU822">
        <v>2011</v>
      </c>
      <c r="AV822">
        <v>222</v>
      </c>
      <c r="AW822">
        <v>18</v>
      </c>
      <c r="AX822" t="s">
        <v>74</v>
      </c>
      <c r="AY822" t="s">
        <v>74</v>
      </c>
      <c r="AZ822" t="s">
        <v>74</v>
      </c>
      <c r="BA822" t="s">
        <v>74</v>
      </c>
      <c r="BB822">
        <v>3366</v>
      </c>
      <c r="BC822">
        <v>3379</v>
      </c>
      <c r="BD822" t="s">
        <v>74</v>
      </c>
      <c r="BE822" t="s">
        <v>15213</v>
      </c>
      <c r="BF822" t="str">
        <f>HYPERLINK("http://dx.doi.org/10.1016/j.ecolmodel.2011.07.013","http://dx.doi.org/10.1016/j.ecolmodel.2011.07.013")</f>
        <v>http://dx.doi.org/10.1016/j.ecolmodel.2011.07.013</v>
      </c>
      <c r="BG822" t="s">
        <v>74</v>
      </c>
      <c r="BH822" t="s">
        <v>74</v>
      </c>
      <c r="BI822">
        <v>14</v>
      </c>
      <c r="BJ822" t="s">
        <v>2835</v>
      </c>
      <c r="BK822" t="s">
        <v>100</v>
      </c>
      <c r="BL822" t="s">
        <v>2837</v>
      </c>
      <c r="BM822" t="s">
        <v>15164</v>
      </c>
      <c r="BN822" t="s">
        <v>74</v>
      </c>
      <c r="BO822" t="s">
        <v>74</v>
      </c>
      <c r="BP822" t="s">
        <v>74</v>
      </c>
      <c r="BQ822" t="s">
        <v>74</v>
      </c>
      <c r="BR822" t="s">
        <v>102</v>
      </c>
      <c r="BS822" t="s">
        <v>15214</v>
      </c>
      <c r="BT822" t="str">
        <f>HYPERLINK("https%3A%2F%2Fwww.webofscience.com%2Fwos%2Fwoscc%2Ffull-record%2FWOS:000296124400006","View Full Record in Web of Science")</f>
        <v>View Full Record in Web of Science</v>
      </c>
    </row>
    <row r="823" spans="1:72" x14ac:dyDescent="0.15">
      <c r="A823" t="s">
        <v>72</v>
      </c>
      <c r="B823" t="s">
        <v>15215</v>
      </c>
      <c r="C823" t="s">
        <v>74</v>
      </c>
      <c r="D823" t="s">
        <v>74</v>
      </c>
      <c r="E823" t="s">
        <v>74</v>
      </c>
      <c r="F823" t="s">
        <v>15216</v>
      </c>
      <c r="G823" t="s">
        <v>74</v>
      </c>
      <c r="H823" t="s">
        <v>74</v>
      </c>
      <c r="I823" t="s">
        <v>15217</v>
      </c>
      <c r="J823" t="s">
        <v>6124</v>
      </c>
      <c r="K823" t="s">
        <v>74</v>
      </c>
      <c r="L823" t="s">
        <v>74</v>
      </c>
      <c r="M823" t="s">
        <v>78</v>
      </c>
      <c r="N823" t="s">
        <v>79</v>
      </c>
      <c r="O823" t="s">
        <v>74</v>
      </c>
      <c r="P823" t="s">
        <v>74</v>
      </c>
      <c r="Q823" t="s">
        <v>74</v>
      </c>
      <c r="R823" t="s">
        <v>74</v>
      </c>
      <c r="S823" t="s">
        <v>74</v>
      </c>
      <c r="T823" t="s">
        <v>74</v>
      </c>
      <c r="U823" t="s">
        <v>15218</v>
      </c>
      <c r="V823" t="s">
        <v>15219</v>
      </c>
      <c r="W823" t="s">
        <v>15220</v>
      </c>
      <c r="X823" t="s">
        <v>15221</v>
      </c>
      <c r="Y823" t="s">
        <v>15222</v>
      </c>
      <c r="Z823" t="s">
        <v>15223</v>
      </c>
      <c r="AA823" t="s">
        <v>15224</v>
      </c>
      <c r="AB823" t="s">
        <v>74</v>
      </c>
      <c r="AC823" t="s">
        <v>15225</v>
      </c>
      <c r="AD823" t="s">
        <v>3277</v>
      </c>
      <c r="AE823" t="s">
        <v>15226</v>
      </c>
      <c r="AF823" t="s">
        <v>74</v>
      </c>
      <c r="AG823">
        <v>29</v>
      </c>
      <c r="AH823">
        <v>17</v>
      </c>
      <c r="AI823">
        <v>19</v>
      </c>
      <c r="AJ823">
        <v>1</v>
      </c>
      <c r="AK823">
        <v>18</v>
      </c>
      <c r="AL823" t="s">
        <v>1498</v>
      </c>
      <c r="AM823" t="s">
        <v>985</v>
      </c>
      <c r="AN823" t="s">
        <v>1499</v>
      </c>
      <c r="AO823" t="s">
        <v>6136</v>
      </c>
      <c r="AP823" t="s">
        <v>6137</v>
      </c>
      <c r="AQ823" t="s">
        <v>74</v>
      </c>
      <c r="AR823" t="s">
        <v>6138</v>
      </c>
      <c r="AS823" t="s">
        <v>6139</v>
      </c>
      <c r="AT823" t="s">
        <v>15227</v>
      </c>
      <c r="AU823">
        <v>2011</v>
      </c>
      <c r="AV823">
        <v>116</v>
      </c>
      <c r="AW823" t="s">
        <v>74</v>
      </c>
      <c r="AX823" t="s">
        <v>74</v>
      </c>
      <c r="AY823" t="s">
        <v>74</v>
      </c>
      <c r="AZ823" t="s">
        <v>74</v>
      </c>
      <c r="BA823" t="s">
        <v>74</v>
      </c>
      <c r="BB823" t="s">
        <v>74</v>
      </c>
      <c r="BC823" t="s">
        <v>74</v>
      </c>
      <c r="BD823" t="s">
        <v>15228</v>
      </c>
      <c r="BE823" t="s">
        <v>15229</v>
      </c>
      <c r="BF823" t="str">
        <f>HYPERLINK("http://dx.doi.org/10.1029/2010JC006781","http://dx.doi.org/10.1029/2010JC006781")</f>
        <v>http://dx.doi.org/10.1029/2010JC006781</v>
      </c>
      <c r="BG823" t="s">
        <v>74</v>
      </c>
      <c r="BH823" t="s">
        <v>74</v>
      </c>
      <c r="BI823">
        <v>9</v>
      </c>
      <c r="BJ823" t="s">
        <v>496</v>
      </c>
      <c r="BK823" t="s">
        <v>100</v>
      </c>
      <c r="BL823" t="s">
        <v>496</v>
      </c>
      <c r="BM823" t="s">
        <v>15230</v>
      </c>
      <c r="BN823" t="s">
        <v>74</v>
      </c>
      <c r="BO823" t="s">
        <v>365</v>
      </c>
      <c r="BP823" t="s">
        <v>74</v>
      </c>
      <c r="BQ823" t="s">
        <v>74</v>
      </c>
      <c r="BR823" t="s">
        <v>102</v>
      </c>
      <c r="BS823" t="s">
        <v>15231</v>
      </c>
      <c r="BT823" t="str">
        <f>HYPERLINK("https%3A%2F%2Fwww.webofscience.com%2Fwos%2Fwoscc%2Ffull-record%2FWOS:000295260000001","View Full Record in Web of Science")</f>
        <v>View Full Record in Web of Science</v>
      </c>
    </row>
    <row r="824" spans="1:72" x14ac:dyDescent="0.15">
      <c r="A824" t="s">
        <v>72</v>
      </c>
      <c r="B824" t="s">
        <v>15232</v>
      </c>
      <c r="C824" t="s">
        <v>74</v>
      </c>
      <c r="D824" t="s">
        <v>74</v>
      </c>
      <c r="E824" t="s">
        <v>74</v>
      </c>
      <c r="F824" t="s">
        <v>15233</v>
      </c>
      <c r="G824" t="s">
        <v>74</v>
      </c>
      <c r="H824" t="s">
        <v>74</v>
      </c>
      <c r="I824" t="s">
        <v>15234</v>
      </c>
      <c r="J824" t="s">
        <v>15235</v>
      </c>
      <c r="K824" t="s">
        <v>74</v>
      </c>
      <c r="L824" t="s">
        <v>74</v>
      </c>
      <c r="M824" t="s">
        <v>78</v>
      </c>
      <c r="N824" t="s">
        <v>79</v>
      </c>
      <c r="O824" t="s">
        <v>74</v>
      </c>
      <c r="P824" t="s">
        <v>74</v>
      </c>
      <c r="Q824" t="s">
        <v>74</v>
      </c>
      <c r="R824" t="s">
        <v>74</v>
      </c>
      <c r="S824" t="s">
        <v>74</v>
      </c>
      <c r="T824" t="s">
        <v>74</v>
      </c>
      <c r="U824" t="s">
        <v>15236</v>
      </c>
      <c r="V824" t="s">
        <v>15237</v>
      </c>
      <c r="W824" t="s">
        <v>15238</v>
      </c>
      <c r="X824" t="s">
        <v>15239</v>
      </c>
      <c r="Y824" t="s">
        <v>15240</v>
      </c>
      <c r="Z824" t="s">
        <v>15241</v>
      </c>
      <c r="AA824" t="s">
        <v>15242</v>
      </c>
      <c r="AB824" t="s">
        <v>15243</v>
      </c>
      <c r="AC824" t="s">
        <v>15244</v>
      </c>
      <c r="AD824" t="s">
        <v>15245</v>
      </c>
      <c r="AE824" t="s">
        <v>15246</v>
      </c>
      <c r="AF824" t="s">
        <v>74</v>
      </c>
      <c r="AG824">
        <v>78</v>
      </c>
      <c r="AH824">
        <v>22</v>
      </c>
      <c r="AI824">
        <v>24</v>
      </c>
      <c r="AJ824">
        <v>0</v>
      </c>
      <c r="AK824">
        <v>19</v>
      </c>
      <c r="AL824" t="s">
        <v>1498</v>
      </c>
      <c r="AM824" t="s">
        <v>985</v>
      </c>
      <c r="AN824" t="s">
        <v>1499</v>
      </c>
      <c r="AO824" t="s">
        <v>15247</v>
      </c>
      <c r="AP824" t="s">
        <v>15248</v>
      </c>
      <c r="AQ824" t="s">
        <v>74</v>
      </c>
      <c r="AR824" t="s">
        <v>15249</v>
      </c>
      <c r="AS824" t="s">
        <v>15250</v>
      </c>
      <c r="AT824" t="s">
        <v>15227</v>
      </c>
      <c r="AU824">
        <v>2011</v>
      </c>
      <c r="AV824">
        <v>116</v>
      </c>
      <c r="AW824" t="s">
        <v>74</v>
      </c>
      <c r="AX824" t="s">
        <v>74</v>
      </c>
      <c r="AY824" t="s">
        <v>74</v>
      </c>
      <c r="AZ824" t="s">
        <v>74</v>
      </c>
      <c r="BA824" t="s">
        <v>74</v>
      </c>
      <c r="BB824" t="s">
        <v>74</v>
      </c>
      <c r="BC824" t="s">
        <v>74</v>
      </c>
      <c r="BD824" t="s">
        <v>15251</v>
      </c>
      <c r="BE824" t="s">
        <v>15252</v>
      </c>
      <c r="BF824" t="str">
        <f>HYPERLINK("http://dx.doi.org/10.1029/2010JB007768","http://dx.doi.org/10.1029/2010JB007768")</f>
        <v>http://dx.doi.org/10.1029/2010JB007768</v>
      </c>
      <c r="BG824" t="s">
        <v>74</v>
      </c>
      <c r="BH824" t="s">
        <v>74</v>
      </c>
      <c r="BI824">
        <v>19</v>
      </c>
      <c r="BJ824" t="s">
        <v>164</v>
      </c>
      <c r="BK824" t="s">
        <v>100</v>
      </c>
      <c r="BL824" t="s">
        <v>164</v>
      </c>
      <c r="BM824" t="s">
        <v>15253</v>
      </c>
      <c r="BN824" t="s">
        <v>74</v>
      </c>
      <c r="BO824" t="s">
        <v>6160</v>
      </c>
      <c r="BP824" t="s">
        <v>74</v>
      </c>
      <c r="BQ824" t="s">
        <v>74</v>
      </c>
      <c r="BR824" t="s">
        <v>102</v>
      </c>
      <c r="BS824" t="s">
        <v>15254</v>
      </c>
      <c r="BT824" t="str">
        <f>HYPERLINK("https%3A%2F%2Fwww.webofscience.com%2Fwos%2Fwoscc%2Ffull-record%2FWOS:000295258600001","View Full Record in Web of Science")</f>
        <v>View Full Record in Web of Science</v>
      </c>
    </row>
    <row r="825" spans="1:72" x14ac:dyDescent="0.15">
      <c r="A825" t="s">
        <v>72</v>
      </c>
      <c r="B825" t="s">
        <v>15255</v>
      </c>
      <c r="C825" t="s">
        <v>74</v>
      </c>
      <c r="D825" t="s">
        <v>74</v>
      </c>
      <c r="E825" t="s">
        <v>74</v>
      </c>
      <c r="F825" t="s">
        <v>15256</v>
      </c>
      <c r="G825" t="s">
        <v>74</v>
      </c>
      <c r="H825" t="s">
        <v>74</v>
      </c>
      <c r="I825" t="s">
        <v>15257</v>
      </c>
      <c r="J825" t="s">
        <v>6165</v>
      </c>
      <c r="K825" t="s">
        <v>74</v>
      </c>
      <c r="L825" t="s">
        <v>74</v>
      </c>
      <c r="M825" t="s">
        <v>78</v>
      </c>
      <c r="N825" t="s">
        <v>79</v>
      </c>
      <c r="O825" t="s">
        <v>74</v>
      </c>
      <c r="P825" t="s">
        <v>74</v>
      </c>
      <c r="Q825" t="s">
        <v>74</v>
      </c>
      <c r="R825" t="s">
        <v>74</v>
      </c>
      <c r="S825" t="s">
        <v>74</v>
      </c>
      <c r="T825" t="s">
        <v>74</v>
      </c>
      <c r="U825" t="s">
        <v>15258</v>
      </c>
      <c r="V825" t="s">
        <v>15259</v>
      </c>
      <c r="W825" t="s">
        <v>15260</v>
      </c>
      <c r="X825" t="s">
        <v>15261</v>
      </c>
      <c r="Y825" t="s">
        <v>15262</v>
      </c>
      <c r="Z825" t="s">
        <v>15263</v>
      </c>
      <c r="AA825" t="s">
        <v>15264</v>
      </c>
      <c r="AB825" t="s">
        <v>15265</v>
      </c>
      <c r="AC825" t="s">
        <v>15266</v>
      </c>
      <c r="AD825" t="s">
        <v>15267</v>
      </c>
      <c r="AE825" t="s">
        <v>15268</v>
      </c>
      <c r="AF825" t="s">
        <v>74</v>
      </c>
      <c r="AG825">
        <v>61</v>
      </c>
      <c r="AH825">
        <v>31</v>
      </c>
      <c r="AI825">
        <v>34</v>
      </c>
      <c r="AJ825">
        <v>4</v>
      </c>
      <c r="AK825">
        <v>116</v>
      </c>
      <c r="AL825" t="s">
        <v>5249</v>
      </c>
      <c r="AM825" t="s">
        <v>5250</v>
      </c>
      <c r="AN825" t="s">
        <v>5251</v>
      </c>
      <c r="AO825" t="s">
        <v>6177</v>
      </c>
      <c r="AP825" t="s">
        <v>74</v>
      </c>
      <c r="AQ825" t="s">
        <v>74</v>
      </c>
      <c r="AR825" t="s">
        <v>6165</v>
      </c>
      <c r="AS825" t="s">
        <v>6178</v>
      </c>
      <c r="AT825" t="s">
        <v>15269</v>
      </c>
      <c r="AU825">
        <v>2011</v>
      </c>
      <c r="AV825">
        <v>6</v>
      </c>
      <c r="AW825">
        <v>9</v>
      </c>
      <c r="AX825" t="s">
        <v>74</v>
      </c>
      <c r="AY825" t="s">
        <v>74</v>
      </c>
      <c r="AZ825" t="s">
        <v>74</v>
      </c>
      <c r="BA825" t="s">
        <v>74</v>
      </c>
      <c r="BB825" t="s">
        <v>74</v>
      </c>
      <c r="BC825" t="s">
        <v>74</v>
      </c>
      <c r="BD825" t="s">
        <v>15270</v>
      </c>
      <c r="BE825" t="s">
        <v>15271</v>
      </c>
      <c r="BF825" t="str">
        <f>HYPERLINK("http://dx.doi.org/10.1371/journal.pone.0024980","http://dx.doi.org/10.1371/journal.pone.0024980")</f>
        <v>http://dx.doi.org/10.1371/journal.pone.0024980</v>
      </c>
      <c r="BG825" t="s">
        <v>74</v>
      </c>
      <c r="BH825" t="s">
        <v>74</v>
      </c>
      <c r="BI825">
        <v>7</v>
      </c>
      <c r="BJ825" t="s">
        <v>6182</v>
      </c>
      <c r="BK825" t="s">
        <v>100</v>
      </c>
      <c r="BL825" t="s">
        <v>6183</v>
      </c>
      <c r="BM825" t="s">
        <v>15272</v>
      </c>
      <c r="BN825">
        <v>21949818</v>
      </c>
      <c r="BO825" t="s">
        <v>1887</v>
      </c>
      <c r="BP825" t="s">
        <v>74</v>
      </c>
      <c r="BQ825" t="s">
        <v>74</v>
      </c>
      <c r="BR825" t="s">
        <v>102</v>
      </c>
      <c r="BS825" t="s">
        <v>15273</v>
      </c>
      <c r="BT825" t="str">
        <f>HYPERLINK("https%3A%2F%2Fwww.webofscience.com%2Fwos%2Fwoscc%2Ffull-record%2FWOS:000295260400028","View Full Record in Web of Science")</f>
        <v>View Full Record in Web of Science</v>
      </c>
    </row>
    <row r="826" spans="1:72" x14ac:dyDescent="0.15">
      <c r="A826" t="s">
        <v>72</v>
      </c>
      <c r="B826" t="s">
        <v>15274</v>
      </c>
      <c r="C826" t="s">
        <v>74</v>
      </c>
      <c r="D826" t="s">
        <v>74</v>
      </c>
      <c r="E826" t="s">
        <v>74</v>
      </c>
      <c r="F826" t="s">
        <v>15275</v>
      </c>
      <c r="G826" t="s">
        <v>74</v>
      </c>
      <c r="H826" t="s">
        <v>74</v>
      </c>
      <c r="I826" t="s">
        <v>15276</v>
      </c>
      <c r="J826" t="s">
        <v>6467</v>
      </c>
      <c r="K826" t="s">
        <v>74</v>
      </c>
      <c r="L826" t="s">
        <v>74</v>
      </c>
      <c r="M826" t="s">
        <v>78</v>
      </c>
      <c r="N826" t="s">
        <v>79</v>
      </c>
      <c r="O826" t="s">
        <v>74</v>
      </c>
      <c r="P826" t="s">
        <v>74</v>
      </c>
      <c r="Q826" t="s">
        <v>74</v>
      </c>
      <c r="R826" t="s">
        <v>74</v>
      </c>
      <c r="S826" t="s">
        <v>74</v>
      </c>
      <c r="T826" t="s">
        <v>15277</v>
      </c>
      <c r="U826" t="s">
        <v>15278</v>
      </c>
      <c r="V826" t="s">
        <v>15279</v>
      </c>
      <c r="W826" t="s">
        <v>15280</v>
      </c>
      <c r="X826" t="s">
        <v>15281</v>
      </c>
      <c r="Y826" t="s">
        <v>15282</v>
      </c>
      <c r="Z826" t="s">
        <v>15283</v>
      </c>
      <c r="AA826" t="s">
        <v>15284</v>
      </c>
      <c r="AB826" t="s">
        <v>15285</v>
      </c>
      <c r="AC826" t="s">
        <v>15286</v>
      </c>
      <c r="AD826" t="s">
        <v>15287</v>
      </c>
      <c r="AE826" t="s">
        <v>15288</v>
      </c>
      <c r="AF826" t="s">
        <v>74</v>
      </c>
      <c r="AG826">
        <v>65</v>
      </c>
      <c r="AH826">
        <v>75</v>
      </c>
      <c r="AI826">
        <v>82</v>
      </c>
      <c r="AJ826">
        <v>0</v>
      </c>
      <c r="AK826">
        <v>65</v>
      </c>
      <c r="AL826" t="s">
        <v>333</v>
      </c>
      <c r="AM826" t="s">
        <v>334</v>
      </c>
      <c r="AN826" t="s">
        <v>335</v>
      </c>
      <c r="AO826" t="s">
        <v>6479</v>
      </c>
      <c r="AP826" t="s">
        <v>6480</v>
      </c>
      <c r="AQ826" t="s">
        <v>74</v>
      </c>
      <c r="AR826" t="s">
        <v>6481</v>
      </c>
      <c r="AS826" t="s">
        <v>6482</v>
      </c>
      <c r="AT826" t="s">
        <v>15269</v>
      </c>
      <c r="AU826">
        <v>2011</v>
      </c>
      <c r="AV826">
        <v>126</v>
      </c>
      <c r="AW826" t="s">
        <v>6483</v>
      </c>
      <c r="AX826" t="s">
        <v>74</v>
      </c>
      <c r="AY826" t="s">
        <v>74</v>
      </c>
      <c r="AZ826" t="s">
        <v>74</v>
      </c>
      <c r="BA826" t="s">
        <v>74</v>
      </c>
      <c r="BB826">
        <v>97</v>
      </c>
      <c r="BC826">
        <v>107</v>
      </c>
      <c r="BD826" t="s">
        <v>74</v>
      </c>
      <c r="BE826" t="s">
        <v>15289</v>
      </c>
      <c r="BF826" t="str">
        <f>HYPERLINK("http://dx.doi.org/10.1016/j.marchem.2011.04.003","http://dx.doi.org/10.1016/j.marchem.2011.04.003")</f>
        <v>http://dx.doi.org/10.1016/j.marchem.2011.04.003</v>
      </c>
      <c r="BG826" t="s">
        <v>74</v>
      </c>
      <c r="BH826" t="s">
        <v>74</v>
      </c>
      <c r="BI826">
        <v>11</v>
      </c>
      <c r="BJ826" t="s">
        <v>6485</v>
      </c>
      <c r="BK826" t="s">
        <v>100</v>
      </c>
      <c r="BL826" t="s">
        <v>6486</v>
      </c>
      <c r="BM826" t="s">
        <v>15290</v>
      </c>
      <c r="BN826" t="s">
        <v>74</v>
      </c>
      <c r="BO826" t="s">
        <v>74</v>
      </c>
      <c r="BP826" t="s">
        <v>74</v>
      </c>
      <c r="BQ826" t="s">
        <v>74</v>
      </c>
      <c r="BR826" t="s">
        <v>102</v>
      </c>
      <c r="BS826" t="s">
        <v>15291</v>
      </c>
      <c r="BT826" t="str">
        <f>HYPERLINK("https%3A%2F%2Fwww.webofscience.com%2Fwos%2Fwoscc%2Ffull-record%2FWOS:000295195300009","View Full Record in Web of Science")</f>
        <v>View Full Record in Web of Science</v>
      </c>
    </row>
    <row r="827" spans="1:72" x14ac:dyDescent="0.15">
      <c r="A827" t="s">
        <v>72</v>
      </c>
      <c r="B827" t="s">
        <v>15292</v>
      </c>
      <c r="C827" t="s">
        <v>74</v>
      </c>
      <c r="D827" t="s">
        <v>74</v>
      </c>
      <c r="E827" t="s">
        <v>74</v>
      </c>
      <c r="F827" t="s">
        <v>15293</v>
      </c>
      <c r="G827" t="s">
        <v>74</v>
      </c>
      <c r="H827" t="s">
        <v>74</v>
      </c>
      <c r="I827" t="s">
        <v>15294</v>
      </c>
      <c r="J827" t="s">
        <v>6467</v>
      </c>
      <c r="K827" t="s">
        <v>74</v>
      </c>
      <c r="L827" t="s">
        <v>74</v>
      </c>
      <c r="M827" t="s">
        <v>78</v>
      </c>
      <c r="N827" t="s">
        <v>79</v>
      </c>
      <c r="O827" t="s">
        <v>74</v>
      </c>
      <c r="P827" t="s">
        <v>74</v>
      </c>
      <c r="Q827" t="s">
        <v>74</v>
      </c>
      <c r="R827" t="s">
        <v>74</v>
      </c>
      <c r="S827" t="s">
        <v>74</v>
      </c>
      <c r="T827" t="s">
        <v>15295</v>
      </c>
      <c r="U827" t="s">
        <v>15296</v>
      </c>
      <c r="V827" t="s">
        <v>15297</v>
      </c>
      <c r="W827" t="s">
        <v>15298</v>
      </c>
      <c r="X827" t="s">
        <v>15299</v>
      </c>
      <c r="Y827" t="s">
        <v>15300</v>
      </c>
      <c r="Z827" t="s">
        <v>15301</v>
      </c>
      <c r="AA827" t="s">
        <v>15302</v>
      </c>
      <c r="AB827" t="s">
        <v>15303</v>
      </c>
      <c r="AC827" t="s">
        <v>15304</v>
      </c>
      <c r="AD827" t="s">
        <v>15305</v>
      </c>
      <c r="AE827" t="s">
        <v>15306</v>
      </c>
      <c r="AF827" t="s">
        <v>74</v>
      </c>
      <c r="AG827">
        <v>34</v>
      </c>
      <c r="AH827">
        <v>27</v>
      </c>
      <c r="AI827">
        <v>27</v>
      </c>
      <c r="AJ827">
        <v>1</v>
      </c>
      <c r="AK827">
        <v>44</v>
      </c>
      <c r="AL827" t="s">
        <v>3479</v>
      </c>
      <c r="AM827" t="s">
        <v>334</v>
      </c>
      <c r="AN827" t="s">
        <v>3480</v>
      </c>
      <c r="AO827" t="s">
        <v>6479</v>
      </c>
      <c r="AP827" t="s">
        <v>74</v>
      </c>
      <c r="AQ827" t="s">
        <v>74</v>
      </c>
      <c r="AR827" t="s">
        <v>6481</v>
      </c>
      <c r="AS827" t="s">
        <v>6482</v>
      </c>
      <c r="AT827" t="s">
        <v>15269</v>
      </c>
      <c r="AU827">
        <v>2011</v>
      </c>
      <c r="AV827">
        <v>126</v>
      </c>
      <c r="AW827" t="s">
        <v>6483</v>
      </c>
      <c r="AX827" t="s">
        <v>74</v>
      </c>
      <c r="AY827" t="s">
        <v>74</v>
      </c>
      <c r="AZ827" t="s">
        <v>74</v>
      </c>
      <c r="BA827" t="s">
        <v>74</v>
      </c>
      <c r="BB827">
        <v>108</v>
      </c>
      <c r="BC827">
        <v>113</v>
      </c>
      <c r="BD827" t="s">
        <v>74</v>
      </c>
      <c r="BE827" t="s">
        <v>15307</v>
      </c>
      <c r="BF827" t="str">
        <f>HYPERLINK("http://dx.doi.org/10.1016/j.marchem.2011.04.004","http://dx.doi.org/10.1016/j.marchem.2011.04.004")</f>
        <v>http://dx.doi.org/10.1016/j.marchem.2011.04.004</v>
      </c>
      <c r="BG827" t="s">
        <v>74</v>
      </c>
      <c r="BH827" t="s">
        <v>74</v>
      </c>
      <c r="BI827">
        <v>6</v>
      </c>
      <c r="BJ827" t="s">
        <v>6485</v>
      </c>
      <c r="BK827" t="s">
        <v>100</v>
      </c>
      <c r="BL827" t="s">
        <v>6486</v>
      </c>
      <c r="BM827" t="s">
        <v>15290</v>
      </c>
      <c r="BN827" t="s">
        <v>74</v>
      </c>
      <c r="BO827" t="s">
        <v>3786</v>
      </c>
      <c r="BP827" t="s">
        <v>74</v>
      </c>
      <c r="BQ827" t="s">
        <v>74</v>
      </c>
      <c r="BR827" t="s">
        <v>102</v>
      </c>
      <c r="BS827" t="s">
        <v>15308</v>
      </c>
      <c r="BT827" t="str">
        <f>HYPERLINK("https%3A%2F%2Fwww.webofscience.com%2Fwos%2Fwoscc%2Ffull-record%2FWOS:000295195300010","View Full Record in Web of Science")</f>
        <v>View Full Record in Web of Science</v>
      </c>
    </row>
    <row r="828" spans="1:72" x14ac:dyDescent="0.15">
      <c r="A828" t="s">
        <v>72</v>
      </c>
      <c r="B828" t="s">
        <v>15309</v>
      </c>
      <c r="C828" t="s">
        <v>74</v>
      </c>
      <c r="D828" t="s">
        <v>74</v>
      </c>
      <c r="E828" t="s">
        <v>74</v>
      </c>
      <c r="F828" t="s">
        <v>15310</v>
      </c>
      <c r="G828" t="s">
        <v>74</v>
      </c>
      <c r="H828" t="s">
        <v>74</v>
      </c>
      <c r="I828" t="s">
        <v>15311</v>
      </c>
      <c r="J828" t="s">
        <v>6124</v>
      </c>
      <c r="K828" t="s">
        <v>74</v>
      </c>
      <c r="L828" t="s">
        <v>74</v>
      </c>
      <c r="M828" t="s">
        <v>78</v>
      </c>
      <c r="N828" t="s">
        <v>79</v>
      </c>
      <c r="O828" t="s">
        <v>74</v>
      </c>
      <c r="P828" t="s">
        <v>74</v>
      </c>
      <c r="Q828" t="s">
        <v>74</v>
      </c>
      <c r="R828" t="s">
        <v>74</v>
      </c>
      <c r="S828" t="s">
        <v>74</v>
      </c>
      <c r="T828" t="s">
        <v>74</v>
      </c>
      <c r="U828" t="s">
        <v>15312</v>
      </c>
      <c r="V828" t="s">
        <v>15313</v>
      </c>
      <c r="W828" t="s">
        <v>15314</v>
      </c>
      <c r="X828" t="s">
        <v>15315</v>
      </c>
      <c r="Y828" t="s">
        <v>15316</v>
      </c>
      <c r="Z828" t="s">
        <v>15317</v>
      </c>
      <c r="AA828" t="s">
        <v>74</v>
      </c>
      <c r="AB828" t="s">
        <v>74</v>
      </c>
      <c r="AC828" t="s">
        <v>15318</v>
      </c>
      <c r="AD828" t="s">
        <v>2291</v>
      </c>
      <c r="AE828" t="s">
        <v>15319</v>
      </c>
      <c r="AF828" t="s">
        <v>74</v>
      </c>
      <c r="AG828">
        <v>51</v>
      </c>
      <c r="AH828">
        <v>34</v>
      </c>
      <c r="AI828">
        <v>39</v>
      </c>
      <c r="AJ828">
        <v>0</v>
      </c>
      <c r="AK828">
        <v>16</v>
      </c>
      <c r="AL828" t="s">
        <v>1498</v>
      </c>
      <c r="AM828" t="s">
        <v>985</v>
      </c>
      <c r="AN828" t="s">
        <v>1499</v>
      </c>
      <c r="AO828" t="s">
        <v>6136</v>
      </c>
      <c r="AP828" t="s">
        <v>6137</v>
      </c>
      <c r="AQ828" t="s">
        <v>74</v>
      </c>
      <c r="AR828" t="s">
        <v>6138</v>
      </c>
      <c r="AS828" t="s">
        <v>6139</v>
      </c>
      <c r="AT828" t="s">
        <v>15269</v>
      </c>
      <c r="AU828">
        <v>2011</v>
      </c>
      <c r="AV828">
        <v>116</v>
      </c>
      <c r="AW828" t="s">
        <v>74</v>
      </c>
      <c r="AX828" t="s">
        <v>74</v>
      </c>
      <c r="AY828" t="s">
        <v>74</v>
      </c>
      <c r="AZ828" t="s">
        <v>74</v>
      </c>
      <c r="BA828" t="s">
        <v>74</v>
      </c>
      <c r="BB828" t="s">
        <v>74</v>
      </c>
      <c r="BC828" t="s">
        <v>74</v>
      </c>
      <c r="BD828" t="s">
        <v>15320</v>
      </c>
      <c r="BE828" t="s">
        <v>15321</v>
      </c>
      <c r="BF828" t="str">
        <f>HYPERLINK("http://dx.doi.org/10.1029/2010JC006749","http://dx.doi.org/10.1029/2010JC006749")</f>
        <v>http://dx.doi.org/10.1029/2010JC006749</v>
      </c>
      <c r="BG828" t="s">
        <v>74</v>
      </c>
      <c r="BH828" t="s">
        <v>74</v>
      </c>
      <c r="BI828">
        <v>17</v>
      </c>
      <c r="BJ828" t="s">
        <v>496</v>
      </c>
      <c r="BK828" t="s">
        <v>100</v>
      </c>
      <c r="BL828" t="s">
        <v>496</v>
      </c>
      <c r="BM828" t="s">
        <v>15322</v>
      </c>
      <c r="BN828" t="s">
        <v>74</v>
      </c>
      <c r="BO828" t="s">
        <v>2679</v>
      </c>
      <c r="BP828" t="s">
        <v>74</v>
      </c>
      <c r="BQ828" t="s">
        <v>74</v>
      </c>
      <c r="BR828" t="s">
        <v>102</v>
      </c>
      <c r="BS828" t="s">
        <v>15323</v>
      </c>
      <c r="BT828" t="str">
        <f>HYPERLINK("https%3A%2F%2Fwww.webofscience.com%2Fwos%2Fwoscc%2Ffull-record%2FWOS:000295259600002","View Full Record in Web of Science")</f>
        <v>View Full Record in Web of Science</v>
      </c>
    </row>
    <row r="829" spans="1:72" x14ac:dyDescent="0.15">
      <c r="A829" t="s">
        <v>72</v>
      </c>
      <c r="B829" t="s">
        <v>15324</v>
      </c>
      <c r="C829" t="s">
        <v>74</v>
      </c>
      <c r="D829" t="s">
        <v>74</v>
      </c>
      <c r="E829" t="s">
        <v>74</v>
      </c>
      <c r="F829" t="s">
        <v>15325</v>
      </c>
      <c r="G829" t="s">
        <v>74</v>
      </c>
      <c r="H829" t="s">
        <v>74</v>
      </c>
      <c r="I829" t="s">
        <v>15326</v>
      </c>
      <c r="J829" t="s">
        <v>6467</v>
      </c>
      <c r="K829" t="s">
        <v>74</v>
      </c>
      <c r="L829" t="s">
        <v>74</v>
      </c>
      <c r="M829" t="s">
        <v>78</v>
      </c>
      <c r="N829" t="s">
        <v>79</v>
      </c>
      <c r="O829" t="s">
        <v>74</v>
      </c>
      <c r="P829" t="s">
        <v>74</v>
      </c>
      <c r="Q829" t="s">
        <v>74</v>
      </c>
      <c r="R829" t="s">
        <v>74</v>
      </c>
      <c r="S829" t="s">
        <v>74</v>
      </c>
      <c r="T829" t="s">
        <v>15327</v>
      </c>
      <c r="U829" t="s">
        <v>15328</v>
      </c>
      <c r="V829" t="s">
        <v>15329</v>
      </c>
      <c r="W829" t="s">
        <v>15330</v>
      </c>
      <c r="X829" t="s">
        <v>15331</v>
      </c>
      <c r="Y829" t="s">
        <v>15332</v>
      </c>
      <c r="Z829" t="s">
        <v>15333</v>
      </c>
      <c r="AA829" t="s">
        <v>15334</v>
      </c>
      <c r="AB829" t="s">
        <v>15335</v>
      </c>
      <c r="AC829" t="s">
        <v>15336</v>
      </c>
      <c r="AD829" t="s">
        <v>15337</v>
      </c>
      <c r="AE829" t="s">
        <v>15338</v>
      </c>
      <c r="AF829" t="s">
        <v>74</v>
      </c>
      <c r="AG829">
        <v>82</v>
      </c>
      <c r="AH829">
        <v>52</v>
      </c>
      <c r="AI829">
        <v>55</v>
      </c>
      <c r="AJ829">
        <v>1</v>
      </c>
      <c r="AK829">
        <v>49</v>
      </c>
      <c r="AL829" t="s">
        <v>3479</v>
      </c>
      <c r="AM829" t="s">
        <v>334</v>
      </c>
      <c r="AN829" t="s">
        <v>3480</v>
      </c>
      <c r="AO829" t="s">
        <v>6479</v>
      </c>
      <c r="AP829" t="s">
        <v>6480</v>
      </c>
      <c r="AQ829" t="s">
        <v>74</v>
      </c>
      <c r="AR829" t="s">
        <v>6481</v>
      </c>
      <c r="AS829" t="s">
        <v>6482</v>
      </c>
      <c r="AT829" t="s">
        <v>15269</v>
      </c>
      <c r="AU829">
        <v>2011</v>
      </c>
      <c r="AV829">
        <v>126</v>
      </c>
      <c r="AW829" t="s">
        <v>6483</v>
      </c>
      <c r="AX829" t="s">
        <v>74</v>
      </c>
      <c r="AY829" t="s">
        <v>74</v>
      </c>
      <c r="AZ829" t="s">
        <v>74</v>
      </c>
      <c r="BA829" t="s">
        <v>74</v>
      </c>
      <c r="BB829">
        <v>193</v>
      </c>
      <c r="BC829">
        <v>206</v>
      </c>
      <c r="BD829" t="s">
        <v>74</v>
      </c>
      <c r="BE829" t="s">
        <v>15339</v>
      </c>
      <c r="BF829" t="str">
        <f>HYPERLINK("http://dx.doi.org/10.1016/j.marchem.2011.03.008","http://dx.doi.org/10.1016/j.marchem.2011.03.008")</f>
        <v>http://dx.doi.org/10.1016/j.marchem.2011.03.008</v>
      </c>
      <c r="BG829" t="s">
        <v>74</v>
      </c>
      <c r="BH829" t="s">
        <v>74</v>
      </c>
      <c r="BI829">
        <v>14</v>
      </c>
      <c r="BJ829" t="s">
        <v>6485</v>
      </c>
      <c r="BK829" t="s">
        <v>100</v>
      </c>
      <c r="BL829" t="s">
        <v>6486</v>
      </c>
      <c r="BM829" t="s">
        <v>15290</v>
      </c>
      <c r="BN829" t="s">
        <v>74</v>
      </c>
      <c r="BO829" t="s">
        <v>74</v>
      </c>
      <c r="BP829" t="s">
        <v>74</v>
      </c>
      <c r="BQ829" t="s">
        <v>74</v>
      </c>
      <c r="BR829" t="s">
        <v>102</v>
      </c>
      <c r="BS829" t="s">
        <v>15340</v>
      </c>
      <c r="BT829" t="str">
        <f>HYPERLINK("https%3A%2F%2Fwww.webofscience.com%2Fwos%2Fwoscc%2Ffull-record%2FWOS:000295195300020","View Full Record in Web of Science")</f>
        <v>View Full Record in Web of Science</v>
      </c>
    </row>
    <row r="830" spans="1:72" x14ac:dyDescent="0.15">
      <c r="A830" t="s">
        <v>72</v>
      </c>
      <c r="B830" t="s">
        <v>15341</v>
      </c>
      <c r="C830" t="s">
        <v>74</v>
      </c>
      <c r="D830" t="s">
        <v>74</v>
      </c>
      <c r="E830" t="s">
        <v>74</v>
      </c>
      <c r="F830" t="s">
        <v>15342</v>
      </c>
      <c r="G830" t="s">
        <v>74</v>
      </c>
      <c r="H830" t="s">
        <v>74</v>
      </c>
      <c r="I830" t="s">
        <v>15343</v>
      </c>
      <c r="J830" t="s">
        <v>6467</v>
      </c>
      <c r="K830" t="s">
        <v>74</v>
      </c>
      <c r="L830" t="s">
        <v>74</v>
      </c>
      <c r="M830" t="s">
        <v>78</v>
      </c>
      <c r="N830" t="s">
        <v>79</v>
      </c>
      <c r="O830" t="s">
        <v>74</v>
      </c>
      <c r="P830" t="s">
        <v>74</v>
      </c>
      <c r="Q830" t="s">
        <v>74</v>
      </c>
      <c r="R830" t="s">
        <v>74</v>
      </c>
      <c r="S830" t="s">
        <v>74</v>
      </c>
      <c r="T830" t="s">
        <v>15344</v>
      </c>
      <c r="U830" t="s">
        <v>15345</v>
      </c>
      <c r="V830" t="s">
        <v>15346</v>
      </c>
      <c r="W830" t="s">
        <v>15347</v>
      </c>
      <c r="X830" t="s">
        <v>15348</v>
      </c>
      <c r="Y830" t="s">
        <v>15349</v>
      </c>
      <c r="Z830" t="s">
        <v>15350</v>
      </c>
      <c r="AA830" t="s">
        <v>15351</v>
      </c>
      <c r="AB830" t="s">
        <v>15352</v>
      </c>
      <c r="AC830" t="s">
        <v>15353</v>
      </c>
      <c r="AD830" t="s">
        <v>15354</v>
      </c>
      <c r="AE830" t="s">
        <v>15355</v>
      </c>
      <c r="AF830" t="s">
        <v>74</v>
      </c>
      <c r="AG830">
        <v>71</v>
      </c>
      <c r="AH830">
        <v>40</v>
      </c>
      <c r="AI830">
        <v>41</v>
      </c>
      <c r="AJ830">
        <v>3</v>
      </c>
      <c r="AK830">
        <v>39</v>
      </c>
      <c r="AL830" t="s">
        <v>333</v>
      </c>
      <c r="AM830" t="s">
        <v>334</v>
      </c>
      <c r="AN830" t="s">
        <v>335</v>
      </c>
      <c r="AO830" t="s">
        <v>6479</v>
      </c>
      <c r="AP830" t="s">
        <v>6480</v>
      </c>
      <c r="AQ830" t="s">
        <v>74</v>
      </c>
      <c r="AR830" t="s">
        <v>6481</v>
      </c>
      <c r="AS830" t="s">
        <v>6482</v>
      </c>
      <c r="AT830" t="s">
        <v>15269</v>
      </c>
      <c r="AU830">
        <v>2011</v>
      </c>
      <c r="AV830">
        <v>126</v>
      </c>
      <c r="AW830" t="s">
        <v>6483</v>
      </c>
      <c r="AX830" t="s">
        <v>74</v>
      </c>
      <c r="AY830" t="s">
        <v>74</v>
      </c>
      <c r="AZ830" t="s">
        <v>74</v>
      </c>
      <c r="BA830" t="s">
        <v>74</v>
      </c>
      <c r="BB830">
        <v>256</v>
      </c>
      <c r="BC830">
        <v>268</v>
      </c>
      <c r="BD830" t="s">
        <v>74</v>
      </c>
      <c r="BE830" t="s">
        <v>15356</v>
      </c>
      <c r="BF830" t="str">
        <f>HYPERLINK("http://dx.doi.org/10.1016/j.marchem.2011.06.005","http://dx.doi.org/10.1016/j.marchem.2011.06.005")</f>
        <v>http://dx.doi.org/10.1016/j.marchem.2011.06.005</v>
      </c>
      <c r="BG830" t="s">
        <v>74</v>
      </c>
      <c r="BH830" t="s">
        <v>74</v>
      </c>
      <c r="BI830">
        <v>13</v>
      </c>
      <c r="BJ830" t="s">
        <v>6485</v>
      </c>
      <c r="BK830" t="s">
        <v>100</v>
      </c>
      <c r="BL830" t="s">
        <v>6486</v>
      </c>
      <c r="BM830" t="s">
        <v>15290</v>
      </c>
      <c r="BN830" t="s">
        <v>74</v>
      </c>
      <c r="BO830" t="s">
        <v>74</v>
      </c>
      <c r="BP830" t="s">
        <v>74</v>
      </c>
      <c r="BQ830" t="s">
        <v>74</v>
      </c>
      <c r="BR830" t="s">
        <v>102</v>
      </c>
      <c r="BS830" t="s">
        <v>15357</v>
      </c>
      <c r="BT830" t="str">
        <f>HYPERLINK("https%3A%2F%2Fwww.webofscience.com%2Fwos%2Fwoscc%2Ffull-record%2FWOS:000295195300025","View Full Record in Web of Science")</f>
        <v>View Full Record in Web of Science</v>
      </c>
    </row>
    <row r="831" spans="1:72" x14ac:dyDescent="0.15">
      <c r="A831" t="s">
        <v>72</v>
      </c>
      <c r="B831" t="s">
        <v>15358</v>
      </c>
      <c r="C831" t="s">
        <v>74</v>
      </c>
      <c r="D831" t="s">
        <v>74</v>
      </c>
      <c r="E831" t="s">
        <v>74</v>
      </c>
      <c r="F831" t="s">
        <v>15359</v>
      </c>
      <c r="G831" t="s">
        <v>74</v>
      </c>
      <c r="H831" t="s">
        <v>74</v>
      </c>
      <c r="I831" t="s">
        <v>15360</v>
      </c>
      <c r="J831" t="s">
        <v>6032</v>
      </c>
      <c r="K831" t="s">
        <v>74</v>
      </c>
      <c r="L831" t="s">
        <v>74</v>
      </c>
      <c r="M831" t="s">
        <v>78</v>
      </c>
      <c r="N831" t="s">
        <v>79</v>
      </c>
      <c r="O831" t="s">
        <v>74</v>
      </c>
      <c r="P831" t="s">
        <v>74</v>
      </c>
      <c r="Q831" t="s">
        <v>74</v>
      </c>
      <c r="R831" t="s">
        <v>74</v>
      </c>
      <c r="S831" t="s">
        <v>74</v>
      </c>
      <c r="T831" t="s">
        <v>74</v>
      </c>
      <c r="U831" t="s">
        <v>15361</v>
      </c>
      <c r="V831" t="s">
        <v>15362</v>
      </c>
      <c r="W831" t="s">
        <v>15363</v>
      </c>
      <c r="X831" t="s">
        <v>15364</v>
      </c>
      <c r="Y831" t="s">
        <v>15365</v>
      </c>
      <c r="Z831" t="s">
        <v>15366</v>
      </c>
      <c r="AA831" t="s">
        <v>15367</v>
      </c>
      <c r="AB831" t="s">
        <v>15368</v>
      </c>
      <c r="AC831" t="s">
        <v>15369</v>
      </c>
      <c r="AD831" t="s">
        <v>15370</v>
      </c>
      <c r="AE831" t="s">
        <v>15371</v>
      </c>
      <c r="AF831" t="s">
        <v>74</v>
      </c>
      <c r="AG831">
        <v>63</v>
      </c>
      <c r="AH831">
        <v>17</v>
      </c>
      <c r="AI831">
        <v>19</v>
      </c>
      <c r="AJ831">
        <v>0</v>
      </c>
      <c r="AK831">
        <v>3</v>
      </c>
      <c r="AL831" t="s">
        <v>1498</v>
      </c>
      <c r="AM831" t="s">
        <v>985</v>
      </c>
      <c r="AN831" t="s">
        <v>1499</v>
      </c>
      <c r="AO831" t="s">
        <v>6043</v>
      </c>
      <c r="AP831" t="s">
        <v>6044</v>
      </c>
      <c r="AQ831" t="s">
        <v>74</v>
      </c>
      <c r="AR831" t="s">
        <v>6045</v>
      </c>
      <c r="AS831" t="s">
        <v>6046</v>
      </c>
      <c r="AT831" t="s">
        <v>15372</v>
      </c>
      <c r="AU831">
        <v>2011</v>
      </c>
      <c r="AV831">
        <v>116</v>
      </c>
      <c r="AW831" t="s">
        <v>74</v>
      </c>
      <c r="AX831" t="s">
        <v>74</v>
      </c>
      <c r="AY831" t="s">
        <v>74</v>
      </c>
      <c r="AZ831" t="s">
        <v>74</v>
      </c>
      <c r="BA831" t="s">
        <v>74</v>
      </c>
      <c r="BB831" t="s">
        <v>74</v>
      </c>
      <c r="BC831" t="s">
        <v>74</v>
      </c>
      <c r="BD831" t="s">
        <v>15373</v>
      </c>
      <c r="BE831" t="s">
        <v>15374</v>
      </c>
      <c r="BF831" t="str">
        <f>HYPERLINK("http://dx.doi.org/10.1029/2011JE003826","http://dx.doi.org/10.1029/2011JE003826")</f>
        <v>http://dx.doi.org/10.1029/2011JE003826</v>
      </c>
      <c r="BG831" t="s">
        <v>74</v>
      </c>
      <c r="BH831" t="s">
        <v>74</v>
      </c>
      <c r="BI831">
        <v>11</v>
      </c>
      <c r="BJ831" t="s">
        <v>164</v>
      </c>
      <c r="BK831" t="s">
        <v>100</v>
      </c>
      <c r="BL831" t="s">
        <v>164</v>
      </c>
      <c r="BM831" t="s">
        <v>15375</v>
      </c>
      <c r="BN831" t="s">
        <v>74</v>
      </c>
      <c r="BO831" t="s">
        <v>365</v>
      </c>
      <c r="BP831" t="s">
        <v>74</v>
      </c>
      <c r="BQ831" t="s">
        <v>74</v>
      </c>
      <c r="BR831" t="s">
        <v>102</v>
      </c>
      <c r="BS831" t="s">
        <v>15376</v>
      </c>
      <c r="BT831" t="str">
        <f>HYPERLINK("https%3A%2F%2Fwww.webofscience.com%2Fwos%2Fwoscc%2Ffull-record%2FWOS:000295130700002","View Full Record in Web of Science")</f>
        <v>View Full Record in Web of Science</v>
      </c>
    </row>
    <row r="832" spans="1:72" x14ac:dyDescent="0.15">
      <c r="A832" t="s">
        <v>72</v>
      </c>
      <c r="B832" t="s">
        <v>15377</v>
      </c>
      <c r="C832" t="s">
        <v>74</v>
      </c>
      <c r="D832" t="s">
        <v>74</v>
      </c>
      <c r="E832" t="s">
        <v>74</v>
      </c>
      <c r="F832" t="s">
        <v>15378</v>
      </c>
      <c r="G832" t="s">
        <v>74</v>
      </c>
      <c r="H832" t="s">
        <v>74</v>
      </c>
      <c r="I832" t="s">
        <v>15379</v>
      </c>
      <c r="J832" t="s">
        <v>6224</v>
      </c>
      <c r="K832" t="s">
        <v>74</v>
      </c>
      <c r="L832" t="s">
        <v>74</v>
      </c>
      <c r="M832" t="s">
        <v>78</v>
      </c>
      <c r="N832" t="s">
        <v>79</v>
      </c>
      <c r="O832" t="s">
        <v>74</v>
      </c>
      <c r="P832" t="s">
        <v>74</v>
      </c>
      <c r="Q832" t="s">
        <v>74</v>
      </c>
      <c r="R832" t="s">
        <v>74</v>
      </c>
      <c r="S832" t="s">
        <v>74</v>
      </c>
      <c r="T832" t="s">
        <v>74</v>
      </c>
      <c r="U832" t="s">
        <v>15380</v>
      </c>
      <c r="V832" t="s">
        <v>15381</v>
      </c>
      <c r="W832" t="s">
        <v>15382</v>
      </c>
      <c r="X832" t="s">
        <v>15383</v>
      </c>
      <c r="Y832" t="s">
        <v>15384</v>
      </c>
      <c r="Z832" t="s">
        <v>15385</v>
      </c>
      <c r="AA832" t="s">
        <v>15386</v>
      </c>
      <c r="AB832" t="s">
        <v>15387</v>
      </c>
      <c r="AC832" t="s">
        <v>15388</v>
      </c>
      <c r="AD832" t="s">
        <v>15389</v>
      </c>
      <c r="AE832" t="s">
        <v>15390</v>
      </c>
      <c r="AF832" t="s">
        <v>74</v>
      </c>
      <c r="AG832">
        <v>63</v>
      </c>
      <c r="AH832">
        <v>107</v>
      </c>
      <c r="AI832">
        <v>114</v>
      </c>
      <c r="AJ832">
        <v>2</v>
      </c>
      <c r="AK832">
        <v>48</v>
      </c>
      <c r="AL832" t="s">
        <v>1498</v>
      </c>
      <c r="AM832" t="s">
        <v>985</v>
      </c>
      <c r="AN832" t="s">
        <v>1499</v>
      </c>
      <c r="AO832" t="s">
        <v>6236</v>
      </c>
      <c r="AP832" t="s">
        <v>74</v>
      </c>
      <c r="AQ832" t="s">
        <v>74</v>
      </c>
      <c r="AR832" t="s">
        <v>6238</v>
      </c>
      <c r="AS832" t="s">
        <v>6239</v>
      </c>
      <c r="AT832" t="s">
        <v>15372</v>
      </c>
      <c r="AU832">
        <v>2011</v>
      </c>
      <c r="AV832">
        <v>116</v>
      </c>
      <c r="AW832" t="s">
        <v>74</v>
      </c>
      <c r="AX832" t="s">
        <v>74</v>
      </c>
      <c r="AY832" t="s">
        <v>74</v>
      </c>
      <c r="AZ832" t="s">
        <v>74</v>
      </c>
      <c r="BA832" t="s">
        <v>74</v>
      </c>
      <c r="BB832" t="s">
        <v>74</v>
      </c>
      <c r="BC832" t="s">
        <v>74</v>
      </c>
      <c r="BD832" t="s">
        <v>15391</v>
      </c>
      <c r="BE832" t="s">
        <v>15392</v>
      </c>
      <c r="BF832" t="str">
        <f>HYPERLINK("http://dx.doi.org/10.1029/2011JD015927","http://dx.doi.org/10.1029/2011JD015927")</f>
        <v>http://dx.doi.org/10.1029/2011JD015927</v>
      </c>
      <c r="BG832" t="s">
        <v>74</v>
      </c>
      <c r="BH832" t="s">
        <v>74</v>
      </c>
      <c r="BI832">
        <v>14</v>
      </c>
      <c r="BJ832" t="s">
        <v>463</v>
      </c>
      <c r="BK832" t="s">
        <v>100</v>
      </c>
      <c r="BL832" t="s">
        <v>463</v>
      </c>
      <c r="BM832" t="s">
        <v>15393</v>
      </c>
      <c r="BN832" t="s">
        <v>74</v>
      </c>
      <c r="BO832" t="s">
        <v>74</v>
      </c>
      <c r="BP832" t="s">
        <v>74</v>
      </c>
      <c r="BQ832" t="s">
        <v>74</v>
      </c>
      <c r="BR832" t="s">
        <v>102</v>
      </c>
      <c r="BS832" t="s">
        <v>15394</v>
      </c>
      <c r="BT832" t="str">
        <f>HYPERLINK("https%3A%2F%2Fwww.webofscience.com%2Fwos%2Fwoscc%2Ffull-record%2FWOS:000295131700006","View Full Record in Web of Science")</f>
        <v>View Full Record in Web of Science</v>
      </c>
    </row>
    <row r="833" spans="1:72" x14ac:dyDescent="0.15">
      <c r="A833" t="s">
        <v>72</v>
      </c>
      <c r="B833" t="s">
        <v>15395</v>
      </c>
      <c r="C833" t="s">
        <v>74</v>
      </c>
      <c r="D833" t="s">
        <v>74</v>
      </c>
      <c r="E833" t="s">
        <v>74</v>
      </c>
      <c r="F833" t="s">
        <v>15396</v>
      </c>
      <c r="G833" t="s">
        <v>74</v>
      </c>
      <c r="H833" t="s">
        <v>74</v>
      </c>
      <c r="I833" t="s">
        <v>15397</v>
      </c>
      <c r="J833" t="s">
        <v>6124</v>
      </c>
      <c r="K833" t="s">
        <v>74</v>
      </c>
      <c r="L833" t="s">
        <v>74</v>
      </c>
      <c r="M833" t="s">
        <v>78</v>
      </c>
      <c r="N833" t="s">
        <v>79</v>
      </c>
      <c r="O833" t="s">
        <v>74</v>
      </c>
      <c r="P833" t="s">
        <v>74</v>
      </c>
      <c r="Q833" t="s">
        <v>74</v>
      </c>
      <c r="R833" t="s">
        <v>74</v>
      </c>
      <c r="S833" t="s">
        <v>74</v>
      </c>
      <c r="T833" t="s">
        <v>74</v>
      </c>
      <c r="U833" t="s">
        <v>15398</v>
      </c>
      <c r="V833" t="s">
        <v>15399</v>
      </c>
      <c r="W833" t="s">
        <v>15400</v>
      </c>
      <c r="X833" t="s">
        <v>15401</v>
      </c>
      <c r="Y833" t="s">
        <v>15402</v>
      </c>
      <c r="Z833" t="s">
        <v>15403</v>
      </c>
      <c r="AA833" t="s">
        <v>15404</v>
      </c>
      <c r="AB833" t="s">
        <v>15405</v>
      </c>
      <c r="AC833" t="s">
        <v>15406</v>
      </c>
      <c r="AD833" t="s">
        <v>15407</v>
      </c>
      <c r="AE833" t="s">
        <v>15408</v>
      </c>
      <c r="AF833" t="s">
        <v>74</v>
      </c>
      <c r="AG833">
        <v>88</v>
      </c>
      <c r="AH833">
        <v>134</v>
      </c>
      <c r="AI833">
        <v>141</v>
      </c>
      <c r="AJ833">
        <v>0</v>
      </c>
      <c r="AK833">
        <v>45</v>
      </c>
      <c r="AL833" t="s">
        <v>1498</v>
      </c>
      <c r="AM833" t="s">
        <v>985</v>
      </c>
      <c r="AN833" t="s">
        <v>1499</v>
      </c>
      <c r="AO833" t="s">
        <v>6136</v>
      </c>
      <c r="AP833" t="s">
        <v>6137</v>
      </c>
      <c r="AQ833" t="s">
        <v>74</v>
      </c>
      <c r="AR833" t="s">
        <v>6138</v>
      </c>
      <c r="AS833" t="s">
        <v>6139</v>
      </c>
      <c r="AT833" t="s">
        <v>15372</v>
      </c>
      <c r="AU833">
        <v>2011</v>
      </c>
      <c r="AV833">
        <v>116</v>
      </c>
      <c r="AW833" t="s">
        <v>74</v>
      </c>
      <c r="AX833" t="s">
        <v>74</v>
      </c>
      <c r="AY833" t="s">
        <v>74</v>
      </c>
      <c r="AZ833" t="s">
        <v>74</v>
      </c>
      <c r="BA833" t="s">
        <v>74</v>
      </c>
      <c r="BB833" t="s">
        <v>74</v>
      </c>
      <c r="BC833" t="s">
        <v>74</v>
      </c>
      <c r="BD833" t="s">
        <v>15409</v>
      </c>
      <c r="BE833" t="s">
        <v>15410</v>
      </c>
      <c r="BF833" t="str">
        <f>HYPERLINK("http://dx.doi.org/10.1029/2010JC006637","http://dx.doi.org/10.1029/2010JC006637")</f>
        <v>http://dx.doi.org/10.1029/2010JC006637</v>
      </c>
      <c r="BG833" t="s">
        <v>74</v>
      </c>
      <c r="BH833" t="s">
        <v>74</v>
      </c>
      <c r="BI833">
        <v>28</v>
      </c>
      <c r="BJ833" t="s">
        <v>496</v>
      </c>
      <c r="BK833" t="s">
        <v>100</v>
      </c>
      <c r="BL833" t="s">
        <v>496</v>
      </c>
      <c r="BM833" t="s">
        <v>15411</v>
      </c>
      <c r="BN833" t="s">
        <v>74</v>
      </c>
      <c r="BO833" t="s">
        <v>4483</v>
      </c>
      <c r="BP833" t="s">
        <v>74</v>
      </c>
      <c r="BQ833" t="s">
        <v>74</v>
      </c>
      <c r="BR833" t="s">
        <v>102</v>
      </c>
      <c r="BS833" t="s">
        <v>15412</v>
      </c>
      <c r="BT833" t="str">
        <f>HYPERLINK("https%3A%2F%2Fwww.webofscience.com%2Fwos%2Fwoscc%2Ffull-record%2FWOS:000295132800002","View Full Record in Web of Science")</f>
        <v>View Full Record in Web of Science</v>
      </c>
    </row>
    <row r="834" spans="1:72" x14ac:dyDescent="0.15">
      <c r="A834" t="s">
        <v>72</v>
      </c>
      <c r="B834" t="s">
        <v>15413</v>
      </c>
      <c r="C834" t="s">
        <v>74</v>
      </c>
      <c r="D834" t="s">
        <v>74</v>
      </c>
      <c r="E834" t="s">
        <v>74</v>
      </c>
      <c r="F834" t="s">
        <v>15414</v>
      </c>
      <c r="G834" t="s">
        <v>74</v>
      </c>
      <c r="H834" t="s">
        <v>74</v>
      </c>
      <c r="I834" t="s">
        <v>15415</v>
      </c>
      <c r="J834" t="s">
        <v>6124</v>
      </c>
      <c r="K834" t="s">
        <v>74</v>
      </c>
      <c r="L834" t="s">
        <v>74</v>
      </c>
      <c r="M834" t="s">
        <v>78</v>
      </c>
      <c r="N834" t="s">
        <v>79</v>
      </c>
      <c r="O834" t="s">
        <v>74</v>
      </c>
      <c r="P834" t="s">
        <v>74</v>
      </c>
      <c r="Q834" t="s">
        <v>74</v>
      </c>
      <c r="R834" t="s">
        <v>74</v>
      </c>
      <c r="S834" t="s">
        <v>74</v>
      </c>
      <c r="T834" t="s">
        <v>74</v>
      </c>
      <c r="U834" t="s">
        <v>15416</v>
      </c>
      <c r="V834" t="s">
        <v>15417</v>
      </c>
      <c r="W834" t="s">
        <v>15418</v>
      </c>
      <c r="X834" t="s">
        <v>15419</v>
      </c>
      <c r="Y834" t="s">
        <v>15420</v>
      </c>
      <c r="Z834" t="s">
        <v>15421</v>
      </c>
      <c r="AA834" t="s">
        <v>15422</v>
      </c>
      <c r="AB834" t="s">
        <v>15423</v>
      </c>
      <c r="AC834" t="s">
        <v>15424</v>
      </c>
      <c r="AD834" t="s">
        <v>15425</v>
      </c>
      <c r="AE834" t="s">
        <v>15426</v>
      </c>
      <c r="AF834" t="s">
        <v>74</v>
      </c>
      <c r="AG834">
        <v>75</v>
      </c>
      <c r="AH834">
        <v>13</v>
      </c>
      <c r="AI834">
        <v>13</v>
      </c>
      <c r="AJ834">
        <v>1</v>
      </c>
      <c r="AK834">
        <v>25</v>
      </c>
      <c r="AL834" t="s">
        <v>1498</v>
      </c>
      <c r="AM834" t="s">
        <v>985</v>
      </c>
      <c r="AN834" t="s">
        <v>1499</v>
      </c>
      <c r="AO834" t="s">
        <v>6136</v>
      </c>
      <c r="AP834" t="s">
        <v>6137</v>
      </c>
      <c r="AQ834" t="s">
        <v>74</v>
      </c>
      <c r="AR834" t="s">
        <v>6138</v>
      </c>
      <c r="AS834" t="s">
        <v>6139</v>
      </c>
      <c r="AT834" t="s">
        <v>15372</v>
      </c>
      <c r="AU834">
        <v>2011</v>
      </c>
      <c r="AV834">
        <v>116</v>
      </c>
      <c r="AW834" t="s">
        <v>74</v>
      </c>
      <c r="AX834" t="s">
        <v>74</v>
      </c>
      <c r="AY834" t="s">
        <v>74</v>
      </c>
      <c r="AZ834" t="s">
        <v>74</v>
      </c>
      <c r="BA834" t="s">
        <v>74</v>
      </c>
      <c r="BB834" t="s">
        <v>74</v>
      </c>
      <c r="BC834" t="s">
        <v>74</v>
      </c>
      <c r="BD834" t="s">
        <v>15427</v>
      </c>
      <c r="BE834" t="s">
        <v>15428</v>
      </c>
      <c r="BF834" t="str">
        <f>HYPERLINK("http://dx.doi.org/10.1029/2010JC006475","http://dx.doi.org/10.1029/2010JC006475")</f>
        <v>http://dx.doi.org/10.1029/2010JC006475</v>
      </c>
      <c r="BG834" t="s">
        <v>74</v>
      </c>
      <c r="BH834" t="s">
        <v>74</v>
      </c>
      <c r="BI834">
        <v>13</v>
      </c>
      <c r="BJ834" t="s">
        <v>496</v>
      </c>
      <c r="BK834" t="s">
        <v>100</v>
      </c>
      <c r="BL834" t="s">
        <v>496</v>
      </c>
      <c r="BM834" t="s">
        <v>15411</v>
      </c>
      <c r="BN834" t="s">
        <v>74</v>
      </c>
      <c r="BO834" t="s">
        <v>7063</v>
      </c>
      <c r="BP834" t="s">
        <v>74</v>
      </c>
      <c r="BQ834" t="s">
        <v>74</v>
      </c>
      <c r="BR834" t="s">
        <v>102</v>
      </c>
      <c r="BS834" t="s">
        <v>15429</v>
      </c>
      <c r="BT834" t="str">
        <f>HYPERLINK("https%3A%2F%2Fwww.webofscience.com%2Fwos%2Fwoscc%2Ffull-record%2FWOS:000295132800001","View Full Record in Web of Science")</f>
        <v>View Full Record in Web of Science</v>
      </c>
    </row>
    <row r="835" spans="1:72" x14ac:dyDescent="0.15">
      <c r="A835" t="s">
        <v>72</v>
      </c>
      <c r="B835" t="s">
        <v>15430</v>
      </c>
      <c r="C835" t="s">
        <v>74</v>
      </c>
      <c r="D835" t="s">
        <v>74</v>
      </c>
      <c r="E835" t="s">
        <v>74</v>
      </c>
      <c r="F835" t="s">
        <v>15431</v>
      </c>
      <c r="G835" t="s">
        <v>74</v>
      </c>
      <c r="H835" t="s">
        <v>74</v>
      </c>
      <c r="I835" t="s">
        <v>15432</v>
      </c>
      <c r="J835" t="s">
        <v>6124</v>
      </c>
      <c r="K835" t="s">
        <v>74</v>
      </c>
      <c r="L835" t="s">
        <v>74</v>
      </c>
      <c r="M835" t="s">
        <v>78</v>
      </c>
      <c r="N835" t="s">
        <v>79</v>
      </c>
      <c r="O835" t="s">
        <v>74</v>
      </c>
      <c r="P835" t="s">
        <v>74</v>
      </c>
      <c r="Q835" t="s">
        <v>74</v>
      </c>
      <c r="R835" t="s">
        <v>74</v>
      </c>
      <c r="S835" t="s">
        <v>74</v>
      </c>
      <c r="T835" t="s">
        <v>74</v>
      </c>
      <c r="U835" t="s">
        <v>15433</v>
      </c>
      <c r="V835" t="s">
        <v>15434</v>
      </c>
      <c r="W835" t="s">
        <v>15435</v>
      </c>
      <c r="X835" t="s">
        <v>15436</v>
      </c>
      <c r="Y835" t="s">
        <v>15437</v>
      </c>
      <c r="Z835" t="s">
        <v>15438</v>
      </c>
      <c r="AA835" t="s">
        <v>15439</v>
      </c>
      <c r="AB835" t="s">
        <v>15440</v>
      </c>
      <c r="AC835" t="s">
        <v>15441</v>
      </c>
      <c r="AD835" t="s">
        <v>15442</v>
      </c>
      <c r="AE835" t="s">
        <v>15443</v>
      </c>
      <c r="AF835" t="s">
        <v>74</v>
      </c>
      <c r="AG835">
        <v>82</v>
      </c>
      <c r="AH835">
        <v>100</v>
      </c>
      <c r="AI835">
        <v>106</v>
      </c>
      <c r="AJ835">
        <v>3</v>
      </c>
      <c r="AK835">
        <v>42</v>
      </c>
      <c r="AL835" t="s">
        <v>1498</v>
      </c>
      <c r="AM835" t="s">
        <v>985</v>
      </c>
      <c r="AN835" t="s">
        <v>1499</v>
      </c>
      <c r="AO835" t="s">
        <v>6136</v>
      </c>
      <c r="AP835" t="s">
        <v>6137</v>
      </c>
      <c r="AQ835" t="s">
        <v>74</v>
      </c>
      <c r="AR835" t="s">
        <v>6138</v>
      </c>
      <c r="AS835" t="s">
        <v>6139</v>
      </c>
      <c r="AT835" t="s">
        <v>15372</v>
      </c>
      <c r="AU835">
        <v>2011</v>
      </c>
      <c r="AV835">
        <v>116</v>
      </c>
      <c r="AW835" t="s">
        <v>74</v>
      </c>
      <c r="AX835" t="s">
        <v>74</v>
      </c>
      <c r="AY835" t="s">
        <v>74</v>
      </c>
      <c r="AZ835" t="s">
        <v>74</v>
      </c>
      <c r="BA835" t="s">
        <v>74</v>
      </c>
      <c r="BB835" t="s">
        <v>74</v>
      </c>
      <c r="BC835" t="s">
        <v>74</v>
      </c>
      <c r="BD835" t="s">
        <v>15444</v>
      </c>
      <c r="BE835" t="s">
        <v>15445</v>
      </c>
      <c r="BF835" t="str">
        <f>HYPERLINK("http://dx.doi.org/10.1029/2010JC006818","http://dx.doi.org/10.1029/2010JC006818")</f>
        <v>http://dx.doi.org/10.1029/2010JC006818</v>
      </c>
      <c r="BG835" t="s">
        <v>74</v>
      </c>
      <c r="BH835" t="s">
        <v>74</v>
      </c>
      <c r="BI835">
        <v>29</v>
      </c>
      <c r="BJ835" t="s">
        <v>496</v>
      </c>
      <c r="BK835" t="s">
        <v>100</v>
      </c>
      <c r="BL835" t="s">
        <v>496</v>
      </c>
      <c r="BM835" t="s">
        <v>15411</v>
      </c>
      <c r="BN835" t="s">
        <v>74</v>
      </c>
      <c r="BO835" t="s">
        <v>182</v>
      </c>
      <c r="BP835" t="s">
        <v>74</v>
      </c>
      <c r="BQ835" t="s">
        <v>74</v>
      </c>
      <c r="BR835" t="s">
        <v>102</v>
      </c>
      <c r="BS835" t="s">
        <v>15446</v>
      </c>
      <c r="BT835" t="str">
        <f>HYPERLINK("https%3A%2F%2Fwww.webofscience.com%2Fwos%2Fwoscc%2Ffull-record%2FWOS:000295132800005","View Full Record in Web of Science")</f>
        <v>View Full Record in Web of Science</v>
      </c>
    </row>
    <row r="836" spans="1:72" x14ac:dyDescent="0.15">
      <c r="A836" t="s">
        <v>72</v>
      </c>
      <c r="B836" t="s">
        <v>15447</v>
      </c>
      <c r="C836" t="s">
        <v>74</v>
      </c>
      <c r="D836" t="s">
        <v>74</v>
      </c>
      <c r="E836" t="s">
        <v>74</v>
      </c>
      <c r="F836" t="s">
        <v>15448</v>
      </c>
      <c r="G836" t="s">
        <v>74</v>
      </c>
      <c r="H836" t="s">
        <v>74</v>
      </c>
      <c r="I836" t="s">
        <v>15449</v>
      </c>
      <c r="J836" t="s">
        <v>6077</v>
      </c>
      <c r="K836" t="s">
        <v>74</v>
      </c>
      <c r="L836" t="s">
        <v>74</v>
      </c>
      <c r="M836" t="s">
        <v>78</v>
      </c>
      <c r="N836" t="s">
        <v>79</v>
      </c>
      <c r="O836" t="s">
        <v>74</v>
      </c>
      <c r="P836" t="s">
        <v>74</v>
      </c>
      <c r="Q836" t="s">
        <v>74</v>
      </c>
      <c r="R836" t="s">
        <v>74</v>
      </c>
      <c r="S836" t="s">
        <v>74</v>
      </c>
      <c r="T836" t="s">
        <v>74</v>
      </c>
      <c r="U836" t="s">
        <v>15450</v>
      </c>
      <c r="V836" t="s">
        <v>15451</v>
      </c>
      <c r="W836" t="s">
        <v>15452</v>
      </c>
      <c r="X836" t="s">
        <v>15453</v>
      </c>
      <c r="Y836" t="s">
        <v>15454</v>
      </c>
      <c r="Z836" t="s">
        <v>15455</v>
      </c>
      <c r="AA836" t="s">
        <v>15456</v>
      </c>
      <c r="AB836" t="s">
        <v>15457</v>
      </c>
      <c r="AC836" t="s">
        <v>15458</v>
      </c>
      <c r="AD836" t="s">
        <v>15459</v>
      </c>
      <c r="AE836" t="s">
        <v>15460</v>
      </c>
      <c r="AF836" t="s">
        <v>74</v>
      </c>
      <c r="AG836">
        <v>83</v>
      </c>
      <c r="AH836">
        <v>28</v>
      </c>
      <c r="AI836">
        <v>29</v>
      </c>
      <c r="AJ836">
        <v>0</v>
      </c>
      <c r="AK836">
        <v>5</v>
      </c>
      <c r="AL836" t="s">
        <v>1498</v>
      </c>
      <c r="AM836" t="s">
        <v>985</v>
      </c>
      <c r="AN836" t="s">
        <v>1499</v>
      </c>
      <c r="AO836" t="s">
        <v>6089</v>
      </c>
      <c r="AP836" t="s">
        <v>6090</v>
      </c>
      <c r="AQ836" t="s">
        <v>74</v>
      </c>
      <c r="AR836" t="s">
        <v>6091</v>
      </c>
      <c r="AS836" t="s">
        <v>6092</v>
      </c>
      <c r="AT836" t="s">
        <v>15372</v>
      </c>
      <c r="AU836">
        <v>2011</v>
      </c>
      <c r="AV836">
        <v>116</v>
      </c>
      <c r="AW836" t="s">
        <v>74</v>
      </c>
      <c r="AX836" t="s">
        <v>74</v>
      </c>
      <c r="AY836" t="s">
        <v>74</v>
      </c>
      <c r="AZ836" t="s">
        <v>74</v>
      </c>
      <c r="BA836" t="s">
        <v>74</v>
      </c>
      <c r="BB836" t="s">
        <v>74</v>
      </c>
      <c r="BC836" t="s">
        <v>74</v>
      </c>
      <c r="BD836" t="s">
        <v>15461</v>
      </c>
      <c r="BE836" t="s">
        <v>15462</v>
      </c>
      <c r="BF836" t="str">
        <f>HYPERLINK("http://dx.doi.org/10.1029/2011JA016638","http://dx.doi.org/10.1029/2011JA016638")</f>
        <v>http://dx.doi.org/10.1029/2011JA016638</v>
      </c>
      <c r="BG836" t="s">
        <v>74</v>
      </c>
      <c r="BH836" t="s">
        <v>74</v>
      </c>
      <c r="BI836">
        <v>10</v>
      </c>
      <c r="BJ836" t="s">
        <v>5208</v>
      </c>
      <c r="BK836" t="s">
        <v>100</v>
      </c>
      <c r="BL836" t="s">
        <v>5208</v>
      </c>
      <c r="BM836" t="s">
        <v>15463</v>
      </c>
      <c r="BN836" t="s">
        <v>74</v>
      </c>
      <c r="BO836" t="s">
        <v>4483</v>
      </c>
      <c r="BP836" t="s">
        <v>74</v>
      </c>
      <c r="BQ836" t="s">
        <v>74</v>
      </c>
      <c r="BR836" t="s">
        <v>102</v>
      </c>
      <c r="BS836" t="s">
        <v>15464</v>
      </c>
      <c r="BT836" t="str">
        <f>HYPERLINK("https%3A%2F%2Fwww.webofscience.com%2Fwos%2Fwoscc%2Ffull-record%2FWOS:000295134200004","View Full Record in Web of Science")</f>
        <v>View Full Record in Web of Science</v>
      </c>
    </row>
    <row r="837" spans="1:72" x14ac:dyDescent="0.15">
      <c r="A837" t="s">
        <v>72</v>
      </c>
      <c r="B837" t="s">
        <v>15465</v>
      </c>
      <c r="C837" t="s">
        <v>74</v>
      </c>
      <c r="D837" t="s">
        <v>74</v>
      </c>
      <c r="E837" t="s">
        <v>74</v>
      </c>
      <c r="F837" t="s">
        <v>15466</v>
      </c>
      <c r="G837" t="s">
        <v>74</v>
      </c>
      <c r="H837" t="s">
        <v>74</v>
      </c>
      <c r="I837" t="s">
        <v>15467</v>
      </c>
      <c r="J837" t="s">
        <v>10746</v>
      </c>
      <c r="K837" t="s">
        <v>74</v>
      </c>
      <c r="L837" t="s">
        <v>74</v>
      </c>
      <c r="M837" t="s">
        <v>78</v>
      </c>
      <c r="N837" t="s">
        <v>79</v>
      </c>
      <c r="O837" t="s">
        <v>74</v>
      </c>
      <c r="P837" t="s">
        <v>74</v>
      </c>
      <c r="Q837" t="s">
        <v>74</v>
      </c>
      <c r="R837" t="s">
        <v>74</v>
      </c>
      <c r="S837" t="s">
        <v>74</v>
      </c>
      <c r="T837" t="s">
        <v>15468</v>
      </c>
      <c r="U837" t="s">
        <v>15469</v>
      </c>
      <c r="V837" t="s">
        <v>15470</v>
      </c>
      <c r="W837" t="s">
        <v>15471</v>
      </c>
      <c r="X837" t="s">
        <v>15472</v>
      </c>
      <c r="Y837" t="s">
        <v>15473</v>
      </c>
      <c r="Z837" t="s">
        <v>15474</v>
      </c>
      <c r="AA837" t="s">
        <v>15475</v>
      </c>
      <c r="AB837" t="s">
        <v>15476</v>
      </c>
      <c r="AC837" t="s">
        <v>15477</v>
      </c>
      <c r="AD837" t="s">
        <v>15478</v>
      </c>
      <c r="AE837" t="s">
        <v>15479</v>
      </c>
      <c r="AF837" t="s">
        <v>74</v>
      </c>
      <c r="AG837">
        <v>66</v>
      </c>
      <c r="AH837">
        <v>4</v>
      </c>
      <c r="AI837">
        <v>4</v>
      </c>
      <c r="AJ837">
        <v>0</v>
      </c>
      <c r="AK837">
        <v>22</v>
      </c>
      <c r="AL837" t="s">
        <v>1498</v>
      </c>
      <c r="AM837" t="s">
        <v>985</v>
      </c>
      <c r="AN837" t="s">
        <v>1499</v>
      </c>
      <c r="AO837" t="s">
        <v>74</v>
      </c>
      <c r="AP837" t="s">
        <v>10759</v>
      </c>
      <c r="AQ837" t="s">
        <v>74</v>
      </c>
      <c r="AR837" t="s">
        <v>10760</v>
      </c>
      <c r="AS837" t="s">
        <v>10761</v>
      </c>
      <c r="AT837" t="s">
        <v>15480</v>
      </c>
      <c r="AU837">
        <v>2011</v>
      </c>
      <c r="AV837">
        <v>12</v>
      </c>
      <c r="AW837" t="s">
        <v>74</v>
      </c>
      <c r="AX837" t="s">
        <v>74</v>
      </c>
      <c r="AY837" t="s">
        <v>74</v>
      </c>
      <c r="AZ837" t="s">
        <v>74</v>
      </c>
      <c r="BA837" t="s">
        <v>74</v>
      </c>
      <c r="BB837" t="s">
        <v>74</v>
      </c>
      <c r="BC837" t="s">
        <v>74</v>
      </c>
      <c r="BD837" t="s">
        <v>15481</v>
      </c>
      <c r="BE837" t="s">
        <v>15482</v>
      </c>
      <c r="BF837" t="str">
        <f>HYPERLINK("http://dx.doi.org/10.1029/2011GC003691","http://dx.doi.org/10.1029/2011GC003691")</f>
        <v>http://dx.doi.org/10.1029/2011GC003691</v>
      </c>
      <c r="BG837" t="s">
        <v>74</v>
      </c>
      <c r="BH837" t="s">
        <v>74</v>
      </c>
      <c r="BI837">
        <v>11</v>
      </c>
      <c r="BJ837" t="s">
        <v>164</v>
      </c>
      <c r="BK837" t="s">
        <v>100</v>
      </c>
      <c r="BL837" t="s">
        <v>164</v>
      </c>
      <c r="BM837" t="s">
        <v>15483</v>
      </c>
      <c r="BN837" t="s">
        <v>74</v>
      </c>
      <c r="BO837" t="s">
        <v>15484</v>
      </c>
      <c r="BP837" t="s">
        <v>74</v>
      </c>
      <c r="BQ837" t="s">
        <v>74</v>
      </c>
      <c r="BR837" t="s">
        <v>102</v>
      </c>
      <c r="BS837" t="s">
        <v>15485</v>
      </c>
      <c r="BT837" t="str">
        <f>HYPERLINK("https%3A%2F%2Fwww.webofscience.com%2Fwos%2Fwoscc%2Ffull-record%2FWOS:000295134600002","View Full Record in Web of Science")</f>
        <v>View Full Record in Web of Science</v>
      </c>
    </row>
    <row r="838" spans="1:72" x14ac:dyDescent="0.15">
      <c r="A838" t="s">
        <v>72</v>
      </c>
      <c r="B838" t="s">
        <v>15486</v>
      </c>
      <c r="C838" t="s">
        <v>74</v>
      </c>
      <c r="D838" t="s">
        <v>74</v>
      </c>
      <c r="E838" t="s">
        <v>74</v>
      </c>
      <c r="F838" t="s">
        <v>15487</v>
      </c>
      <c r="G838" t="s">
        <v>74</v>
      </c>
      <c r="H838" t="s">
        <v>74</v>
      </c>
      <c r="I838" t="s">
        <v>15488</v>
      </c>
      <c r="J838" t="s">
        <v>6055</v>
      </c>
      <c r="K838" t="s">
        <v>74</v>
      </c>
      <c r="L838" t="s">
        <v>74</v>
      </c>
      <c r="M838" t="s">
        <v>78</v>
      </c>
      <c r="N838" t="s">
        <v>79</v>
      </c>
      <c r="O838" t="s">
        <v>74</v>
      </c>
      <c r="P838" t="s">
        <v>74</v>
      </c>
      <c r="Q838" t="s">
        <v>74</v>
      </c>
      <c r="R838" t="s">
        <v>74</v>
      </c>
      <c r="S838" t="s">
        <v>74</v>
      </c>
      <c r="T838" t="s">
        <v>74</v>
      </c>
      <c r="U838" t="s">
        <v>15489</v>
      </c>
      <c r="V838" t="s">
        <v>15490</v>
      </c>
      <c r="W838" t="s">
        <v>15491</v>
      </c>
      <c r="X838" t="s">
        <v>15492</v>
      </c>
      <c r="Y838" t="s">
        <v>15493</v>
      </c>
      <c r="Z838" t="s">
        <v>15494</v>
      </c>
      <c r="AA838" t="s">
        <v>15495</v>
      </c>
      <c r="AB838" t="s">
        <v>15496</v>
      </c>
      <c r="AC838" t="s">
        <v>15497</v>
      </c>
      <c r="AD838" t="s">
        <v>15498</v>
      </c>
      <c r="AE838" t="s">
        <v>15499</v>
      </c>
      <c r="AF838" t="s">
        <v>74</v>
      </c>
      <c r="AG838">
        <v>58</v>
      </c>
      <c r="AH838">
        <v>338</v>
      </c>
      <c r="AI838">
        <v>360</v>
      </c>
      <c r="AJ838">
        <v>0</v>
      </c>
      <c r="AK838">
        <v>131</v>
      </c>
      <c r="AL838" t="s">
        <v>1498</v>
      </c>
      <c r="AM838" t="s">
        <v>985</v>
      </c>
      <c r="AN838" t="s">
        <v>1499</v>
      </c>
      <c r="AO838" t="s">
        <v>6066</v>
      </c>
      <c r="AP838" t="s">
        <v>6067</v>
      </c>
      <c r="AQ838" t="s">
        <v>74</v>
      </c>
      <c r="AR838" t="s">
        <v>6068</v>
      </c>
      <c r="AS838" t="s">
        <v>6069</v>
      </c>
      <c r="AT838" t="s">
        <v>15480</v>
      </c>
      <c r="AU838">
        <v>2011</v>
      </c>
      <c r="AV838">
        <v>38</v>
      </c>
      <c r="AW838" t="s">
        <v>74</v>
      </c>
      <c r="AX838" t="s">
        <v>74</v>
      </c>
      <c r="AY838" t="s">
        <v>74</v>
      </c>
      <c r="AZ838" t="s">
        <v>74</v>
      </c>
      <c r="BA838" t="s">
        <v>74</v>
      </c>
      <c r="BB838" t="s">
        <v>74</v>
      </c>
      <c r="BC838" t="s">
        <v>74</v>
      </c>
      <c r="BD838" t="s">
        <v>15500</v>
      </c>
      <c r="BE838" t="s">
        <v>15501</v>
      </c>
      <c r="BF838" t="str">
        <f>HYPERLINK("http://dx.doi.org/10.1029/2011GL048794","http://dx.doi.org/10.1029/2011GL048794")</f>
        <v>http://dx.doi.org/10.1029/2011GL048794</v>
      </c>
      <c r="BG838" t="s">
        <v>74</v>
      </c>
      <c r="BH838" t="s">
        <v>74</v>
      </c>
      <c r="BI838">
        <v>8</v>
      </c>
      <c r="BJ838" t="s">
        <v>287</v>
      </c>
      <c r="BK838" t="s">
        <v>100</v>
      </c>
      <c r="BL838" t="s">
        <v>288</v>
      </c>
      <c r="BM838" t="s">
        <v>15502</v>
      </c>
      <c r="BN838" t="s">
        <v>74</v>
      </c>
      <c r="BO838" t="s">
        <v>7063</v>
      </c>
      <c r="BP838" t="s">
        <v>74</v>
      </c>
      <c r="BQ838" t="s">
        <v>74</v>
      </c>
      <c r="BR838" t="s">
        <v>102</v>
      </c>
      <c r="BS838" t="s">
        <v>15503</v>
      </c>
      <c r="BT838" t="str">
        <f>HYPERLINK("https%3A%2F%2Fwww.webofscience.com%2Fwos%2Fwoscc%2Ffull-record%2FWOS:000295135500005","View Full Record in Web of Science")</f>
        <v>View Full Record in Web of Science</v>
      </c>
    </row>
    <row r="839" spans="1:72" x14ac:dyDescent="0.15">
      <c r="A839" t="s">
        <v>72</v>
      </c>
      <c r="B839" t="s">
        <v>15504</v>
      </c>
      <c r="C839" t="s">
        <v>74</v>
      </c>
      <c r="D839" t="s">
        <v>74</v>
      </c>
      <c r="E839" t="s">
        <v>74</v>
      </c>
      <c r="F839" t="s">
        <v>15505</v>
      </c>
      <c r="G839" t="s">
        <v>74</v>
      </c>
      <c r="H839" t="s">
        <v>74</v>
      </c>
      <c r="I839" t="s">
        <v>15506</v>
      </c>
      <c r="J839" t="s">
        <v>6662</v>
      </c>
      <c r="K839" t="s">
        <v>74</v>
      </c>
      <c r="L839" t="s">
        <v>74</v>
      </c>
      <c r="M839" t="s">
        <v>78</v>
      </c>
      <c r="N839" t="s">
        <v>79</v>
      </c>
      <c r="O839" t="s">
        <v>74</v>
      </c>
      <c r="P839" t="s">
        <v>74</v>
      </c>
      <c r="Q839" t="s">
        <v>74</v>
      </c>
      <c r="R839" t="s">
        <v>74</v>
      </c>
      <c r="S839" t="s">
        <v>74</v>
      </c>
      <c r="T839" t="s">
        <v>15507</v>
      </c>
      <c r="U839" t="s">
        <v>15508</v>
      </c>
      <c r="V839" t="s">
        <v>15509</v>
      </c>
      <c r="W839" t="s">
        <v>15510</v>
      </c>
      <c r="X839" t="s">
        <v>15511</v>
      </c>
      <c r="Y839" t="s">
        <v>15512</v>
      </c>
      <c r="Z839" t="s">
        <v>15513</v>
      </c>
      <c r="AA839" t="s">
        <v>15514</v>
      </c>
      <c r="AB839" t="s">
        <v>15515</v>
      </c>
      <c r="AC839" t="s">
        <v>15516</v>
      </c>
      <c r="AD839" t="s">
        <v>15517</v>
      </c>
      <c r="AE839" t="s">
        <v>15518</v>
      </c>
      <c r="AF839" t="s">
        <v>74</v>
      </c>
      <c r="AG839">
        <v>57</v>
      </c>
      <c r="AH839">
        <v>9</v>
      </c>
      <c r="AI839">
        <v>9</v>
      </c>
      <c r="AJ839">
        <v>0</v>
      </c>
      <c r="AK839">
        <v>11</v>
      </c>
      <c r="AL839" t="s">
        <v>333</v>
      </c>
      <c r="AM839" t="s">
        <v>334</v>
      </c>
      <c r="AN839" t="s">
        <v>335</v>
      </c>
      <c r="AO839" t="s">
        <v>6675</v>
      </c>
      <c r="AP839" t="s">
        <v>6676</v>
      </c>
      <c r="AQ839" t="s">
        <v>74</v>
      </c>
      <c r="AR839" t="s">
        <v>6677</v>
      </c>
      <c r="AS839" t="s">
        <v>6678</v>
      </c>
      <c r="AT839" t="s">
        <v>15519</v>
      </c>
      <c r="AU839">
        <v>2011</v>
      </c>
      <c r="AV839">
        <v>309</v>
      </c>
      <c r="AW839" t="s">
        <v>6679</v>
      </c>
      <c r="AX839" t="s">
        <v>74</v>
      </c>
      <c r="AY839" t="s">
        <v>74</v>
      </c>
      <c r="AZ839" t="s">
        <v>74</v>
      </c>
      <c r="BA839" t="s">
        <v>74</v>
      </c>
      <c r="BB839">
        <v>198</v>
      </c>
      <c r="BC839">
        <v>206</v>
      </c>
      <c r="BD839" t="s">
        <v>74</v>
      </c>
      <c r="BE839" t="s">
        <v>15520</v>
      </c>
      <c r="BF839" t="str">
        <f>HYPERLINK("http://dx.doi.org/10.1016/j.epsl.2011.06.032","http://dx.doi.org/10.1016/j.epsl.2011.06.032")</f>
        <v>http://dx.doi.org/10.1016/j.epsl.2011.06.032</v>
      </c>
      <c r="BG839" t="s">
        <v>74</v>
      </c>
      <c r="BH839" t="s">
        <v>74</v>
      </c>
      <c r="BI839">
        <v>9</v>
      </c>
      <c r="BJ839" t="s">
        <v>164</v>
      </c>
      <c r="BK839" t="s">
        <v>100</v>
      </c>
      <c r="BL839" t="s">
        <v>164</v>
      </c>
      <c r="BM839" t="s">
        <v>15521</v>
      </c>
      <c r="BN839" t="s">
        <v>74</v>
      </c>
      <c r="BO839" t="s">
        <v>74</v>
      </c>
      <c r="BP839" t="s">
        <v>74</v>
      </c>
      <c r="BQ839" t="s">
        <v>74</v>
      </c>
      <c r="BR839" t="s">
        <v>102</v>
      </c>
      <c r="BS839" t="s">
        <v>15522</v>
      </c>
      <c r="BT839" t="str">
        <f>HYPERLINK("https%3A%2F%2Fwww.webofscience.com%2Fwos%2Fwoscc%2Ffull-record%2FWOS:000295707600003","View Full Record in Web of Science")</f>
        <v>View Full Record in Web of Science</v>
      </c>
    </row>
    <row r="840" spans="1:72" x14ac:dyDescent="0.15">
      <c r="A840" t="s">
        <v>72</v>
      </c>
      <c r="B840" t="s">
        <v>15523</v>
      </c>
      <c r="C840" t="s">
        <v>74</v>
      </c>
      <c r="D840" t="s">
        <v>74</v>
      </c>
      <c r="E840" t="s">
        <v>74</v>
      </c>
      <c r="F840" t="s">
        <v>15524</v>
      </c>
      <c r="G840" t="s">
        <v>74</v>
      </c>
      <c r="H840" t="s">
        <v>74</v>
      </c>
      <c r="I840" t="s">
        <v>15525</v>
      </c>
      <c r="J840" t="s">
        <v>143</v>
      </c>
      <c r="K840" t="s">
        <v>74</v>
      </c>
      <c r="L840" t="s">
        <v>74</v>
      </c>
      <c r="M840" t="s">
        <v>78</v>
      </c>
      <c r="N840" t="s">
        <v>79</v>
      </c>
      <c r="O840" t="s">
        <v>74</v>
      </c>
      <c r="P840" t="s">
        <v>74</v>
      </c>
      <c r="Q840" t="s">
        <v>74</v>
      </c>
      <c r="R840" t="s">
        <v>74</v>
      </c>
      <c r="S840" t="s">
        <v>74</v>
      </c>
      <c r="T840" t="s">
        <v>74</v>
      </c>
      <c r="U840" t="s">
        <v>15526</v>
      </c>
      <c r="V840" t="s">
        <v>15527</v>
      </c>
      <c r="W840" t="s">
        <v>15528</v>
      </c>
      <c r="X840" t="s">
        <v>15529</v>
      </c>
      <c r="Y840" t="s">
        <v>15530</v>
      </c>
      <c r="Z840" t="s">
        <v>15531</v>
      </c>
      <c r="AA840" t="s">
        <v>74</v>
      </c>
      <c r="AB840" t="s">
        <v>15532</v>
      </c>
      <c r="AC840" t="s">
        <v>15533</v>
      </c>
      <c r="AD840" t="s">
        <v>15534</v>
      </c>
      <c r="AE840" t="s">
        <v>15535</v>
      </c>
      <c r="AF840" t="s">
        <v>74</v>
      </c>
      <c r="AG840">
        <v>47</v>
      </c>
      <c r="AH840">
        <v>30</v>
      </c>
      <c r="AI840">
        <v>32</v>
      </c>
      <c r="AJ840">
        <v>0</v>
      </c>
      <c r="AK840">
        <v>26</v>
      </c>
      <c r="AL840" t="s">
        <v>155</v>
      </c>
      <c r="AM840" t="s">
        <v>156</v>
      </c>
      <c r="AN840" t="s">
        <v>157</v>
      </c>
      <c r="AO840" t="s">
        <v>158</v>
      </c>
      <c r="AP840" t="s">
        <v>74</v>
      </c>
      <c r="AQ840" t="s">
        <v>74</v>
      </c>
      <c r="AR840" t="s">
        <v>160</v>
      </c>
      <c r="AS840" t="s">
        <v>161</v>
      </c>
      <c r="AT840" t="s">
        <v>15519</v>
      </c>
      <c r="AU840">
        <v>2011</v>
      </c>
      <c r="AV840">
        <v>75</v>
      </c>
      <c r="AW840">
        <v>18</v>
      </c>
      <c r="AX840" t="s">
        <v>74</v>
      </c>
      <c r="AY840" t="s">
        <v>74</v>
      </c>
      <c r="AZ840" t="s">
        <v>74</v>
      </c>
      <c r="BA840" t="s">
        <v>74</v>
      </c>
      <c r="BB840">
        <v>5283</v>
      </c>
      <c r="BC840">
        <v>5295</v>
      </c>
      <c r="BD840" t="s">
        <v>74</v>
      </c>
      <c r="BE840" t="s">
        <v>15536</v>
      </c>
      <c r="BF840" t="str">
        <f>HYPERLINK("http://dx.doi.org/10.1016/j.gca.2011.06.028","http://dx.doi.org/10.1016/j.gca.2011.06.028")</f>
        <v>http://dx.doi.org/10.1016/j.gca.2011.06.028</v>
      </c>
      <c r="BG840" t="s">
        <v>74</v>
      </c>
      <c r="BH840" t="s">
        <v>74</v>
      </c>
      <c r="BI840">
        <v>13</v>
      </c>
      <c r="BJ840" t="s">
        <v>164</v>
      </c>
      <c r="BK840" t="s">
        <v>100</v>
      </c>
      <c r="BL840" t="s">
        <v>164</v>
      </c>
      <c r="BM840" t="s">
        <v>15537</v>
      </c>
      <c r="BN840" t="s">
        <v>74</v>
      </c>
      <c r="BO840" t="s">
        <v>342</v>
      </c>
      <c r="BP840" t="s">
        <v>74</v>
      </c>
      <c r="BQ840" t="s">
        <v>74</v>
      </c>
      <c r="BR840" t="s">
        <v>102</v>
      </c>
      <c r="BS840" t="s">
        <v>15538</v>
      </c>
      <c r="BT840" t="str">
        <f>HYPERLINK("https%3A%2F%2Fwww.webofscience.com%2Fwos%2Fwoscc%2Ffull-record%2FWOS:000293775200012","View Full Record in Web of Science")</f>
        <v>View Full Record in Web of Science</v>
      </c>
    </row>
    <row r="841" spans="1:72" x14ac:dyDescent="0.15">
      <c r="A841" t="s">
        <v>72</v>
      </c>
      <c r="B841" t="s">
        <v>15539</v>
      </c>
      <c r="C841" t="s">
        <v>74</v>
      </c>
      <c r="D841" t="s">
        <v>74</v>
      </c>
      <c r="E841" t="s">
        <v>74</v>
      </c>
      <c r="F841" t="s">
        <v>15540</v>
      </c>
      <c r="G841" t="s">
        <v>74</v>
      </c>
      <c r="H841" t="s">
        <v>74</v>
      </c>
      <c r="I841" t="s">
        <v>15541</v>
      </c>
      <c r="J841" t="s">
        <v>6395</v>
      </c>
      <c r="K841" t="s">
        <v>74</v>
      </c>
      <c r="L841" t="s">
        <v>74</v>
      </c>
      <c r="M841" t="s">
        <v>78</v>
      </c>
      <c r="N841" t="s">
        <v>79</v>
      </c>
      <c r="O841" t="s">
        <v>74</v>
      </c>
      <c r="P841" t="s">
        <v>74</v>
      </c>
      <c r="Q841" t="s">
        <v>74</v>
      </c>
      <c r="R841" t="s">
        <v>74</v>
      </c>
      <c r="S841" t="s">
        <v>74</v>
      </c>
      <c r="T841" t="s">
        <v>74</v>
      </c>
      <c r="U841" t="s">
        <v>15542</v>
      </c>
      <c r="V841" t="s">
        <v>15543</v>
      </c>
      <c r="W841" t="s">
        <v>15544</v>
      </c>
      <c r="X841" t="s">
        <v>15545</v>
      </c>
      <c r="Y841" t="s">
        <v>15546</v>
      </c>
      <c r="Z841" t="s">
        <v>15547</v>
      </c>
      <c r="AA841" t="s">
        <v>15548</v>
      </c>
      <c r="AB841" t="s">
        <v>15549</v>
      </c>
      <c r="AC841" t="s">
        <v>15550</v>
      </c>
      <c r="AD841" t="s">
        <v>15551</v>
      </c>
      <c r="AE841" t="s">
        <v>15552</v>
      </c>
      <c r="AF841" t="s">
        <v>74</v>
      </c>
      <c r="AG841">
        <v>67</v>
      </c>
      <c r="AH841">
        <v>66</v>
      </c>
      <c r="AI841">
        <v>75</v>
      </c>
      <c r="AJ841">
        <v>0</v>
      </c>
      <c r="AK841">
        <v>39</v>
      </c>
      <c r="AL841" t="s">
        <v>1498</v>
      </c>
      <c r="AM841" t="s">
        <v>985</v>
      </c>
      <c r="AN841" t="s">
        <v>1499</v>
      </c>
      <c r="AO841" t="s">
        <v>6407</v>
      </c>
      <c r="AP841" t="s">
        <v>6408</v>
      </c>
      <c r="AQ841" t="s">
        <v>74</v>
      </c>
      <c r="AR841" t="s">
        <v>6395</v>
      </c>
      <c r="AS841" t="s">
        <v>6409</v>
      </c>
      <c r="AT841" t="s">
        <v>15519</v>
      </c>
      <c r="AU841">
        <v>2011</v>
      </c>
      <c r="AV841">
        <v>26</v>
      </c>
      <c r="AW841" t="s">
        <v>74</v>
      </c>
      <c r="AX841" t="s">
        <v>74</v>
      </c>
      <c r="AY841" t="s">
        <v>74</v>
      </c>
      <c r="AZ841" t="s">
        <v>74</v>
      </c>
      <c r="BA841" t="s">
        <v>74</v>
      </c>
      <c r="BB841" t="s">
        <v>74</v>
      </c>
      <c r="BC841" t="s">
        <v>74</v>
      </c>
      <c r="BD841" t="s">
        <v>15553</v>
      </c>
      <c r="BE841" t="s">
        <v>15554</v>
      </c>
      <c r="BF841" t="str">
        <f>HYPERLINK("http://dx.doi.org/10.1029/2010PA002049","http://dx.doi.org/10.1029/2010PA002049")</f>
        <v>http://dx.doi.org/10.1029/2010PA002049</v>
      </c>
      <c r="BG841" t="s">
        <v>74</v>
      </c>
      <c r="BH841" t="s">
        <v>74</v>
      </c>
      <c r="BI841">
        <v>10</v>
      </c>
      <c r="BJ841" t="s">
        <v>6412</v>
      </c>
      <c r="BK841" t="s">
        <v>100</v>
      </c>
      <c r="BL841" t="s">
        <v>6413</v>
      </c>
      <c r="BM841" t="s">
        <v>15555</v>
      </c>
      <c r="BN841" t="s">
        <v>74</v>
      </c>
      <c r="BO841" t="s">
        <v>342</v>
      </c>
      <c r="BP841" t="s">
        <v>74</v>
      </c>
      <c r="BQ841" t="s">
        <v>74</v>
      </c>
      <c r="BR841" t="s">
        <v>102</v>
      </c>
      <c r="BS841" t="s">
        <v>15556</v>
      </c>
      <c r="BT841" t="str">
        <f>HYPERLINK("https%3A%2F%2Fwww.webofscience.com%2Fwos%2Fwoscc%2Ffull-record%2FWOS:000295132200001","View Full Record in Web of Science")</f>
        <v>View Full Record in Web of Science</v>
      </c>
    </row>
    <row r="842" spans="1:72" x14ac:dyDescent="0.15">
      <c r="A842" t="s">
        <v>72</v>
      </c>
      <c r="B842" t="s">
        <v>15557</v>
      </c>
      <c r="C842" t="s">
        <v>74</v>
      </c>
      <c r="D842" t="s">
        <v>74</v>
      </c>
      <c r="E842" t="s">
        <v>74</v>
      </c>
      <c r="F842" t="s">
        <v>15558</v>
      </c>
      <c r="G842" t="s">
        <v>74</v>
      </c>
      <c r="H842" t="s">
        <v>74</v>
      </c>
      <c r="I842" t="s">
        <v>15559</v>
      </c>
      <c r="J842" t="s">
        <v>6165</v>
      </c>
      <c r="K842" t="s">
        <v>74</v>
      </c>
      <c r="L842" t="s">
        <v>74</v>
      </c>
      <c r="M842" t="s">
        <v>78</v>
      </c>
      <c r="N842" t="s">
        <v>79</v>
      </c>
      <c r="O842" t="s">
        <v>74</v>
      </c>
      <c r="P842" t="s">
        <v>74</v>
      </c>
      <c r="Q842" t="s">
        <v>74</v>
      </c>
      <c r="R842" t="s">
        <v>74</v>
      </c>
      <c r="S842" t="s">
        <v>74</v>
      </c>
      <c r="T842" t="s">
        <v>74</v>
      </c>
      <c r="U842" t="s">
        <v>15560</v>
      </c>
      <c r="V842" t="s">
        <v>15561</v>
      </c>
      <c r="W842" t="s">
        <v>15562</v>
      </c>
      <c r="X842" t="s">
        <v>15563</v>
      </c>
      <c r="Y842" t="s">
        <v>15564</v>
      </c>
      <c r="Z842" t="s">
        <v>15565</v>
      </c>
      <c r="AA842" t="s">
        <v>15566</v>
      </c>
      <c r="AB842" t="s">
        <v>15567</v>
      </c>
      <c r="AC842" t="s">
        <v>15568</v>
      </c>
      <c r="AD842" t="s">
        <v>15569</v>
      </c>
      <c r="AE842" t="s">
        <v>15570</v>
      </c>
      <c r="AF842" t="s">
        <v>74</v>
      </c>
      <c r="AG842">
        <v>134</v>
      </c>
      <c r="AH842">
        <v>39</v>
      </c>
      <c r="AI842">
        <v>40</v>
      </c>
      <c r="AJ842">
        <v>3</v>
      </c>
      <c r="AK842">
        <v>49</v>
      </c>
      <c r="AL842" t="s">
        <v>5249</v>
      </c>
      <c r="AM842" t="s">
        <v>5250</v>
      </c>
      <c r="AN842" t="s">
        <v>5251</v>
      </c>
      <c r="AO842" t="s">
        <v>6177</v>
      </c>
      <c r="AP842" t="s">
        <v>74</v>
      </c>
      <c r="AQ842" t="s">
        <v>74</v>
      </c>
      <c r="AR842" t="s">
        <v>6165</v>
      </c>
      <c r="AS842" t="s">
        <v>6178</v>
      </c>
      <c r="AT842" t="s">
        <v>15519</v>
      </c>
      <c r="AU842">
        <v>2011</v>
      </c>
      <c r="AV842">
        <v>6</v>
      </c>
      <c r="AW842">
        <v>9</v>
      </c>
      <c r="AX842" t="s">
        <v>74</v>
      </c>
      <c r="AY842" t="s">
        <v>74</v>
      </c>
      <c r="AZ842" t="s">
        <v>74</v>
      </c>
      <c r="BA842" t="s">
        <v>74</v>
      </c>
      <c r="BB842" t="s">
        <v>74</v>
      </c>
      <c r="BC842" t="s">
        <v>74</v>
      </c>
      <c r="BD842" t="s">
        <v>15571</v>
      </c>
      <c r="BE842" t="s">
        <v>15572</v>
      </c>
      <c r="BF842" t="str">
        <f>HYPERLINK("http://dx.doi.org/10.1371/journal.pone.0024554","http://dx.doi.org/10.1371/journal.pone.0024554")</f>
        <v>http://dx.doi.org/10.1371/journal.pone.0024554</v>
      </c>
      <c r="BG842" t="s">
        <v>74</v>
      </c>
      <c r="BH842" t="s">
        <v>74</v>
      </c>
      <c r="BI842">
        <v>9</v>
      </c>
      <c r="BJ842" t="s">
        <v>6182</v>
      </c>
      <c r="BK842" t="s">
        <v>100</v>
      </c>
      <c r="BL842" t="s">
        <v>6183</v>
      </c>
      <c r="BM842" t="s">
        <v>15573</v>
      </c>
      <c r="BN842">
        <v>21935424</v>
      </c>
      <c r="BO842" t="s">
        <v>5278</v>
      </c>
      <c r="BP842" t="s">
        <v>74</v>
      </c>
      <c r="BQ842" t="s">
        <v>74</v>
      </c>
      <c r="BR842" t="s">
        <v>102</v>
      </c>
      <c r="BS842" t="s">
        <v>15574</v>
      </c>
      <c r="BT842" t="str">
        <f>HYPERLINK("https%3A%2F%2Fwww.webofscience.com%2Fwos%2Fwoscc%2Ffull-record%2FWOS:000295041700042","View Full Record in Web of Science")</f>
        <v>View Full Record in Web of Science</v>
      </c>
    </row>
    <row r="843" spans="1:72" x14ac:dyDescent="0.15">
      <c r="A843" t="s">
        <v>72</v>
      </c>
      <c r="B843" t="s">
        <v>15575</v>
      </c>
      <c r="C843" t="s">
        <v>74</v>
      </c>
      <c r="D843" t="s">
        <v>74</v>
      </c>
      <c r="E843" t="s">
        <v>74</v>
      </c>
      <c r="F843" t="s">
        <v>15576</v>
      </c>
      <c r="G843" t="s">
        <v>74</v>
      </c>
      <c r="H843" t="s">
        <v>74</v>
      </c>
      <c r="I843" t="s">
        <v>15577</v>
      </c>
      <c r="J843" t="s">
        <v>15578</v>
      </c>
      <c r="K843" t="s">
        <v>74</v>
      </c>
      <c r="L843" t="s">
        <v>74</v>
      </c>
      <c r="M843" t="s">
        <v>78</v>
      </c>
      <c r="N843" t="s">
        <v>79</v>
      </c>
      <c r="O843" t="s">
        <v>74</v>
      </c>
      <c r="P843" t="s">
        <v>74</v>
      </c>
      <c r="Q843" t="s">
        <v>74</v>
      </c>
      <c r="R843" t="s">
        <v>74</v>
      </c>
      <c r="S843" t="s">
        <v>74</v>
      </c>
      <c r="T843" t="s">
        <v>15579</v>
      </c>
      <c r="U843" t="s">
        <v>15580</v>
      </c>
      <c r="V843" t="s">
        <v>15581</v>
      </c>
      <c r="W843" t="s">
        <v>15582</v>
      </c>
      <c r="X843" t="s">
        <v>15583</v>
      </c>
      <c r="Y843" t="s">
        <v>15584</v>
      </c>
      <c r="Z843" t="s">
        <v>15585</v>
      </c>
      <c r="AA843" t="s">
        <v>74</v>
      </c>
      <c r="AB843" t="s">
        <v>15586</v>
      </c>
      <c r="AC843" t="s">
        <v>15587</v>
      </c>
      <c r="AD843" t="s">
        <v>15588</v>
      </c>
      <c r="AE843" t="s">
        <v>15589</v>
      </c>
      <c r="AF843" t="s">
        <v>74</v>
      </c>
      <c r="AG843">
        <v>35</v>
      </c>
      <c r="AH843">
        <v>15</v>
      </c>
      <c r="AI843">
        <v>17</v>
      </c>
      <c r="AJ843">
        <v>0</v>
      </c>
      <c r="AK843">
        <v>19</v>
      </c>
      <c r="AL843" t="s">
        <v>13858</v>
      </c>
      <c r="AM843" t="s">
        <v>413</v>
      </c>
      <c r="AN843" t="s">
        <v>15590</v>
      </c>
      <c r="AO843" t="s">
        <v>15591</v>
      </c>
      <c r="AP843" t="s">
        <v>15592</v>
      </c>
      <c r="AQ843" t="s">
        <v>74</v>
      </c>
      <c r="AR843" t="s">
        <v>15593</v>
      </c>
      <c r="AS843" t="s">
        <v>15594</v>
      </c>
      <c r="AT843" t="s">
        <v>15519</v>
      </c>
      <c r="AU843">
        <v>2011</v>
      </c>
      <c r="AV843">
        <v>115</v>
      </c>
      <c r="AW843">
        <v>9</v>
      </c>
      <c r="AX843" t="s">
        <v>74</v>
      </c>
      <c r="AY843" t="s">
        <v>74</v>
      </c>
      <c r="AZ843" t="s">
        <v>74</v>
      </c>
      <c r="BA843" t="s">
        <v>74</v>
      </c>
      <c r="BB843">
        <v>2267</v>
      </c>
      <c r="BC843">
        <v>2276</v>
      </c>
      <c r="BD843" t="s">
        <v>74</v>
      </c>
      <c r="BE843" t="s">
        <v>15595</v>
      </c>
      <c r="BF843" t="str">
        <f>HYPERLINK("http://dx.doi.org/10.1016/j.rse.2011.04.027","http://dx.doi.org/10.1016/j.rse.2011.04.027")</f>
        <v>http://dx.doi.org/10.1016/j.rse.2011.04.027</v>
      </c>
      <c r="BG843" t="s">
        <v>74</v>
      </c>
      <c r="BH843" t="s">
        <v>74</v>
      </c>
      <c r="BI843">
        <v>10</v>
      </c>
      <c r="BJ843" t="s">
        <v>15120</v>
      </c>
      <c r="BK843" t="s">
        <v>100</v>
      </c>
      <c r="BL843" t="s">
        <v>15121</v>
      </c>
      <c r="BM843" t="s">
        <v>15596</v>
      </c>
      <c r="BN843" t="s">
        <v>74</v>
      </c>
      <c r="BO843" t="s">
        <v>74</v>
      </c>
      <c r="BP843" t="s">
        <v>74</v>
      </c>
      <c r="BQ843" t="s">
        <v>74</v>
      </c>
      <c r="BR843" t="s">
        <v>102</v>
      </c>
      <c r="BS843" t="s">
        <v>15597</v>
      </c>
      <c r="BT843" t="str">
        <f>HYPERLINK("https%3A%2F%2Fwww.webofscience.com%2Fwos%2Fwoscc%2Ffull-record%2FWOS:000292484400008","View Full Record in Web of Science")</f>
        <v>View Full Record in Web of Science</v>
      </c>
    </row>
    <row r="844" spans="1:72" x14ac:dyDescent="0.15">
      <c r="A844" t="s">
        <v>72</v>
      </c>
      <c r="B844" t="s">
        <v>15598</v>
      </c>
      <c r="C844" t="s">
        <v>74</v>
      </c>
      <c r="D844" t="s">
        <v>74</v>
      </c>
      <c r="E844" t="s">
        <v>74</v>
      </c>
      <c r="F844" t="s">
        <v>15599</v>
      </c>
      <c r="G844" t="s">
        <v>74</v>
      </c>
      <c r="H844" t="s">
        <v>74</v>
      </c>
      <c r="I844" t="s">
        <v>15600</v>
      </c>
      <c r="J844" t="s">
        <v>143</v>
      </c>
      <c r="K844" t="s">
        <v>74</v>
      </c>
      <c r="L844" t="s">
        <v>74</v>
      </c>
      <c r="M844" t="s">
        <v>78</v>
      </c>
      <c r="N844" t="s">
        <v>79</v>
      </c>
      <c r="O844" t="s">
        <v>74</v>
      </c>
      <c r="P844" t="s">
        <v>74</v>
      </c>
      <c r="Q844" t="s">
        <v>74</v>
      </c>
      <c r="R844" t="s">
        <v>74</v>
      </c>
      <c r="S844" t="s">
        <v>74</v>
      </c>
      <c r="T844" t="s">
        <v>74</v>
      </c>
      <c r="U844" t="s">
        <v>15601</v>
      </c>
      <c r="V844" t="s">
        <v>15602</v>
      </c>
      <c r="W844" t="s">
        <v>15603</v>
      </c>
      <c r="X844" t="s">
        <v>15604</v>
      </c>
      <c r="Y844" t="s">
        <v>15605</v>
      </c>
      <c r="Z844" t="s">
        <v>15606</v>
      </c>
      <c r="AA844" t="s">
        <v>15607</v>
      </c>
      <c r="AB844" t="s">
        <v>15608</v>
      </c>
      <c r="AC844" t="s">
        <v>15609</v>
      </c>
      <c r="AD844" t="s">
        <v>15610</v>
      </c>
      <c r="AE844" t="s">
        <v>15611</v>
      </c>
      <c r="AF844" t="s">
        <v>74</v>
      </c>
      <c r="AG844">
        <v>51</v>
      </c>
      <c r="AH844">
        <v>43</v>
      </c>
      <c r="AI844">
        <v>45</v>
      </c>
      <c r="AJ844">
        <v>0</v>
      </c>
      <c r="AK844">
        <v>13</v>
      </c>
      <c r="AL844" t="s">
        <v>155</v>
      </c>
      <c r="AM844" t="s">
        <v>156</v>
      </c>
      <c r="AN844" t="s">
        <v>157</v>
      </c>
      <c r="AO844" t="s">
        <v>158</v>
      </c>
      <c r="AP844" t="s">
        <v>74</v>
      </c>
      <c r="AQ844" t="s">
        <v>74</v>
      </c>
      <c r="AR844" t="s">
        <v>160</v>
      </c>
      <c r="AS844" t="s">
        <v>161</v>
      </c>
      <c r="AT844" t="s">
        <v>15519</v>
      </c>
      <c r="AU844">
        <v>2011</v>
      </c>
      <c r="AV844">
        <v>75</v>
      </c>
      <c r="AW844">
        <v>18</v>
      </c>
      <c r="AX844" t="s">
        <v>74</v>
      </c>
      <c r="AY844" t="s">
        <v>74</v>
      </c>
      <c r="AZ844" t="s">
        <v>74</v>
      </c>
      <c r="BA844" t="s">
        <v>74</v>
      </c>
      <c r="BB844">
        <v>5203</v>
      </c>
      <c r="BC844">
        <v>5218</v>
      </c>
      <c r="BD844" t="s">
        <v>74</v>
      </c>
      <c r="BE844" t="s">
        <v>15612</v>
      </c>
      <c r="BF844" t="str">
        <f>HYPERLINK("http://dx.doi.org/10.1016/j.gca.2011.06.014","http://dx.doi.org/10.1016/j.gca.2011.06.014")</f>
        <v>http://dx.doi.org/10.1016/j.gca.2011.06.014</v>
      </c>
      <c r="BG844" t="s">
        <v>74</v>
      </c>
      <c r="BH844" t="s">
        <v>74</v>
      </c>
      <c r="BI844">
        <v>16</v>
      </c>
      <c r="BJ844" t="s">
        <v>164</v>
      </c>
      <c r="BK844" t="s">
        <v>100</v>
      </c>
      <c r="BL844" t="s">
        <v>164</v>
      </c>
      <c r="BM844" t="s">
        <v>15537</v>
      </c>
      <c r="BN844" t="s">
        <v>74</v>
      </c>
      <c r="BO844" t="s">
        <v>74</v>
      </c>
      <c r="BP844" t="s">
        <v>74</v>
      </c>
      <c r="BQ844" t="s">
        <v>74</v>
      </c>
      <c r="BR844" t="s">
        <v>102</v>
      </c>
      <c r="BS844" t="s">
        <v>15613</v>
      </c>
      <c r="BT844" t="str">
        <f>HYPERLINK("https%3A%2F%2Fwww.webofscience.com%2Fwos%2Fwoscc%2Ffull-record%2FWOS:000293775200007","View Full Record in Web of Science")</f>
        <v>View Full Record in Web of Science</v>
      </c>
    </row>
    <row r="845" spans="1:72" x14ac:dyDescent="0.15">
      <c r="A845" t="s">
        <v>72</v>
      </c>
      <c r="B845" t="s">
        <v>15614</v>
      </c>
      <c r="C845" t="s">
        <v>74</v>
      </c>
      <c r="D845" t="s">
        <v>74</v>
      </c>
      <c r="E845" t="s">
        <v>74</v>
      </c>
      <c r="F845" t="s">
        <v>15615</v>
      </c>
      <c r="G845" t="s">
        <v>74</v>
      </c>
      <c r="H845" t="s">
        <v>74</v>
      </c>
      <c r="I845" t="s">
        <v>15616</v>
      </c>
      <c r="J845" t="s">
        <v>7084</v>
      </c>
      <c r="K845" t="s">
        <v>74</v>
      </c>
      <c r="L845" t="s">
        <v>74</v>
      </c>
      <c r="M845" t="s">
        <v>78</v>
      </c>
      <c r="N845" t="s">
        <v>79</v>
      </c>
      <c r="O845" t="s">
        <v>74</v>
      </c>
      <c r="P845" t="s">
        <v>74</v>
      </c>
      <c r="Q845" t="s">
        <v>74</v>
      </c>
      <c r="R845" t="s">
        <v>74</v>
      </c>
      <c r="S845" t="s">
        <v>74</v>
      </c>
      <c r="T845" t="s">
        <v>15617</v>
      </c>
      <c r="U845" t="s">
        <v>15618</v>
      </c>
      <c r="V845" t="s">
        <v>15619</v>
      </c>
      <c r="W845" t="s">
        <v>15620</v>
      </c>
      <c r="X845" t="s">
        <v>15621</v>
      </c>
      <c r="Y845" t="s">
        <v>15622</v>
      </c>
      <c r="Z845" t="s">
        <v>15623</v>
      </c>
      <c r="AA845" t="s">
        <v>15624</v>
      </c>
      <c r="AB845" t="s">
        <v>74</v>
      </c>
      <c r="AC845" t="s">
        <v>15625</v>
      </c>
      <c r="AD845" t="s">
        <v>15625</v>
      </c>
      <c r="AE845" t="s">
        <v>15626</v>
      </c>
      <c r="AF845" t="s">
        <v>74</v>
      </c>
      <c r="AG845">
        <v>112</v>
      </c>
      <c r="AH845">
        <v>20</v>
      </c>
      <c r="AI845">
        <v>22</v>
      </c>
      <c r="AJ845">
        <v>1</v>
      </c>
      <c r="AK845">
        <v>6</v>
      </c>
      <c r="AL845" t="s">
        <v>7095</v>
      </c>
      <c r="AM845" t="s">
        <v>7096</v>
      </c>
      <c r="AN845" t="s">
        <v>9315</v>
      </c>
      <c r="AO845" t="s">
        <v>7098</v>
      </c>
      <c r="AP845" t="s">
        <v>7099</v>
      </c>
      <c r="AQ845" t="s">
        <v>74</v>
      </c>
      <c r="AR845" t="s">
        <v>7084</v>
      </c>
      <c r="AS845" t="s">
        <v>7100</v>
      </c>
      <c r="AT845" t="s">
        <v>15627</v>
      </c>
      <c r="AU845">
        <v>2011</v>
      </c>
      <c r="AV845" t="s">
        <v>74</v>
      </c>
      <c r="AW845">
        <v>3026</v>
      </c>
      <c r="AX845" t="s">
        <v>74</v>
      </c>
      <c r="AY845" t="s">
        <v>74</v>
      </c>
      <c r="AZ845" t="s">
        <v>74</v>
      </c>
      <c r="BA845" t="s">
        <v>74</v>
      </c>
      <c r="BB845">
        <v>1</v>
      </c>
      <c r="BC845">
        <v>64</v>
      </c>
      <c r="BD845" t="s">
        <v>74</v>
      </c>
      <c r="BE845" t="s">
        <v>74</v>
      </c>
      <c r="BF845" t="s">
        <v>74</v>
      </c>
      <c r="BG845" t="s">
        <v>74</v>
      </c>
      <c r="BH845" t="s">
        <v>74</v>
      </c>
      <c r="BI845">
        <v>64</v>
      </c>
      <c r="BJ845" t="s">
        <v>2881</v>
      </c>
      <c r="BK845" t="s">
        <v>100</v>
      </c>
      <c r="BL845" t="s">
        <v>2881</v>
      </c>
      <c r="BM845" t="s">
        <v>15628</v>
      </c>
      <c r="BN845" t="s">
        <v>74</v>
      </c>
      <c r="BO845" t="s">
        <v>74</v>
      </c>
      <c r="BP845" t="s">
        <v>74</v>
      </c>
      <c r="BQ845" t="s">
        <v>74</v>
      </c>
      <c r="BR845" t="s">
        <v>102</v>
      </c>
      <c r="BS845" t="s">
        <v>15629</v>
      </c>
      <c r="BT845" t="str">
        <f>HYPERLINK("https%3A%2F%2Fwww.webofscience.com%2Fwos%2Fwoscc%2Ffull-record%2FWOS:000294800500001","View Full Record in Web of Science")</f>
        <v>View Full Record in Web of Science</v>
      </c>
    </row>
    <row r="846" spans="1:72" x14ac:dyDescent="0.15">
      <c r="A846" t="s">
        <v>72</v>
      </c>
      <c r="B846" t="s">
        <v>15630</v>
      </c>
      <c r="C846" t="s">
        <v>74</v>
      </c>
      <c r="D846" t="s">
        <v>74</v>
      </c>
      <c r="E846" t="s">
        <v>74</v>
      </c>
      <c r="F846" t="s">
        <v>15631</v>
      </c>
      <c r="G846" t="s">
        <v>74</v>
      </c>
      <c r="H846" t="s">
        <v>74</v>
      </c>
      <c r="I846" t="s">
        <v>15632</v>
      </c>
      <c r="J846" t="s">
        <v>6224</v>
      </c>
      <c r="K846" t="s">
        <v>74</v>
      </c>
      <c r="L846" t="s">
        <v>74</v>
      </c>
      <c r="M846" t="s">
        <v>78</v>
      </c>
      <c r="N846" t="s">
        <v>79</v>
      </c>
      <c r="O846" t="s">
        <v>74</v>
      </c>
      <c r="P846" t="s">
        <v>74</v>
      </c>
      <c r="Q846" t="s">
        <v>74</v>
      </c>
      <c r="R846" t="s">
        <v>74</v>
      </c>
      <c r="S846" t="s">
        <v>74</v>
      </c>
      <c r="T846" t="s">
        <v>74</v>
      </c>
      <c r="U846" t="s">
        <v>15633</v>
      </c>
      <c r="V846" t="s">
        <v>15634</v>
      </c>
      <c r="W846" t="s">
        <v>15635</v>
      </c>
      <c r="X846" t="s">
        <v>375</v>
      </c>
      <c r="Y846" t="s">
        <v>15636</v>
      </c>
      <c r="Z846" t="s">
        <v>15637</v>
      </c>
      <c r="AA846" t="s">
        <v>15638</v>
      </c>
      <c r="AB846" t="s">
        <v>15639</v>
      </c>
      <c r="AC846" t="s">
        <v>15640</v>
      </c>
      <c r="AD846" t="s">
        <v>15640</v>
      </c>
      <c r="AE846" t="s">
        <v>15641</v>
      </c>
      <c r="AF846" t="s">
        <v>74</v>
      </c>
      <c r="AG846">
        <v>66</v>
      </c>
      <c r="AH846">
        <v>24</v>
      </c>
      <c r="AI846">
        <v>24</v>
      </c>
      <c r="AJ846">
        <v>0</v>
      </c>
      <c r="AK846">
        <v>6</v>
      </c>
      <c r="AL846" t="s">
        <v>1498</v>
      </c>
      <c r="AM846" t="s">
        <v>985</v>
      </c>
      <c r="AN846" t="s">
        <v>1499</v>
      </c>
      <c r="AO846" t="s">
        <v>6236</v>
      </c>
      <c r="AP846" t="s">
        <v>6237</v>
      </c>
      <c r="AQ846" t="s">
        <v>74</v>
      </c>
      <c r="AR846" t="s">
        <v>6238</v>
      </c>
      <c r="AS846" t="s">
        <v>6239</v>
      </c>
      <c r="AT846" t="s">
        <v>15642</v>
      </c>
      <c r="AU846">
        <v>2011</v>
      </c>
      <c r="AV846">
        <v>116</v>
      </c>
      <c r="AW846" t="s">
        <v>74</v>
      </c>
      <c r="AX846" t="s">
        <v>74</v>
      </c>
      <c r="AY846" t="s">
        <v>74</v>
      </c>
      <c r="AZ846" t="s">
        <v>74</v>
      </c>
      <c r="BA846" t="s">
        <v>74</v>
      </c>
      <c r="BB846" t="s">
        <v>74</v>
      </c>
      <c r="BC846" t="s">
        <v>74</v>
      </c>
      <c r="BD846" t="s">
        <v>15643</v>
      </c>
      <c r="BE846" t="s">
        <v>15644</v>
      </c>
      <c r="BF846" t="str">
        <f>HYPERLINK("http://dx.doi.org/10.1029/2011JD015731","http://dx.doi.org/10.1029/2011JD015731")</f>
        <v>http://dx.doi.org/10.1029/2011JD015731</v>
      </c>
      <c r="BG846" t="s">
        <v>74</v>
      </c>
      <c r="BH846" t="s">
        <v>74</v>
      </c>
      <c r="BI846">
        <v>15</v>
      </c>
      <c r="BJ846" t="s">
        <v>463</v>
      </c>
      <c r="BK846" t="s">
        <v>100</v>
      </c>
      <c r="BL846" t="s">
        <v>463</v>
      </c>
      <c r="BM846" t="s">
        <v>15645</v>
      </c>
      <c r="BN846" t="s">
        <v>74</v>
      </c>
      <c r="BO846" t="s">
        <v>365</v>
      </c>
      <c r="BP846" t="s">
        <v>74</v>
      </c>
      <c r="BQ846" t="s">
        <v>74</v>
      </c>
      <c r="BR846" t="s">
        <v>102</v>
      </c>
      <c r="BS846" t="s">
        <v>15646</v>
      </c>
      <c r="BT846" t="str">
        <f>HYPERLINK("https%3A%2F%2Fwww.webofscience.com%2Fwos%2Fwoscc%2Ffull-record%2FWOS:000294800800002","View Full Record in Web of Science")</f>
        <v>View Full Record in Web of Science</v>
      </c>
    </row>
    <row r="847" spans="1:72" x14ac:dyDescent="0.15">
      <c r="A847" t="s">
        <v>72</v>
      </c>
      <c r="B847" t="s">
        <v>15647</v>
      </c>
      <c r="C847" t="s">
        <v>74</v>
      </c>
      <c r="D847" t="s">
        <v>74</v>
      </c>
      <c r="E847" t="s">
        <v>74</v>
      </c>
      <c r="F847" t="s">
        <v>15648</v>
      </c>
      <c r="G847" t="s">
        <v>74</v>
      </c>
      <c r="H847" t="s">
        <v>74</v>
      </c>
      <c r="I847" t="s">
        <v>15649</v>
      </c>
      <c r="J847" t="s">
        <v>6395</v>
      </c>
      <c r="K847" t="s">
        <v>74</v>
      </c>
      <c r="L847" t="s">
        <v>74</v>
      </c>
      <c r="M847" t="s">
        <v>78</v>
      </c>
      <c r="N847" t="s">
        <v>79</v>
      </c>
      <c r="O847" t="s">
        <v>74</v>
      </c>
      <c r="P847" t="s">
        <v>74</v>
      </c>
      <c r="Q847" t="s">
        <v>74</v>
      </c>
      <c r="R847" t="s">
        <v>74</v>
      </c>
      <c r="S847" t="s">
        <v>74</v>
      </c>
      <c r="T847" t="s">
        <v>74</v>
      </c>
      <c r="U847" t="s">
        <v>15650</v>
      </c>
      <c r="V847" t="s">
        <v>15651</v>
      </c>
      <c r="W847" t="s">
        <v>15652</v>
      </c>
      <c r="X847" t="s">
        <v>15653</v>
      </c>
      <c r="Y847" t="s">
        <v>15654</v>
      </c>
      <c r="Z847" t="s">
        <v>15655</v>
      </c>
      <c r="AA847" t="s">
        <v>15656</v>
      </c>
      <c r="AB847" t="s">
        <v>15657</v>
      </c>
      <c r="AC847" t="s">
        <v>15658</v>
      </c>
      <c r="AD847" t="s">
        <v>15658</v>
      </c>
      <c r="AE847" t="s">
        <v>15659</v>
      </c>
      <c r="AF847" t="s">
        <v>74</v>
      </c>
      <c r="AG847">
        <v>77</v>
      </c>
      <c r="AH847">
        <v>57</v>
      </c>
      <c r="AI847">
        <v>61</v>
      </c>
      <c r="AJ847">
        <v>2</v>
      </c>
      <c r="AK847">
        <v>22</v>
      </c>
      <c r="AL847" t="s">
        <v>1498</v>
      </c>
      <c r="AM847" t="s">
        <v>985</v>
      </c>
      <c r="AN847" t="s">
        <v>1499</v>
      </c>
      <c r="AO847" t="s">
        <v>6407</v>
      </c>
      <c r="AP847" t="s">
        <v>6408</v>
      </c>
      <c r="AQ847" t="s">
        <v>74</v>
      </c>
      <c r="AR847" t="s">
        <v>6395</v>
      </c>
      <c r="AS847" t="s">
        <v>6409</v>
      </c>
      <c r="AT847" t="s">
        <v>15642</v>
      </c>
      <c r="AU847">
        <v>2011</v>
      </c>
      <c r="AV847">
        <v>26</v>
      </c>
      <c r="AW847" t="s">
        <v>74</v>
      </c>
      <c r="AX847" t="s">
        <v>74</v>
      </c>
      <c r="AY847" t="s">
        <v>74</v>
      </c>
      <c r="AZ847" t="s">
        <v>74</v>
      </c>
      <c r="BA847" t="s">
        <v>74</v>
      </c>
      <c r="BB847" t="s">
        <v>74</v>
      </c>
      <c r="BC847" t="s">
        <v>74</v>
      </c>
      <c r="BD847" t="s">
        <v>15660</v>
      </c>
      <c r="BE847" t="s">
        <v>15661</v>
      </c>
      <c r="BF847" t="str">
        <f>HYPERLINK("http://dx.doi.org/10.1029/2010PA002085","http://dx.doi.org/10.1029/2010PA002085")</f>
        <v>http://dx.doi.org/10.1029/2010PA002085</v>
      </c>
      <c r="BG847" t="s">
        <v>74</v>
      </c>
      <c r="BH847" t="s">
        <v>74</v>
      </c>
      <c r="BI847">
        <v>16</v>
      </c>
      <c r="BJ847" t="s">
        <v>6412</v>
      </c>
      <c r="BK847" t="s">
        <v>100</v>
      </c>
      <c r="BL847" t="s">
        <v>6413</v>
      </c>
      <c r="BM847" t="s">
        <v>15662</v>
      </c>
      <c r="BN847" t="s">
        <v>74</v>
      </c>
      <c r="BO847" t="s">
        <v>6160</v>
      </c>
      <c r="BP847" t="s">
        <v>74</v>
      </c>
      <c r="BQ847" t="s">
        <v>74</v>
      </c>
      <c r="BR847" t="s">
        <v>102</v>
      </c>
      <c r="BS847" t="s">
        <v>15663</v>
      </c>
      <c r="BT847" t="str">
        <f>HYPERLINK("https%3A%2F%2Fwww.webofscience.com%2Fwos%2Fwoscc%2Ffull-record%2FWOS:000294784800001","View Full Record in Web of Science")</f>
        <v>View Full Record in Web of Science</v>
      </c>
    </row>
    <row r="848" spans="1:72" x14ac:dyDescent="0.15">
      <c r="A848" t="s">
        <v>72</v>
      </c>
      <c r="B848" t="s">
        <v>15664</v>
      </c>
      <c r="C848" t="s">
        <v>74</v>
      </c>
      <c r="D848" t="s">
        <v>74</v>
      </c>
      <c r="E848" t="s">
        <v>74</v>
      </c>
      <c r="F848" t="s">
        <v>15665</v>
      </c>
      <c r="G848" t="s">
        <v>74</v>
      </c>
      <c r="H848" t="s">
        <v>74</v>
      </c>
      <c r="I848" t="s">
        <v>15666</v>
      </c>
      <c r="J848" t="s">
        <v>6224</v>
      </c>
      <c r="K848" t="s">
        <v>74</v>
      </c>
      <c r="L848" t="s">
        <v>74</v>
      </c>
      <c r="M848" t="s">
        <v>78</v>
      </c>
      <c r="N848" t="s">
        <v>79</v>
      </c>
      <c r="O848" t="s">
        <v>74</v>
      </c>
      <c r="P848" t="s">
        <v>74</v>
      </c>
      <c r="Q848" t="s">
        <v>74</v>
      </c>
      <c r="R848" t="s">
        <v>74</v>
      </c>
      <c r="S848" t="s">
        <v>74</v>
      </c>
      <c r="T848" t="s">
        <v>74</v>
      </c>
      <c r="U848" t="s">
        <v>15667</v>
      </c>
      <c r="V848" t="s">
        <v>15668</v>
      </c>
      <c r="W848" t="s">
        <v>15669</v>
      </c>
      <c r="X848" t="s">
        <v>15670</v>
      </c>
      <c r="Y848" t="s">
        <v>15671</v>
      </c>
      <c r="Z848" t="s">
        <v>15672</v>
      </c>
      <c r="AA848" t="s">
        <v>15673</v>
      </c>
      <c r="AB848" t="s">
        <v>15674</v>
      </c>
      <c r="AC848" t="s">
        <v>15675</v>
      </c>
      <c r="AD848" t="s">
        <v>15676</v>
      </c>
      <c r="AE848" t="s">
        <v>15677</v>
      </c>
      <c r="AF848" t="s">
        <v>74</v>
      </c>
      <c r="AG848">
        <v>47</v>
      </c>
      <c r="AH848">
        <v>62</v>
      </c>
      <c r="AI848">
        <v>62</v>
      </c>
      <c r="AJ848">
        <v>0</v>
      </c>
      <c r="AK848">
        <v>39</v>
      </c>
      <c r="AL848" t="s">
        <v>1498</v>
      </c>
      <c r="AM848" t="s">
        <v>985</v>
      </c>
      <c r="AN848" t="s">
        <v>1499</v>
      </c>
      <c r="AO848" t="s">
        <v>6236</v>
      </c>
      <c r="AP848" t="s">
        <v>6237</v>
      </c>
      <c r="AQ848" t="s">
        <v>74</v>
      </c>
      <c r="AR848" t="s">
        <v>6238</v>
      </c>
      <c r="AS848" t="s">
        <v>6239</v>
      </c>
      <c r="AT848" t="s">
        <v>15678</v>
      </c>
      <c r="AU848">
        <v>2011</v>
      </c>
      <c r="AV848">
        <v>116</v>
      </c>
      <c r="AW848" t="s">
        <v>74</v>
      </c>
      <c r="AX848" t="s">
        <v>74</v>
      </c>
      <c r="AY848" t="s">
        <v>74</v>
      </c>
      <c r="AZ848" t="s">
        <v>74</v>
      </c>
      <c r="BA848" t="s">
        <v>74</v>
      </c>
      <c r="BB848" t="s">
        <v>74</v>
      </c>
      <c r="BC848" t="s">
        <v>74</v>
      </c>
      <c r="BD848" t="s">
        <v>15679</v>
      </c>
      <c r="BE848" t="s">
        <v>15680</v>
      </c>
      <c r="BF848" t="str">
        <f>HYPERLINK("http://dx.doi.org/10.1029/2010JD015360","http://dx.doi.org/10.1029/2010JD015360")</f>
        <v>http://dx.doi.org/10.1029/2010JD015360</v>
      </c>
      <c r="BG848" t="s">
        <v>74</v>
      </c>
      <c r="BH848" t="s">
        <v>74</v>
      </c>
      <c r="BI848">
        <v>18</v>
      </c>
      <c r="BJ848" t="s">
        <v>463</v>
      </c>
      <c r="BK848" t="s">
        <v>100</v>
      </c>
      <c r="BL848" t="s">
        <v>463</v>
      </c>
      <c r="BM848" t="s">
        <v>15681</v>
      </c>
      <c r="BN848" t="s">
        <v>74</v>
      </c>
      <c r="BO848" t="s">
        <v>15682</v>
      </c>
      <c r="BP848" t="s">
        <v>74</v>
      </c>
      <c r="BQ848" t="s">
        <v>74</v>
      </c>
      <c r="BR848" t="s">
        <v>102</v>
      </c>
      <c r="BS848" t="s">
        <v>15683</v>
      </c>
      <c r="BT848" t="str">
        <f>HYPERLINK("https%3A%2F%2Fwww.webofscience.com%2Fwos%2Fwoscc%2Ffull-record%2FWOS:000294800600001","View Full Record in Web of Science")</f>
        <v>View Full Record in Web of Science</v>
      </c>
    </row>
    <row r="849" spans="1:72" x14ac:dyDescent="0.15">
      <c r="A849" t="s">
        <v>72</v>
      </c>
      <c r="B849" t="s">
        <v>15684</v>
      </c>
      <c r="C849" t="s">
        <v>74</v>
      </c>
      <c r="D849" t="s">
        <v>74</v>
      </c>
      <c r="E849" t="s">
        <v>74</v>
      </c>
      <c r="F849" t="s">
        <v>15685</v>
      </c>
      <c r="G849" t="s">
        <v>74</v>
      </c>
      <c r="H849" t="s">
        <v>74</v>
      </c>
      <c r="I849" t="s">
        <v>15686</v>
      </c>
      <c r="J849" t="s">
        <v>6292</v>
      </c>
      <c r="K849" t="s">
        <v>74</v>
      </c>
      <c r="L849" t="s">
        <v>74</v>
      </c>
      <c r="M849" t="s">
        <v>78</v>
      </c>
      <c r="N849" t="s">
        <v>810</v>
      </c>
      <c r="O849" t="s">
        <v>74</v>
      </c>
      <c r="P849" t="s">
        <v>74</v>
      </c>
      <c r="Q849" t="s">
        <v>74</v>
      </c>
      <c r="R849" t="s">
        <v>74</v>
      </c>
      <c r="S849" t="s">
        <v>74</v>
      </c>
      <c r="T849" t="s">
        <v>74</v>
      </c>
      <c r="U849" t="s">
        <v>15687</v>
      </c>
      <c r="V849" t="s">
        <v>74</v>
      </c>
      <c r="W849" t="s">
        <v>15688</v>
      </c>
      <c r="X849" t="s">
        <v>15689</v>
      </c>
      <c r="Y849" t="s">
        <v>15690</v>
      </c>
      <c r="Z849" t="s">
        <v>15691</v>
      </c>
      <c r="AA849" t="s">
        <v>74</v>
      </c>
      <c r="AB849" t="s">
        <v>74</v>
      </c>
      <c r="AC849" t="s">
        <v>74</v>
      </c>
      <c r="AD849" t="s">
        <v>74</v>
      </c>
      <c r="AE849" t="s">
        <v>74</v>
      </c>
      <c r="AF849" t="s">
        <v>74</v>
      </c>
      <c r="AG849">
        <v>8</v>
      </c>
      <c r="AH849">
        <v>1</v>
      </c>
      <c r="AI849">
        <v>1</v>
      </c>
      <c r="AJ849">
        <v>0</v>
      </c>
      <c r="AK849">
        <v>4</v>
      </c>
      <c r="AL849" t="s">
        <v>6304</v>
      </c>
      <c r="AM849" t="s">
        <v>985</v>
      </c>
      <c r="AN849" t="s">
        <v>6305</v>
      </c>
      <c r="AO849" t="s">
        <v>6306</v>
      </c>
      <c r="AP849" t="s">
        <v>74</v>
      </c>
      <c r="AQ849" t="s">
        <v>74</v>
      </c>
      <c r="AR849" t="s">
        <v>6292</v>
      </c>
      <c r="AS849" t="s">
        <v>6308</v>
      </c>
      <c r="AT849" t="s">
        <v>15678</v>
      </c>
      <c r="AU849">
        <v>2011</v>
      </c>
      <c r="AV849">
        <v>333</v>
      </c>
      <c r="AW849">
        <v>6048</v>
      </c>
      <c r="AX849" t="s">
        <v>74</v>
      </c>
      <c r="AY849" t="s">
        <v>74</v>
      </c>
      <c r="AZ849" t="s">
        <v>74</v>
      </c>
      <c r="BA849" t="s">
        <v>74</v>
      </c>
      <c r="BB849">
        <v>1386</v>
      </c>
      <c r="BC849">
        <v>1387</v>
      </c>
      <c r="BD849" t="s">
        <v>74</v>
      </c>
      <c r="BE849" t="s">
        <v>15692</v>
      </c>
      <c r="BF849" t="str">
        <f>HYPERLINK("http://dx.doi.org/10.1126/science.1211157","http://dx.doi.org/10.1126/science.1211157")</f>
        <v>http://dx.doi.org/10.1126/science.1211157</v>
      </c>
      <c r="BG849" t="s">
        <v>74</v>
      </c>
      <c r="BH849" t="s">
        <v>74</v>
      </c>
      <c r="BI849">
        <v>2</v>
      </c>
      <c r="BJ849" t="s">
        <v>6182</v>
      </c>
      <c r="BK849" t="s">
        <v>100</v>
      </c>
      <c r="BL849" t="s">
        <v>6183</v>
      </c>
      <c r="BM849" t="s">
        <v>15693</v>
      </c>
      <c r="BN849">
        <v>21903797</v>
      </c>
      <c r="BO849" t="s">
        <v>74</v>
      </c>
      <c r="BP849" t="s">
        <v>74</v>
      </c>
      <c r="BQ849" t="s">
        <v>74</v>
      </c>
      <c r="BR849" t="s">
        <v>102</v>
      </c>
      <c r="BS849" t="s">
        <v>15694</v>
      </c>
      <c r="BT849" t="str">
        <f>HYPERLINK("https%3A%2F%2Fwww.webofscience.com%2Fwos%2Fwoscc%2Ffull-record%2FWOS:000294672200024","View Full Record in Web of Science")</f>
        <v>View Full Record in Web of Science</v>
      </c>
    </row>
    <row r="850" spans="1:72" x14ac:dyDescent="0.15">
      <c r="A850" t="s">
        <v>72</v>
      </c>
      <c r="B850" t="s">
        <v>15695</v>
      </c>
      <c r="C850" t="s">
        <v>74</v>
      </c>
      <c r="D850" t="s">
        <v>74</v>
      </c>
      <c r="E850" t="s">
        <v>74</v>
      </c>
      <c r="F850" t="s">
        <v>15696</v>
      </c>
      <c r="G850" t="s">
        <v>74</v>
      </c>
      <c r="H850" t="s">
        <v>74</v>
      </c>
      <c r="I850" t="s">
        <v>15697</v>
      </c>
      <c r="J850" t="s">
        <v>6292</v>
      </c>
      <c r="K850" t="s">
        <v>74</v>
      </c>
      <c r="L850" t="s">
        <v>74</v>
      </c>
      <c r="M850" t="s">
        <v>78</v>
      </c>
      <c r="N850" t="s">
        <v>79</v>
      </c>
      <c r="O850" t="s">
        <v>74</v>
      </c>
      <c r="P850" t="s">
        <v>74</v>
      </c>
      <c r="Q850" t="s">
        <v>74</v>
      </c>
      <c r="R850" t="s">
        <v>74</v>
      </c>
      <c r="S850" t="s">
        <v>74</v>
      </c>
      <c r="T850" t="s">
        <v>74</v>
      </c>
      <c r="U850" t="s">
        <v>15698</v>
      </c>
      <c r="V850" t="s">
        <v>15699</v>
      </c>
      <c r="W850" t="s">
        <v>15700</v>
      </c>
      <c r="X850" t="s">
        <v>15701</v>
      </c>
      <c r="Y850" t="s">
        <v>15702</v>
      </c>
      <c r="Z850" t="s">
        <v>15703</v>
      </c>
      <c r="AA850" t="s">
        <v>2274</v>
      </c>
      <c r="AB850" t="s">
        <v>2275</v>
      </c>
      <c r="AC850" t="s">
        <v>74</v>
      </c>
      <c r="AD850" t="s">
        <v>74</v>
      </c>
      <c r="AE850" t="s">
        <v>74</v>
      </c>
      <c r="AF850" t="s">
        <v>74</v>
      </c>
      <c r="AG850">
        <v>24</v>
      </c>
      <c r="AH850">
        <v>821</v>
      </c>
      <c r="AI850">
        <v>936</v>
      </c>
      <c r="AJ850">
        <v>3</v>
      </c>
      <c r="AK850">
        <v>200</v>
      </c>
      <c r="AL850" t="s">
        <v>6304</v>
      </c>
      <c r="AM850" t="s">
        <v>985</v>
      </c>
      <c r="AN850" t="s">
        <v>6305</v>
      </c>
      <c r="AO850" t="s">
        <v>6306</v>
      </c>
      <c r="AP850" t="s">
        <v>6307</v>
      </c>
      <c r="AQ850" t="s">
        <v>74</v>
      </c>
      <c r="AR850" t="s">
        <v>6292</v>
      </c>
      <c r="AS850" t="s">
        <v>6308</v>
      </c>
      <c r="AT850" t="s">
        <v>15678</v>
      </c>
      <c r="AU850">
        <v>2011</v>
      </c>
      <c r="AV850">
        <v>333</v>
      </c>
      <c r="AW850">
        <v>6048</v>
      </c>
      <c r="AX850" t="s">
        <v>74</v>
      </c>
      <c r="AY850" t="s">
        <v>74</v>
      </c>
      <c r="AZ850" t="s">
        <v>74</v>
      </c>
      <c r="BA850" t="s">
        <v>74</v>
      </c>
      <c r="BB850">
        <v>1427</v>
      </c>
      <c r="BC850">
        <v>1430</v>
      </c>
      <c r="BD850" t="s">
        <v>74</v>
      </c>
      <c r="BE850" t="s">
        <v>15704</v>
      </c>
      <c r="BF850" t="str">
        <f>HYPERLINK("http://dx.doi.org/10.1126/science.1208336","http://dx.doi.org/10.1126/science.1208336")</f>
        <v>http://dx.doi.org/10.1126/science.1208336</v>
      </c>
      <c r="BG850" t="s">
        <v>74</v>
      </c>
      <c r="BH850" t="s">
        <v>74</v>
      </c>
      <c r="BI850">
        <v>4</v>
      </c>
      <c r="BJ850" t="s">
        <v>6182</v>
      </c>
      <c r="BK850" t="s">
        <v>100</v>
      </c>
      <c r="BL850" t="s">
        <v>6183</v>
      </c>
      <c r="BM850" t="s">
        <v>15693</v>
      </c>
      <c r="BN850">
        <v>21852457</v>
      </c>
      <c r="BO850" t="s">
        <v>3786</v>
      </c>
      <c r="BP850" t="s">
        <v>74</v>
      </c>
      <c r="BQ850" t="s">
        <v>74</v>
      </c>
      <c r="BR850" t="s">
        <v>102</v>
      </c>
      <c r="BS850" t="s">
        <v>15705</v>
      </c>
      <c r="BT850" t="str">
        <f>HYPERLINK("https%3A%2F%2Fwww.webofscience.com%2Fwos%2Fwoscc%2Ffull-record%2FWOS:000294672200037","View Full Record in Web of Science")</f>
        <v>View Full Record in Web of Science</v>
      </c>
    </row>
    <row r="851" spans="1:72" x14ac:dyDescent="0.15">
      <c r="A851" t="s">
        <v>72</v>
      </c>
      <c r="B851" t="s">
        <v>15706</v>
      </c>
      <c r="C851" t="s">
        <v>74</v>
      </c>
      <c r="D851" t="s">
        <v>74</v>
      </c>
      <c r="E851" t="s">
        <v>74</v>
      </c>
      <c r="F851" t="s">
        <v>15707</v>
      </c>
      <c r="G851" t="s">
        <v>74</v>
      </c>
      <c r="H851" t="s">
        <v>74</v>
      </c>
      <c r="I851" t="s">
        <v>15708</v>
      </c>
      <c r="J851" t="s">
        <v>15709</v>
      </c>
      <c r="K851" t="s">
        <v>74</v>
      </c>
      <c r="L851" t="s">
        <v>74</v>
      </c>
      <c r="M851" t="s">
        <v>78</v>
      </c>
      <c r="N851" t="s">
        <v>79</v>
      </c>
      <c r="O851" t="s">
        <v>74</v>
      </c>
      <c r="P851" t="s">
        <v>74</v>
      </c>
      <c r="Q851" t="s">
        <v>74</v>
      </c>
      <c r="R851" t="s">
        <v>74</v>
      </c>
      <c r="S851" t="s">
        <v>74</v>
      </c>
      <c r="T851" t="s">
        <v>74</v>
      </c>
      <c r="U851" t="s">
        <v>15710</v>
      </c>
      <c r="V851" t="s">
        <v>15711</v>
      </c>
      <c r="W851" t="s">
        <v>15712</v>
      </c>
      <c r="X851" t="s">
        <v>15713</v>
      </c>
      <c r="Y851" t="s">
        <v>15714</v>
      </c>
      <c r="Z851" t="s">
        <v>15715</v>
      </c>
      <c r="AA851" t="s">
        <v>15716</v>
      </c>
      <c r="AB851" t="s">
        <v>15717</v>
      </c>
      <c r="AC851" t="s">
        <v>15718</v>
      </c>
      <c r="AD851" t="s">
        <v>15719</v>
      </c>
      <c r="AE851" t="s">
        <v>15720</v>
      </c>
      <c r="AF851" t="s">
        <v>74</v>
      </c>
      <c r="AG851">
        <v>58</v>
      </c>
      <c r="AH851">
        <v>103</v>
      </c>
      <c r="AI851">
        <v>111</v>
      </c>
      <c r="AJ851">
        <v>4</v>
      </c>
      <c r="AK851">
        <v>82</v>
      </c>
      <c r="AL851" t="s">
        <v>1498</v>
      </c>
      <c r="AM851" t="s">
        <v>985</v>
      </c>
      <c r="AN851" t="s">
        <v>1499</v>
      </c>
      <c r="AO851" t="s">
        <v>15721</v>
      </c>
      <c r="AP851" t="s">
        <v>15722</v>
      </c>
      <c r="AQ851" t="s">
        <v>74</v>
      </c>
      <c r="AR851" t="s">
        <v>15723</v>
      </c>
      <c r="AS851" t="s">
        <v>15724</v>
      </c>
      <c r="AT851" t="s">
        <v>15725</v>
      </c>
      <c r="AU851">
        <v>2011</v>
      </c>
      <c r="AV851">
        <v>116</v>
      </c>
      <c r="AW851" t="s">
        <v>74</v>
      </c>
      <c r="AX851" t="s">
        <v>74</v>
      </c>
      <c r="AY851" t="s">
        <v>74</v>
      </c>
      <c r="AZ851" t="s">
        <v>74</v>
      </c>
      <c r="BA851" t="s">
        <v>74</v>
      </c>
      <c r="BB851" t="s">
        <v>74</v>
      </c>
      <c r="BC851" t="s">
        <v>74</v>
      </c>
      <c r="BD851" t="s">
        <v>15726</v>
      </c>
      <c r="BE851" t="s">
        <v>15727</v>
      </c>
      <c r="BF851" t="str">
        <f>HYPERLINK("http://dx.doi.org/10.1029/2011JG001716","http://dx.doi.org/10.1029/2011JG001716")</f>
        <v>http://dx.doi.org/10.1029/2011JG001716</v>
      </c>
      <c r="BG851" t="s">
        <v>74</v>
      </c>
      <c r="BH851" t="s">
        <v>74</v>
      </c>
      <c r="BI851">
        <v>9</v>
      </c>
      <c r="BJ851" t="s">
        <v>15728</v>
      </c>
      <c r="BK851" t="s">
        <v>100</v>
      </c>
      <c r="BL851" t="s">
        <v>1552</v>
      </c>
      <c r="BM851" t="s">
        <v>15729</v>
      </c>
      <c r="BN851" t="s">
        <v>74</v>
      </c>
      <c r="BO851" t="s">
        <v>342</v>
      </c>
      <c r="BP851" t="s">
        <v>74</v>
      </c>
      <c r="BQ851" t="s">
        <v>74</v>
      </c>
      <c r="BR851" t="s">
        <v>102</v>
      </c>
      <c r="BS851" t="s">
        <v>15730</v>
      </c>
      <c r="BT851" t="str">
        <f>HYPERLINK("https%3A%2F%2Fwww.webofscience.com%2Fwos%2Fwoscc%2Ffull-record%2FWOS:000294803600004","View Full Record in Web of Science")</f>
        <v>View Full Record in Web of Science</v>
      </c>
    </row>
    <row r="852" spans="1:72" x14ac:dyDescent="0.15">
      <c r="A852" t="s">
        <v>72</v>
      </c>
      <c r="B852" t="s">
        <v>15731</v>
      </c>
      <c r="C852" t="s">
        <v>74</v>
      </c>
      <c r="D852" t="s">
        <v>74</v>
      </c>
      <c r="E852" t="s">
        <v>74</v>
      </c>
      <c r="F852" t="s">
        <v>15732</v>
      </c>
      <c r="G852" t="s">
        <v>74</v>
      </c>
      <c r="H852" t="s">
        <v>74</v>
      </c>
      <c r="I852" t="s">
        <v>15733</v>
      </c>
      <c r="J852" t="s">
        <v>6224</v>
      </c>
      <c r="K852" t="s">
        <v>74</v>
      </c>
      <c r="L852" t="s">
        <v>74</v>
      </c>
      <c r="M852" t="s">
        <v>78</v>
      </c>
      <c r="N852" t="s">
        <v>79</v>
      </c>
      <c r="O852" t="s">
        <v>74</v>
      </c>
      <c r="P852" t="s">
        <v>74</v>
      </c>
      <c r="Q852" t="s">
        <v>74</v>
      </c>
      <c r="R852" t="s">
        <v>74</v>
      </c>
      <c r="S852" t="s">
        <v>74</v>
      </c>
      <c r="T852" t="s">
        <v>74</v>
      </c>
      <c r="U852" t="s">
        <v>15734</v>
      </c>
      <c r="V852" t="s">
        <v>15735</v>
      </c>
      <c r="W852" t="s">
        <v>15736</v>
      </c>
      <c r="X852" t="s">
        <v>15737</v>
      </c>
      <c r="Y852" t="s">
        <v>15738</v>
      </c>
      <c r="Z852" t="s">
        <v>15739</v>
      </c>
      <c r="AA852" t="s">
        <v>15740</v>
      </c>
      <c r="AB852" t="s">
        <v>15741</v>
      </c>
      <c r="AC852" t="s">
        <v>15742</v>
      </c>
      <c r="AD852" t="s">
        <v>15743</v>
      </c>
      <c r="AE852" t="s">
        <v>15744</v>
      </c>
      <c r="AF852" t="s">
        <v>74</v>
      </c>
      <c r="AG852">
        <v>52</v>
      </c>
      <c r="AH852">
        <v>11</v>
      </c>
      <c r="AI852">
        <v>15</v>
      </c>
      <c r="AJ852">
        <v>0</v>
      </c>
      <c r="AK852">
        <v>8</v>
      </c>
      <c r="AL852" t="s">
        <v>1498</v>
      </c>
      <c r="AM852" t="s">
        <v>985</v>
      </c>
      <c r="AN852" t="s">
        <v>1499</v>
      </c>
      <c r="AO852" t="s">
        <v>6236</v>
      </c>
      <c r="AP852" t="s">
        <v>74</v>
      </c>
      <c r="AQ852" t="s">
        <v>74</v>
      </c>
      <c r="AR852" t="s">
        <v>6238</v>
      </c>
      <c r="AS852" t="s">
        <v>6239</v>
      </c>
      <c r="AT852" t="s">
        <v>15745</v>
      </c>
      <c r="AU852">
        <v>2011</v>
      </c>
      <c r="AV852">
        <v>116</v>
      </c>
      <c r="AW852" t="s">
        <v>74</v>
      </c>
      <c r="AX852" t="s">
        <v>74</v>
      </c>
      <c r="AY852" t="s">
        <v>74</v>
      </c>
      <c r="AZ852" t="s">
        <v>74</v>
      </c>
      <c r="BA852" t="s">
        <v>74</v>
      </c>
      <c r="BB852" t="s">
        <v>74</v>
      </c>
      <c r="BC852" t="s">
        <v>74</v>
      </c>
      <c r="BD852" t="s">
        <v>15746</v>
      </c>
      <c r="BE852" t="s">
        <v>15747</v>
      </c>
      <c r="BF852" t="str">
        <f>HYPERLINK("http://dx.doi.org/10.1029/2011JD015966","http://dx.doi.org/10.1029/2011JD015966")</f>
        <v>http://dx.doi.org/10.1029/2011JD015966</v>
      </c>
      <c r="BG852" t="s">
        <v>74</v>
      </c>
      <c r="BH852" t="s">
        <v>74</v>
      </c>
      <c r="BI852">
        <v>20</v>
      </c>
      <c r="BJ852" t="s">
        <v>463</v>
      </c>
      <c r="BK852" t="s">
        <v>100</v>
      </c>
      <c r="BL852" t="s">
        <v>463</v>
      </c>
      <c r="BM852" t="s">
        <v>15748</v>
      </c>
      <c r="BN852" t="s">
        <v>74</v>
      </c>
      <c r="BO852" t="s">
        <v>365</v>
      </c>
      <c r="BP852" t="s">
        <v>74</v>
      </c>
      <c r="BQ852" t="s">
        <v>74</v>
      </c>
      <c r="BR852" t="s">
        <v>102</v>
      </c>
      <c r="BS852" t="s">
        <v>15749</v>
      </c>
      <c r="BT852" t="str">
        <f>HYPERLINK("https%3A%2F%2Fwww.webofscience.com%2Fwos%2Fwoscc%2Ffull-record%2FWOS:000294628100002","View Full Record in Web of Science")</f>
        <v>View Full Record in Web of Science</v>
      </c>
    </row>
    <row r="853" spans="1:72" x14ac:dyDescent="0.15">
      <c r="A853" t="s">
        <v>72</v>
      </c>
      <c r="B853" t="s">
        <v>10628</v>
      </c>
      <c r="C853" t="s">
        <v>74</v>
      </c>
      <c r="D853" t="s">
        <v>74</v>
      </c>
      <c r="E853" t="s">
        <v>74</v>
      </c>
      <c r="F853" t="s">
        <v>10628</v>
      </c>
      <c r="G853" t="s">
        <v>74</v>
      </c>
      <c r="H853" t="s">
        <v>74</v>
      </c>
      <c r="I853" t="s">
        <v>15750</v>
      </c>
      <c r="J853" t="s">
        <v>6292</v>
      </c>
      <c r="K853" t="s">
        <v>74</v>
      </c>
      <c r="L853" t="s">
        <v>74</v>
      </c>
      <c r="M853" t="s">
        <v>78</v>
      </c>
      <c r="N853" t="s">
        <v>10118</v>
      </c>
      <c r="O853" t="s">
        <v>74</v>
      </c>
      <c r="P853" t="s">
        <v>74</v>
      </c>
      <c r="Q853" t="s">
        <v>74</v>
      </c>
      <c r="R853" t="s">
        <v>74</v>
      </c>
      <c r="S853" t="s">
        <v>74</v>
      </c>
      <c r="T853" t="s">
        <v>74</v>
      </c>
      <c r="U853" t="s">
        <v>74</v>
      </c>
      <c r="V853" t="s">
        <v>74</v>
      </c>
      <c r="W853" t="s">
        <v>74</v>
      </c>
      <c r="X853" t="s">
        <v>74</v>
      </c>
      <c r="Y853" t="s">
        <v>74</v>
      </c>
      <c r="Z853" t="s">
        <v>74</v>
      </c>
      <c r="AA853" t="s">
        <v>74</v>
      </c>
      <c r="AB853" t="s">
        <v>74</v>
      </c>
      <c r="AC853" t="s">
        <v>74</v>
      </c>
      <c r="AD853" t="s">
        <v>74</v>
      </c>
      <c r="AE853" t="s">
        <v>74</v>
      </c>
      <c r="AF853" t="s">
        <v>74</v>
      </c>
      <c r="AG853">
        <v>0</v>
      </c>
      <c r="AH853">
        <v>0</v>
      </c>
      <c r="AI853">
        <v>0</v>
      </c>
      <c r="AJ853">
        <v>0</v>
      </c>
      <c r="AK853">
        <v>2</v>
      </c>
      <c r="AL853" t="s">
        <v>6304</v>
      </c>
      <c r="AM853" t="s">
        <v>985</v>
      </c>
      <c r="AN853" t="s">
        <v>6305</v>
      </c>
      <c r="AO853" t="s">
        <v>6306</v>
      </c>
      <c r="AP853" t="s">
        <v>74</v>
      </c>
      <c r="AQ853" t="s">
        <v>74</v>
      </c>
      <c r="AR853" t="s">
        <v>6292</v>
      </c>
      <c r="AS853" t="s">
        <v>6308</v>
      </c>
      <c r="AT853" t="s">
        <v>15745</v>
      </c>
      <c r="AU853">
        <v>2011</v>
      </c>
      <c r="AV853">
        <v>333</v>
      </c>
      <c r="AW853">
        <v>6047</v>
      </c>
      <c r="AX853" t="s">
        <v>74</v>
      </c>
      <c r="AY853" t="s">
        <v>74</v>
      </c>
      <c r="AZ853" t="s">
        <v>74</v>
      </c>
      <c r="BA853" t="s">
        <v>74</v>
      </c>
      <c r="BB853">
        <v>1204</v>
      </c>
      <c r="BC853">
        <v>1204</v>
      </c>
      <c r="BD853" t="s">
        <v>74</v>
      </c>
      <c r="BE853" t="s">
        <v>74</v>
      </c>
      <c r="BF853" t="s">
        <v>74</v>
      </c>
      <c r="BG853" t="s">
        <v>74</v>
      </c>
      <c r="BH853" t="s">
        <v>74</v>
      </c>
      <c r="BI853">
        <v>1</v>
      </c>
      <c r="BJ853" t="s">
        <v>6182</v>
      </c>
      <c r="BK853" t="s">
        <v>100</v>
      </c>
      <c r="BL853" t="s">
        <v>6183</v>
      </c>
      <c r="BM853" t="s">
        <v>15751</v>
      </c>
      <c r="BN853" t="s">
        <v>74</v>
      </c>
      <c r="BO853" t="s">
        <v>74</v>
      </c>
      <c r="BP853" t="s">
        <v>74</v>
      </c>
      <c r="BQ853" t="s">
        <v>74</v>
      </c>
      <c r="BR853" t="s">
        <v>102</v>
      </c>
      <c r="BS853" t="s">
        <v>15752</v>
      </c>
      <c r="BT853" t="str">
        <f>HYPERLINK("https%3A%2F%2Fwww.webofscience.com%2Fwos%2Fwoscc%2Ffull-record%2FWOS:000294406400005","View Full Record in Web of Science")</f>
        <v>View Full Record in Web of Science</v>
      </c>
    </row>
    <row r="854" spans="1:72" x14ac:dyDescent="0.15">
      <c r="A854" t="s">
        <v>72</v>
      </c>
      <c r="B854" t="s">
        <v>15753</v>
      </c>
      <c r="C854" t="s">
        <v>74</v>
      </c>
      <c r="D854" t="s">
        <v>74</v>
      </c>
      <c r="E854" t="s">
        <v>74</v>
      </c>
      <c r="F854" t="s">
        <v>15754</v>
      </c>
      <c r="G854" t="s">
        <v>74</v>
      </c>
      <c r="H854" t="s">
        <v>74</v>
      </c>
      <c r="I854" t="s">
        <v>15755</v>
      </c>
      <c r="J854" t="s">
        <v>6224</v>
      </c>
      <c r="K854" t="s">
        <v>74</v>
      </c>
      <c r="L854" t="s">
        <v>74</v>
      </c>
      <c r="M854" t="s">
        <v>78</v>
      </c>
      <c r="N854" t="s">
        <v>79</v>
      </c>
      <c r="O854" t="s">
        <v>74</v>
      </c>
      <c r="P854" t="s">
        <v>74</v>
      </c>
      <c r="Q854" t="s">
        <v>74</v>
      </c>
      <c r="R854" t="s">
        <v>74</v>
      </c>
      <c r="S854" t="s">
        <v>74</v>
      </c>
      <c r="T854" t="s">
        <v>74</v>
      </c>
      <c r="U854" t="s">
        <v>15756</v>
      </c>
      <c r="V854" t="s">
        <v>15757</v>
      </c>
      <c r="W854" t="s">
        <v>15758</v>
      </c>
      <c r="X854" t="s">
        <v>15759</v>
      </c>
      <c r="Y854" t="s">
        <v>15760</v>
      </c>
      <c r="Z854" t="s">
        <v>15761</v>
      </c>
      <c r="AA854" t="s">
        <v>15762</v>
      </c>
      <c r="AB854" t="s">
        <v>15763</v>
      </c>
      <c r="AC854" t="s">
        <v>15764</v>
      </c>
      <c r="AD854" t="s">
        <v>15765</v>
      </c>
      <c r="AE854" t="s">
        <v>15766</v>
      </c>
      <c r="AF854" t="s">
        <v>74</v>
      </c>
      <c r="AG854">
        <v>51</v>
      </c>
      <c r="AH854">
        <v>32</v>
      </c>
      <c r="AI854">
        <v>32</v>
      </c>
      <c r="AJ854">
        <v>1</v>
      </c>
      <c r="AK854">
        <v>10</v>
      </c>
      <c r="AL854" t="s">
        <v>1498</v>
      </c>
      <c r="AM854" t="s">
        <v>985</v>
      </c>
      <c r="AN854" t="s">
        <v>1499</v>
      </c>
      <c r="AO854" t="s">
        <v>6236</v>
      </c>
      <c r="AP854" t="s">
        <v>6237</v>
      </c>
      <c r="AQ854" t="s">
        <v>74</v>
      </c>
      <c r="AR854" t="s">
        <v>6238</v>
      </c>
      <c r="AS854" t="s">
        <v>6239</v>
      </c>
      <c r="AT854" t="s">
        <v>15745</v>
      </c>
      <c r="AU854">
        <v>2011</v>
      </c>
      <c r="AV854">
        <v>116</v>
      </c>
      <c r="AW854" t="s">
        <v>74</v>
      </c>
      <c r="AX854" t="s">
        <v>74</v>
      </c>
      <c r="AY854" t="s">
        <v>74</v>
      </c>
      <c r="AZ854" t="s">
        <v>74</v>
      </c>
      <c r="BA854" t="s">
        <v>74</v>
      </c>
      <c r="BB854" t="s">
        <v>74</v>
      </c>
      <c r="BC854" t="s">
        <v>74</v>
      </c>
      <c r="BD854" t="s">
        <v>15767</v>
      </c>
      <c r="BE854" t="s">
        <v>15768</v>
      </c>
      <c r="BF854" t="str">
        <f>HYPERLINK("http://dx.doi.org/10.1029/2011JD016075","http://dx.doi.org/10.1029/2011JD016075")</f>
        <v>http://dx.doi.org/10.1029/2011JD016075</v>
      </c>
      <c r="BG854" t="s">
        <v>74</v>
      </c>
      <c r="BH854" t="s">
        <v>74</v>
      </c>
      <c r="BI854">
        <v>12</v>
      </c>
      <c r="BJ854" t="s">
        <v>463</v>
      </c>
      <c r="BK854" t="s">
        <v>100</v>
      </c>
      <c r="BL854" t="s">
        <v>463</v>
      </c>
      <c r="BM854" t="s">
        <v>15748</v>
      </c>
      <c r="BN854" t="s">
        <v>74</v>
      </c>
      <c r="BO854" t="s">
        <v>4483</v>
      </c>
      <c r="BP854" t="s">
        <v>74</v>
      </c>
      <c r="BQ854" t="s">
        <v>74</v>
      </c>
      <c r="BR854" t="s">
        <v>102</v>
      </c>
      <c r="BS854" t="s">
        <v>15769</v>
      </c>
      <c r="BT854" t="str">
        <f>HYPERLINK("https%3A%2F%2Fwww.webofscience.com%2Fwos%2Fwoscc%2Ffull-record%2FWOS:000294628100003","View Full Record in Web of Science")</f>
        <v>View Full Record in Web of Science</v>
      </c>
    </row>
    <row r="855" spans="1:72" x14ac:dyDescent="0.15">
      <c r="A855" t="s">
        <v>72</v>
      </c>
      <c r="B855" t="s">
        <v>15770</v>
      </c>
      <c r="C855" t="s">
        <v>74</v>
      </c>
      <c r="D855" t="s">
        <v>74</v>
      </c>
      <c r="E855" t="s">
        <v>74</v>
      </c>
      <c r="F855" t="s">
        <v>15771</v>
      </c>
      <c r="G855" t="s">
        <v>74</v>
      </c>
      <c r="H855" t="s">
        <v>74</v>
      </c>
      <c r="I855" t="s">
        <v>15772</v>
      </c>
      <c r="J855" t="s">
        <v>15773</v>
      </c>
      <c r="K855" t="s">
        <v>74</v>
      </c>
      <c r="L855" t="s">
        <v>74</v>
      </c>
      <c r="M855" t="s">
        <v>78</v>
      </c>
      <c r="N855" t="s">
        <v>79</v>
      </c>
      <c r="O855" t="s">
        <v>74</v>
      </c>
      <c r="P855" t="s">
        <v>74</v>
      </c>
      <c r="Q855" t="s">
        <v>74</v>
      </c>
      <c r="R855" t="s">
        <v>74</v>
      </c>
      <c r="S855" t="s">
        <v>74</v>
      </c>
      <c r="T855" t="s">
        <v>15774</v>
      </c>
      <c r="U855" t="s">
        <v>15775</v>
      </c>
      <c r="V855" t="s">
        <v>15776</v>
      </c>
      <c r="W855" t="s">
        <v>15777</v>
      </c>
      <c r="X855" t="s">
        <v>15778</v>
      </c>
      <c r="Y855" t="s">
        <v>15779</v>
      </c>
      <c r="Z855" t="s">
        <v>15780</v>
      </c>
      <c r="AA855" t="s">
        <v>15781</v>
      </c>
      <c r="AB855" t="s">
        <v>15782</v>
      </c>
      <c r="AC855" t="s">
        <v>15783</v>
      </c>
      <c r="AD855" t="s">
        <v>15784</v>
      </c>
      <c r="AE855" t="s">
        <v>15785</v>
      </c>
      <c r="AF855" t="s">
        <v>74</v>
      </c>
      <c r="AG855">
        <v>32</v>
      </c>
      <c r="AH855">
        <v>32</v>
      </c>
      <c r="AI855">
        <v>33</v>
      </c>
      <c r="AJ855">
        <v>0</v>
      </c>
      <c r="AK855">
        <v>25</v>
      </c>
      <c r="AL855" t="s">
        <v>15786</v>
      </c>
      <c r="AM855" t="s">
        <v>15787</v>
      </c>
      <c r="AN855" t="s">
        <v>15788</v>
      </c>
      <c r="AO855" t="s">
        <v>15789</v>
      </c>
      <c r="AP855" t="s">
        <v>74</v>
      </c>
      <c r="AQ855" t="s">
        <v>74</v>
      </c>
      <c r="AR855" t="s">
        <v>15790</v>
      </c>
      <c r="AS855" t="s">
        <v>15791</v>
      </c>
      <c r="AT855" t="s">
        <v>15792</v>
      </c>
      <c r="AU855">
        <v>2011</v>
      </c>
      <c r="AV855">
        <v>6</v>
      </c>
      <c r="AW855">
        <v>3</v>
      </c>
      <c r="AX855" t="s">
        <v>74</v>
      </c>
      <c r="AY855" t="s">
        <v>74</v>
      </c>
      <c r="AZ855" t="s">
        <v>74</v>
      </c>
      <c r="BA855" t="s">
        <v>74</v>
      </c>
      <c r="BB855">
        <v>273</v>
      </c>
      <c r="BC855">
        <v>279</v>
      </c>
      <c r="BD855" t="s">
        <v>74</v>
      </c>
      <c r="BE855" t="s">
        <v>15793</v>
      </c>
      <c r="BF855" t="str">
        <f>HYPERLINK("http://dx.doi.org/10.3391/ai.2011.6.3.04","http://dx.doi.org/10.3391/ai.2011.6.3.04")</f>
        <v>http://dx.doi.org/10.3391/ai.2011.6.3.04</v>
      </c>
      <c r="BG855" t="s">
        <v>74</v>
      </c>
      <c r="BH855" t="s">
        <v>74</v>
      </c>
      <c r="BI855">
        <v>7</v>
      </c>
      <c r="BJ855" t="s">
        <v>4394</v>
      </c>
      <c r="BK855" t="s">
        <v>100</v>
      </c>
      <c r="BL855" t="s">
        <v>4395</v>
      </c>
      <c r="BM855" t="s">
        <v>15794</v>
      </c>
      <c r="BN855" t="s">
        <v>74</v>
      </c>
      <c r="BO855" t="s">
        <v>623</v>
      </c>
      <c r="BP855" t="s">
        <v>74</v>
      </c>
      <c r="BQ855" t="s">
        <v>74</v>
      </c>
      <c r="BR855" t="s">
        <v>102</v>
      </c>
      <c r="BS855" t="s">
        <v>15795</v>
      </c>
      <c r="BT855" t="str">
        <f>HYPERLINK("https%3A%2F%2Fwww.webofscience.com%2Fwos%2Fwoscc%2Ffull-record%2FWOS:000306277400004","View Full Record in Web of Science")</f>
        <v>View Full Record in Web of Science</v>
      </c>
    </row>
    <row r="856" spans="1:72" x14ac:dyDescent="0.15">
      <c r="A856" t="s">
        <v>72</v>
      </c>
      <c r="B856" t="s">
        <v>15796</v>
      </c>
      <c r="C856" t="s">
        <v>74</v>
      </c>
      <c r="D856" t="s">
        <v>74</v>
      </c>
      <c r="E856" t="s">
        <v>74</v>
      </c>
      <c r="F856" t="s">
        <v>15797</v>
      </c>
      <c r="G856" t="s">
        <v>74</v>
      </c>
      <c r="H856" t="s">
        <v>74</v>
      </c>
      <c r="I856" t="s">
        <v>15798</v>
      </c>
      <c r="J856" t="s">
        <v>15799</v>
      </c>
      <c r="K856" t="s">
        <v>74</v>
      </c>
      <c r="L856" t="s">
        <v>74</v>
      </c>
      <c r="M856" t="s">
        <v>78</v>
      </c>
      <c r="N856" t="s">
        <v>1513</v>
      </c>
      <c r="O856" t="s">
        <v>74</v>
      </c>
      <c r="P856" t="s">
        <v>74</v>
      </c>
      <c r="Q856" t="s">
        <v>74</v>
      </c>
      <c r="R856" t="s">
        <v>74</v>
      </c>
      <c r="S856" t="s">
        <v>74</v>
      </c>
      <c r="T856" t="s">
        <v>15800</v>
      </c>
      <c r="U856" t="s">
        <v>15801</v>
      </c>
      <c r="V856" t="s">
        <v>15802</v>
      </c>
      <c r="W856" t="s">
        <v>15803</v>
      </c>
      <c r="X856" t="s">
        <v>15804</v>
      </c>
      <c r="Y856" t="s">
        <v>15805</v>
      </c>
      <c r="Z856" t="s">
        <v>15806</v>
      </c>
      <c r="AA856" t="s">
        <v>74</v>
      </c>
      <c r="AB856" t="s">
        <v>74</v>
      </c>
      <c r="AC856" t="s">
        <v>15807</v>
      </c>
      <c r="AD856" t="s">
        <v>15808</v>
      </c>
      <c r="AE856" t="s">
        <v>15809</v>
      </c>
      <c r="AF856" t="s">
        <v>74</v>
      </c>
      <c r="AG856">
        <v>269</v>
      </c>
      <c r="AH856">
        <v>20</v>
      </c>
      <c r="AI856">
        <v>27</v>
      </c>
      <c r="AJ856">
        <v>2</v>
      </c>
      <c r="AK856">
        <v>8</v>
      </c>
      <c r="AL856" t="s">
        <v>1150</v>
      </c>
      <c r="AM856" t="s">
        <v>1151</v>
      </c>
      <c r="AN856" t="s">
        <v>1152</v>
      </c>
      <c r="AO856" t="s">
        <v>15810</v>
      </c>
      <c r="AP856" t="s">
        <v>15811</v>
      </c>
      <c r="AQ856" t="s">
        <v>74</v>
      </c>
      <c r="AR856" t="s">
        <v>15812</v>
      </c>
      <c r="AS856" t="s">
        <v>15813</v>
      </c>
      <c r="AT856" t="s">
        <v>15814</v>
      </c>
      <c r="AU856">
        <v>2011</v>
      </c>
      <c r="AV856">
        <v>47</v>
      </c>
      <c r="AW856" t="s">
        <v>6679</v>
      </c>
      <c r="AX856" t="s">
        <v>74</v>
      </c>
      <c r="AY856" t="s">
        <v>74</v>
      </c>
      <c r="AZ856" t="s">
        <v>74</v>
      </c>
      <c r="BA856" t="s">
        <v>74</v>
      </c>
      <c r="BB856">
        <v>303</v>
      </c>
      <c r="BC856">
        <v>329</v>
      </c>
      <c r="BD856" t="s">
        <v>74</v>
      </c>
      <c r="BE856" t="s">
        <v>15815</v>
      </c>
      <c r="BF856" t="str">
        <f>HYPERLINK("http://dx.doi.org/10.1080/00379271.2011.10697723","http://dx.doi.org/10.1080/00379271.2011.10697723")</f>
        <v>http://dx.doi.org/10.1080/00379271.2011.10697723</v>
      </c>
      <c r="BG856" t="s">
        <v>74</v>
      </c>
      <c r="BH856" t="s">
        <v>74</v>
      </c>
      <c r="BI856">
        <v>27</v>
      </c>
      <c r="BJ856" t="s">
        <v>15816</v>
      </c>
      <c r="BK856" t="s">
        <v>100</v>
      </c>
      <c r="BL856" t="s">
        <v>15816</v>
      </c>
      <c r="BM856" t="s">
        <v>15817</v>
      </c>
      <c r="BN856" t="s">
        <v>74</v>
      </c>
      <c r="BO856" t="s">
        <v>365</v>
      </c>
      <c r="BP856" t="s">
        <v>74</v>
      </c>
      <c r="BQ856" t="s">
        <v>74</v>
      </c>
      <c r="BR856" t="s">
        <v>102</v>
      </c>
      <c r="BS856" t="s">
        <v>15818</v>
      </c>
      <c r="BT856" t="str">
        <f>HYPERLINK("https%3A%2F%2Fwww.webofscience.com%2Fwos%2Fwoscc%2Ffull-record%2FWOS:000302519500004","View Full Record in Web of Science")</f>
        <v>View Full Record in Web of Science</v>
      </c>
    </row>
    <row r="857" spans="1:72" x14ac:dyDescent="0.15">
      <c r="A857" t="s">
        <v>72</v>
      </c>
      <c r="B857" t="s">
        <v>15819</v>
      </c>
      <c r="C857" t="s">
        <v>74</v>
      </c>
      <c r="D857" t="s">
        <v>74</v>
      </c>
      <c r="E857" t="s">
        <v>74</v>
      </c>
      <c r="F857" t="s">
        <v>15820</v>
      </c>
      <c r="G857" t="s">
        <v>74</v>
      </c>
      <c r="H857" t="s">
        <v>74</v>
      </c>
      <c r="I857" t="s">
        <v>15821</v>
      </c>
      <c r="J857" t="s">
        <v>11441</v>
      </c>
      <c r="K857" t="s">
        <v>74</v>
      </c>
      <c r="L857" t="s">
        <v>74</v>
      </c>
      <c r="M857" t="s">
        <v>78</v>
      </c>
      <c r="N857" t="s">
        <v>79</v>
      </c>
      <c r="O857" t="s">
        <v>74</v>
      </c>
      <c r="P857" t="s">
        <v>74</v>
      </c>
      <c r="Q857" t="s">
        <v>74</v>
      </c>
      <c r="R857" t="s">
        <v>74</v>
      </c>
      <c r="S857" t="s">
        <v>74</v>
      </c>
      <c r="T857" t="s">
        <v>74</v>
      </c>
      <c r="U857" t="s">
        <v>15822</v>
      </c>
      <c r="V857" t="s">
        <v>15823</v>
      </c>
      <c r="W857" t="s">
        <v>74</v>
      </c>
      <c r="X857" t="s">
        <v>74</v>
      </c>
      <c r="Y857" t="s">
        <v>74</v>
      </c>
      <c r="Z857" t="s">
        <v>15824</v>
      </c>
      <c r="AA857" t="s">
        <v>15825</v>
      </c>
      <c r="AB857" t="s">
        <v>15826</v>
      </c>
      <c r="AC857" t="s">
        <v>15827</v>
      </c>
      <c r="AD857" t="s">
        <v>3661</v>
      </c>
      <c r="AE857" t="s">
        <v>15828</v>
      </c>
      <c r="AF857" t="s">
        <v>74</v>
      </c>
      <c r="AG857">
        <v>9</v>
      </c>
      <c r="AH857">
        <v>2</v>
      </c>
      <c r="AI857">
        <v>2</v>
      </c>
      <c r="AJ857">
        <v>0</v>
      </c>
      <c r="AK857">
        <v>11</v>
      </c>
      <c r="AL857" t="s">
        <v>7342</v>
      </c>
      <c r="AM857" t="s">
        <v>413</v>
      </c>
      <c r="AN857" t="s">
        <v>7343</v>
      </c>
      <c r="AO857" t="s">
        <v>11450</v>
      </c>
      <c r="AP857" t="s">
        <v>74</v>
      </c>
      <c r="AQ857" t="s">
        <v>74</v>
      </c>
      <c r="AR857" t="s">
        <v>11451</v>
      </c>
      <c r="AS857" t="s">
        <v>11452</v>
      </c>
      <c r="AT857" t="s">
        <v>15792</v>
      </c>
      <c r="AU857">
        <v>2011</v>
      </c>
      <c r="AV857">
        <v>440</v>
      </c>
      <c r="AW857">
        <v>1</v>
      </c>
      <c r="AX857" t="s">
        <v>74</v>
      </c>
      <c r="AY857" t="s">
        <v>74</v>
      </c>
      <c r="AZ857" t="s">
        <v>74</v>
      </c>
      <c r="BA857" t="s">
        <v>74</v>
      </c>
      <c r="BB857">
        <v>1207</v>
      </c>
      <c r="BC857">
        <v>1211</v>
      </c>
      <c r="BD857" t="s">
        <v>74</v>
      </c>
      <c r="BE857" t="s">
        <v>15829</v>
      </c>
      <c r="BF857" t="str">
        <f>HYPERLINK("http://dx.doi.org/10.1134/S1028334X11090054","http://dx.doi.org/10.1134/S1028334X11090054")</f>
        <v>http://dx.doi.org/10.1134/S1028334X11090054</v>
      </c>
      <c r="BG857" t="s">
        <v>74</v>
      </c>
      <c r="BH857" t="s">
        <v>74</v>
      </c>
      <c r="BI857">
        <v>5</v>
      </c>
      <c r="BJ857" t="s">
        <v>287</v>
      </c>
      <c r="BK857" t="s">
        <v>100</v>
      </c>
      <c r="BL857" t="s">
        <v>288</v>
      </c>
      <c r="BM857" t="s">
        <v>15830</v>
      </c>
      <c r="BN857" t="s">
        <v>74</v>
      </c>
      <c r="BO857" t="s">
        <v>74</v>
      </c>
      <c r="BP857" t="s">
        <v>74</v>
      </c>
      <c r="BQ857" t="s">
        <v>74</v>
      </c>
      <c r="BR857" t="s">
        <v>102</v>
      </c>
      <c r="BS857" t="s">
        <v>15831</v>
      </c>
      <c r="BT857" t="str">
        <f>HYPERLINK("https%3A%2F%2Fwww.webofscience.com%2Fwos%2Fwoscc%2Ffull-record%2FWOS:000298393300003","View Full Record in Web of Science")</f>
        <v>View Full Record in Web of Science</v>
      </c>
    </row>
    <row r="858" spans="1:72" x14ac:dyDescent="0.15">
      <c r="A858" t="s">
        <v>72</v>
      </c>
      <c r="B858" t="s">
        <v>15832</v>
      </c>
      <c r="C858" t="s">
        <v>74</v>
      </c>
      <c r="D858" t="s">
        <v>74</v>
      </c>
      <c r="E858" t="s">
        <v>74</v>
      </c>
      <c r="F858" t="s">
        <v>15833</v>
      </c>
      <c r="G858" t="s">
        <v>74</v>
      </c>
      <c r="H858" t="s">
        <v>74</v>
      </c>
      <c r="I858" t="s">
        <v>15834</v>
      </c>
      <c r="J858" t="s">
        <v>15835</v>
      </c>
      <c r="K858" t="s">
        <v>74</v>
      </c>
      <c r="L858" t="s">
        <v>74</v>
      </c>
      <c r="M858" t="s">
        <v>3285</v>
      </c>
      <c r="N858" t="s">
        <v>79</v>
      </c>
      <c r="O858" t="s">
        <v>74</v>
      </c>
      <c r="P858" t="s">
        <v>74</v>
      </c>
      <c r="Q858" t="s">
        <v>74</v>
      </c>
      <c r="R858" t="s">
        <v>74</v>
      </c>
      <c r="S858" t="s">
        <v>74</v>
      </c>
      <c r="T858" t="s">
        <v>74</v>
      </c>
      <c r="U858" t="s">
        <v>74</v>
      </c>
      <c r="V858" t="s">
        <v>15836</v>
      </c>
      <c r="W858" t="s">
        <v>15837</v>
      </c>
      <c r="X858" t="s">
        <v>15838</v>
      </c>
      <c r="Y858" t="s">
        <v>15839</v>
      </c>
      <c r="Z858" t="s">
        <v>15840</v>
      </c>
      <c r="AA858" t="s">
        <v>15841</v>
      </c>
      <c r="AB858" t="s">
        <v>15842</v>
      </c>
      <c r="AC858" t="s">
        <v>74</v>
      </c>
      <c r="AD858" t="s">
        <v>74</v>
      </c>
      <c r="AE858" t="s">
        <v>74</v>
      </c>
      <c r="AF858" t="s">
        <v>74</v>
      </c>
      <c r="AG858">
        <v>22</v>
      </c>
      <c r="AH858">
        <v>0</v>
      </c>
      <c r="AI858">
        <v>0</v>
      </c>
      <c r="AJ858">
        <v>0</v>
      </c>
      <c r="AK858">
        <v>1</v>
      </c>
      <c r="AL858" t="s">
        <v>15843</v>
      </c>
      <c r="AM858" t="s">
        <v>10422</v>
      </c>
      <c r="AN858" t="s">
        <v>15844</v>
      </c>
      <c r="AO858" t="s">
        <v>15845</v>
      </c>
      <c r="AP858" t="s">
        <v>74</v>
      </c>
      <c r="AQ858" t="s">
        <v>74</v>
      </c>
      <c r="AR858" t="s">
        <v>15846</v>
      </c>
      <c r="AS858" t="s">
        <v>15847</v>
      </c>
      <c r="AT858" t="s">
        <v>15792</v>
      </c>
      <c r="AU858">
        <v>2011</v>
      </c>
      <c r="AV858">
        <v>90</v>
      </c>
      <c r="AW858">
        <v>9</v>
      </c>
      <c r="AX858" t="s">
        <v>74</v>
      </c>
      <c r="AY858" t="s">
        <v>74</v>
      </c>
      <c r="AZ858" t="s">
        <v>74</v>
      </c>
      <c r="BA858" t="s">
        <v>74</v>
      </c>
      <c r="BB858">
        <v>1035</v>
      </c>
      <c r="BC858">
        <v>1054</v>
      </c>
      <c r="BD858" t="s">
        <v>74</v>
      </c>
      <c r="BE858" t="s">
        <v>74</v>
      </c>
      <c r="BF858" t="s">
        <v>74</v>
      </c>
      <c r="BG858" t="s">
        <v>74</v>
      </c>
      <c r="BH858" t="s">
        <v>74</v>
      </c>
      <c r="BI858">
        <v>20</v>
      </c>
      <c r="BJ858" t="s">
        <v>2881</v>
      </c>
      <c r="BK858" t="s">
        <v>100</v>
      </c>
      <c r="BL858" t="s">
        <v>2881</v>
      </c>
      <c r="BM858" t="s">
        <v>15848</v>
      </c>
      <c r="BN858" t="s">
        <v>74</v>
      </c>
      <c r="BO858" t="s">
        <v>74</v>
      </c>
      <c r="BP858" t="s">
        <v>74</v>
      </c>
      <c r="BQ858" t="s">
        <v>74</v>
      </c>
      <c r="BR858" t="s">
        <v>102</v>
      </c>
      <c r="BS858" t="s">
        <v>15849</v>
      </c>
      <c r="BT858" t="str">
        <f>HYPERLINK("https%3A%2F%2Fwww.webofscience.com%2Fwos%2Fwoscc%2Ffull-record%2FWOS:000297383500001","View Full Record in Web of Science")</f>
        <v>View Full Record in Web of Science</v>
      </c>
    </row>
    <row r="859" spans="1:72" x14ac:dyDescent="0.15">
      <c r="A859" t="s">
        <v>72</v>
      </c>
      <c r="B859" t="s">
        <v>15850</v>
      </c>
      <c r="C859" t="s">
        <v>74</v>
      </c>
      <c r="D859" t="s">
        <v>74</v>
      </c>
      <c r="E859" t="s">
        <v>74</v>
      </c>
      <c r="F859" t="s">
        <v>15851</v>
      </c>
      <c r="G859" t="s">
        <v>74</v>
      </c>
      <c r="H859" t="s">
        <v>74</v>
      </c>
      <c r="I859" t="s">
        <v>15852</v>
      </c>
      <c r="J859" t="s">
        <v>8925</v>
      </c>
      <c r="K859" t="s">
        <v>74</v>
      </c>
      <c r="L859" t="s">
        <v>74</v>
      </c>
      <c r="M859" t="s">
        <v>78</v>
      </c>
      <c r="N859" t="s">
        <v>1513</v>
      </c>
      <c r="O859" t="s">
        <v>74</v>
      </c>
      <c r="P859" t="s">
        <v>74</v>
      </c>
      <c r="Q859" t="s">
        <v>74</v>
      </c>
      <c r="R859" t="s">
        <v>74</v>
      </c>
      <c r="S859" t="s">
        <v>74</v>
      </c>
      <c r="T859" t="s">
        <v>15853</v>
      </c>
      <c r="U859" t="s">
        <v>15854</v>
      </c>
      <c r="V859" t="s">
        <v>15855</v>
      </c>
      <c r="W859" t="s">
        <v>15856</v>
      </c>
      <c r="X859" t="s">
        <v>15857</v>
      </c>
      <c r="Y859" t="s">
        <v>15858</v>
      </c>
      <c r="Z859" t="s">
        <v>15859</v>
      </c>
      <c r="AA859" t="s">
        <v>74</v>
      </c>
      <c r="AB859" t="s">
        <v>74</v>
      </c>
      <c r="AC859" t="s">
        <v>15860</v>
      </c>
      <c r="AD859" t="s">
        <v>15861</v>
      </c>
      <c r="AE859" t="s">
        <v>15862</v>
      </c>
      <c r="AF859" t="s">
        <v>74</v>
      </c>
      <c r="AG859">
        <v>36</v>
      </c>
      <c r="AH859">
        <v>30</v>
      </c>
      <c r="AI859">
        <v>40</v>
      </c>
      <c r="AJ859">
        <v>1</v>
      </c>
      <c r="AK859">
        <v>56</v>
      </c>
      <c r="AL859" t="s">
        <v>155</v>
      </c>
      <c r="AM859" t="s">
        <v>156</v>
      </c>
      <c r="AN859" t="s">
        <v>157</v>
      </c>
      <c r="AO859" t="s">
        <v>8938</v>
      </c>
      <c r="AP859" t="s">
        <v>74</v>
      </c>
      <c r="AQ859" t="s">
        <v>74</v>
      </c>
      <c r="AR859" t="s">
        <v>8939</v>
      </c>
      <c r="AS859" t="s">
        <v>8940</v>
      </c>
      <c r="AT859" t="s">
        <v>15792</v>
      </c>
      <c r="AU859">
        <v>2011</v>
      </c>
      <c r="AV859">
        <v>30</v>
      </c>
      <c r="AW859" t="s">
        <v>13925</v>
      </c>
      <c r="AX859" t="s">
        <v>74</v>
      </c>
      <c r="AY859" t="s">
        <v>74</v>
      </c>
      <c r="AZ859" t="s">
        <v>74</v>
      </c>
      <c r="BA859" t="s">
        <v>74</v>
      </c>
      <c r="BB859">
        <v>2389</v>
      </c>
      <c r="BC859">
        <v>2397</v>
      </c>
      <c r="BD859" t="s">
        <v>74</v>
      </c>
      <c r="BE859" t="s">
        <v>15863</v>
      </c>
      <c r="BF859" t="str">
        <f>HYPERLINK("http://dx.doi.org/10.1016/j.quascirev.2011.06.008","http://dx.doi.org/10.1016/j.quascirev.2011.06.008")</f>
        <v>http://dx.doi.org/10.1016/j.quascirev.2011.06.008</v>
      </c>
      <c r="BG859" t="s">
        <v>74</v>
      </c>
      <c r="BH859" t="s">
        <v>74</v>
      </c>
      <c r="BI859">
        <v>9</v>
      </c>
      <c r="BJ859" t="s">
        <v>226</v>
      </c>
      <c r="BK859" t="s">
        <v>100</v>
      </c>
      <c r="BL859" t="s">
        <v>227</v>
      </c>
      <c r="BM859" t="s">
        <v>15864</v>
      </c>
      <c r="BN859" t="s">
        <v>74</v>
      </c>
      <c r="BO859" t="s">
        <v>74</v>
      </c>
      <c r="BP859" t="s">
        <v>74</v>
      </c>
      <c r="BQ859" t="s">
        <v>74</v>
      </c>
      <c r="BR859" t="s">
        <v>102</v>
      </c>
      <c r="BS859" t="s">
        <v>15865</v>
      </c>
      <c r="BT859" t="str">
        <f>HYPERLINK("https%3A%2F%2Fwww.webofscience.com%2Fwos%2Fwoscc%2Ffull-record%2FWOS:000295387000003","View Full Record in Web of Science")</f>
        <v>View Full Record in Web of Science</v>
      </c>
    </row>
    <row r="860" spans="1:72" x14ac:dyDescent="0.15">
      <c r="A860" t="s">
        <v>72</v>
      </c>
      <c r="B860" t="s">
        <v>15866</v>
      </c>
      <c r="C860" t="s">
        <v>74</v>
      </c>
      <c r="D860" t="s">
        <v>74</v>
      </c>
      <c r="E860" t="s">
        <v>74</v>
      </c>
      <c r="F860" t="s">
        <v>15867</v>
      </c>
      <c r="G860" t="s">
        <v>74</v>
      </c>
      <c r="H860" t="s">
        <v>74</v>
      </c>
      <c r="I860" t="s">
        <v>15868</v>
      </c>
      <c r="J860" t="s">
        <v>8925</v>
      </c>
      <c r="K860" t="s">
        <v>74</v>
      </c>
      <c r="L860" t="s">
        <v>74</v>
      </c>
      <c r="M860" t="s">
        <v>78</v>
      </c>
      <c r="N860" t="s">
        <v>1513</v>
      </c>
      <c r="O860" t="s">
        <v>74</v>
      </c>
      <c r="P860" t="s">
        <v>74</v>
      </c>
      <c r="Q860" t="s">
        <v>74</v>
      </c>
      <c r="R860" t="s">
        <v>74</v>
      </c>
      <c r="S860" t="s">
        <v>74</v>
      </c>
      <c r="T860" t="s">
        <v>15869</v>
      </c>
      <c r="U860" t="s">
        <v>15870</v>
      </c>
      <c r="V860" t="s">
        <v>15871</v>
      </c>
      <c r="W860" t="s">
        <v>15872</v>
      </c>
      <c r="X860" t="s">
        <v>15873</v>
      </c>
      <c r="Y860" t="s">
        <v>15874</v>
      </c>
      <c r="Z860" t="s">
        <v>15875</v>
      </c>
      <c r="AA860" t="s">
        <v>74</v>
      </c>
      <c r="AB860" t="s">
        <v>15876</v>
      </c>
      <c r="AC860" t="s">
        <v>15877</v>
      </c>
      <c r="AD860" t="s">
        <v>15878</v>
      </c>
      <c r="AE860" t="s">
        <v>15879</v>
      </c>
      <c r="AF860" t="s">
        <v>74</v>
      </c>
      <c r="AG860">
        <v>48</v>
      </c>
      <c r="AH860">
        <v>72</v>
      </c>
      <c r="AI860">
        <v>80</v>
      </c>
      <c r="AJ860">
        <v>0</v>
      </c>
      <c r="AK860">
        <v>29</v>
      </c>
      <c r="AL860" t="s">
        <v>155</v>
      </c>
      <c r="AM860" t="s">
        <v>156</v>
      </c>
      <c r="AN860" t="s">
        <v>157</v>
      </c>
      <c r="AO860" t="s">
        <v>8938</v>
      </c>
      <c r="AP860" t="s">
        <v>74</v>
      </c>
      <c r="AQ860" t="s">
        <v>74</v>
      </c>
      <c r="AR860" t="s">
        <v>8939</v>
      </c>
      <c r="AS860" t="s">
        <v>8940</v>
      </c>
      <c r="AT860" t="s">
        <v>15792</v>
      </c>
      <c r="AU860">
        <v>2011</v>
      </c>
      <c r="AV860">
        <v>30</v>
      </c>
      <c r="AW860" t="s">
        <v>13925</v>
      </c>
      <c r="AX860" t="s">
        <v>74</v>
      </c>
      <c r="AY860" t="s">
        <v>74</v>
      </c>
      <c r="AZ860" t="s">
        <v>74</v>
      </c>
      <c r="BA860" t="s">
        <v>74</v>
      </c>
      <c r="BB860">
        <v>2551</v>
      </c>
      <c r="BC860">
        <v>2569</v>
      </c>
      <c r="BD860" t="s">
        <v>74</v>
      </c>
      <c r="BE860" t="s">
        <v>15880</v>
      </c>
      <c r="BF860" t="str">
        <f>HYPERLINK("http://dx.doi.org/10.1016/j.quascirev.2011.05.004","http://dx.doi.org/10.1016/j.quascirev.2011.05.004")</f>
        <v>http://dx.doi.org/10.1016/j.quascirev.2011.05.004</v>
      </c>
      <c r="BG860" t="s">
        <v>74</v>
      </c>
      <c r="BH860" t="s">
        <v>74</v>
      </c>
      <c r="BI860">
        <v>19</v>
      </c>
      <c r="BJ860" t="s">
        <v>226</v>
      </c>
      <c r="BK860" t="s">
        <v>100</v>
      </c>
      <c r="BL860" t="s">
        <v>227</v>
      </c>
      <c r="BM860" t="s">
        <v>15864</v>
      </c>
      <c r="BN860" t="s">
        <v>74</v>
      </c>
      <c r="BO860" t="s">
        <v>74</v>
      </c>
      <c r="BP860" t="s">
        <v>74</v>
      </c>
      <c r="BQ860" t="s">
        <v>74</v>
      </c>
      <c r="BR860" t="s">
        <v>102</v>
      </c>
      <c r="BS860" t="s">
        <v>15881</v>
      </c>
      <c r="BT860" t="str">
        <f>HYPERLINK("https%3A%2F%2Fwww.webofscience.com%2Fwos%2Fwoscc%2Ffull-record%2FWOS:000295387000014","View Full Record in Web of Science")</f>
        <v>View Full Record in Web of Science</v>
      </c>
    </row>
    <row r="861" spans="1:72" x14ac:dyDescent="0.15">
      <c r="A861" t="s">
        <v>72</v>
      </c>
      <c r="B861" t="s">
        <v>15882</v>
      </c>
      <c r="C861" t="s">
        <v>74</v>
      </c>
      <c r="D861" t="s">
        <v>74</v>
      </c>
      <c r="E861" t="s">
        <v>74</v>
      </c>
      <c r="F861" t="s">
        <v>15883</v>
      </c>
      <c r="G861" t="s">
        <v>74</v>
      </c>
      <c r="H861" t="s">
        <v>74</v>
      </c>
      <c r="I861" t="s">
        <v>15884</v>
      </c>
      <c r="J861" t="s">
        <v>8925</v>
      </c>
      <c r="K861" t="s">
        <v>74</v>
      </c>
      <c r="L861" t="s">
        <v>74</v>
      </c>
      <c r="M861" t="s">
        <v>78</v>
      </c>
      <c r="N861" t="s">
        <v>7692</v>
      </c>
      <c r="O861" t="s">
        <v>74</v>
      </c>
      <c r="P861" t="s">
        <v>74</v>
      </c>
      <c r="Q861" t="s">
        <v>74</v>
      </c>
      <c r="R861" t="s">
        <v>74</v>
      </c>
      <c r="S861" t="s">
        <v>74</v>
      </c>
      <c r="T861" t="s">
        <v>74</v>
      </c>
      <c r="U861" t="s">
        <v>74</v>
      </c>
      <c r="V861" t="s">
        <v>74</v>
      </c>
      <c r="W861" t="s">
        <v>15885</v>
      </c>
      <c r="X861" t="s">
        <v>15886</v>
      </c>
      <c r="Y861" t="s">
        <v>15887</v>
      </c>
      <c r="Z861" t="s">
        <v>15888</v>
      </c>
      <c r="AA861" t="s">
        <v>15889</v>
      </c>
      <c r="AB861" t="s">
        <v>15890</v>
      </c>
      <c r="AC861" t="s">
        <v>74</v>
      </c>
      <c r="AD861" t="s">
        <v>74</v>
      </c>
      <c r="AE861" t="s">
        <v>74</v>
      </c>
      <c r="AF861" t="s">
        <v>74</v>
      </c>
      <c r="AG861">
        <v>1</v>
      </c>
      <c r="AH861">
        <v>0</v>
      </c>
      <c r="AI861">
        <v>0</v>
      </c>
      <c r="AJ861">
        <v>1</v>
      </c>
      <c r="AK861">
        <v>58</v>
      </c>
      <c r="AL861" t="s">
        <v>155</v>
      </c>
      <c r="AM861" t="s">
        <v>156</v>
      </c>
      <c r="AN861" t="s">
        <v>157</v>
      </c>
      <c r="AO861" t="s">
        <v>8938</v>
      </c>
      <c r="AP861" t="s">
        <v>74</v>
      </c>
      <c r="AQ861" t="s">
        <v>74</v>
      </c>
      <c r="AR861" t="s">
        <v>8939</v>
      </c>
      <c r="AS861" t="s">
        <v>8940</v>
      </c>
      <c r="AT861" t="s">
        <v>15792</v>
      </c>
      <c r="AU861">
        <v>2011</v>
      </c>
      <c r="AV861">
        <v>30</v>
      </c>
      <c r="AW861" t="s">
        <v>13925</v>
      </c>
      <c r="AX861" t="s">
        <v>74</v>
      </c>
      <c r="AY861" t="s">
        <v>74</v>
      </c>
      <c r="AZ861" t="s">
        <v>74</v>
      </c>
      <c r="BA861" t="s">
        <v>74</v>
      </c>
      <c r="BB861">
        <v>2841</v>
      </c>
      <c r="BC861">
        <v>2843</v>
      </c>
      <c r="BD861" t="s">
        <v>74</v>
      </c>
      <c r="BE861" t="s">
        <v>15891</v>
      </c>
      <c r="BF861" t="str">
        <f>HYPERLINK("http://dx.doi.org/10.1016/j.quascirev.2010.07.018","http://dx.doi.org/10.1016/j.quascirev.2010.07.018")</f>
        <v>http://dx.doi.org/10.1016/j.quascirev.2010.07.018</v>
      </c>
      <c r="BG861" t="s">
        <v>74</v>
      </c>
      <c r="BH861" t="s">
        <v>74</v>
      </c>
      <c r="BI861">
        <v>3</v>
      </c>
      <c r="BJ861" t="s">
        <v>226</v>
      </c>
      <c r="BK861" t="s">
        <v>100</v>
      </c>
      <c r="BL861" t="s">
        <v>227</v>
      </c>
      <c r="BM861" t="s">
        <v>15864</v>
      </c>
      <c r="BN861" t="s">
        <v>74</v>
      </c>
      <c r="BO861" t="s">
        <v>74</v>
      </c>
      <c r="BP861" t="s">
        <v>74</v>
      </c>
      <c r="BQ861" t="s">
        <v>74</v>
      </c>
      <c r="BR861" t="s">
        <v>102</v>
      </c>
      <c r="BS861" t="s">
        <v>15892</v>
      </c>
      <c r="BT861" t="str">
        <f>HYPERLINK("https%3A%2F%2Fwww.webofscience.com%2Fwos%2Fwoscc%2Ffull-record%2FWOS:000295387000032","View Full Record in Web of Science")</f>
        <v>View Full Record in Web of Science</v>
      </c>
    </row>
    <row r="862" spans="1:72" x14ac:dyDescent="0.15">
      <c r="A862" t="s">
        <v>72</v>
      </c>
      <c r="B862" t="s">
        <v>15893</v>
      </c>
      <c r="C862" t="s">
        <v>74</v>
      </c>
      <c r="D862" t="s">
        <v>74</v>
      </c>
      <c r="E862" t="s">
        <v>74</v>
      </c>
      <c r="F862" t="s">
        <v>15894</v>
      </c>
      <c r="G862" t="s">
        <v>74</v>
      </c>
      <c r="H862" t="s">
        <v>74</v>
      </c>
      <c r="I862" t="s">
        <v>15895</v>
      </c>
      <c r="J862" t="s">
        <v>15896</v>
      </c>
      <c r="K862" t="s">
        <v>74</v>
      </c>
      <c r="L862" t="s">
        <v>74</v>
      </c>
      <c r="M862" t="s">
        <v>78</v>
      </c>
      <c r="N862" t="s">
        <v>79</v>
      </c>
      <c r="O862" t="s">
        <v>74</v>
      </c>
      <c r="P862" t="s">
        <v>74</v>
      </c>
      <c r="Q862" t="s">
        <v>74</v>
      </c>
      <c r="R862" t="s">
        <v>74</v>
      </c>
      <c r="S862" t="s">
        <v>74</v>
      </c>
      <c r="T862" t="s">
        <v>15897</v>
      </c>
      <c r="U862" t="s">
        <v>15898</v>
      </c>
      <c r="V862" t="s">
        <v>15899</v>
      </c>
      <c r="W862" t="s">
        <v>15900</v>
      </c>
      <c r="X862" t="s">
        <v>15901</v>
      </c>
      <c r="Y862" t="s">
        <v>15902</v>
      </c>
      <c r="Z862" t="s">
        <v>15903</v>
      </c>
      <c r="AA862" t="s">
        <v>15904</v>
      </c>
      <c r="AB862" t="s">
        <v>15905</v>
      </c>
      <c r="AC862" t="s">
        <v>15906</v>
      </c>
      <c r="AD862" t="s">
        <v>15907</v>
      </c>
      <c r="AE862" t="s">
        <v>15908</v>
      </c>
      <c r="AF862" t="s">
        <v>74</v>
      </c>
      <c r="AG862">
        <v>85</v>
      </c>
      <c r="AH862">
        <v>25</v>
      </c>
      <c r="AI862">
        <v>26</v>
      </c>
      <c r="AJ862">
        <v>0</v>
      </c>
      <c r="AK862">
        <v>12</v>
      </c>
      <c r="AL862" t="s">
        <v>3479</v>
      </c>
      <c r="AM862" t="s">
        <v>334</v>
      </c>
      <c r="AN862" t="s">
        <v>3480</v>
      </c>
      <c r="AO862" t="s">
        <v>15909</v>
      </c>
      <c r="AP862" t="s">
        <v>15910</v>
      </c>
      <c r="AQ862" t="s">
        <v>74</v>
      </c>
      <c r="AR862" t="s">
        <v>15911</v>
      </c>
      <c r="AS862" t="s">
        <v>15912</v>
      </c>
      <c r="AT862" t="s">
        <v>15792</v>
      </c>
      <c r="AU862">
        <v>2011</v>
      </c>
      <c r="AV862">
        <v>167</v>
      </c>
      <c r="AW862" t="s">
        <v>1776</v>
      </c>
      <c r="AX862" t="s">
        <v>74</v>
      </c>
      <c r="AY862" t="s">
        <v>74</v>
      </c>
      <c r="AZ862" t="s">
        <v>74</v>
      </c>
      <c r="BA862" t="s">
        <v>74</v>
      </c>
      <c r="BB862">
        <v>140</v>
      </c>
      <c r="BC862">
        <v>155</v>
      </c>
      <c r="BD862" t="s">
        <v>74</v>
      </c>
      <c r="BE862" t="s">
        <v>15913</v>
      </c>
      <c r="BF862" t="str">
        <f>HYPERLINK("http://dx.doi.org/10.1016/j.revpalbo.2011.07.007","http://dx.doi.org/10.1016/j.revpalbo.2011.07.007")</f>
        <v>http://dx.doi.org/10.1016/j.revpalbo.2011.07.007</v>
      </c>
      <c r="BG862" t="s">
        <v>74</v>
      </c>
      <c r="BH862" t="s">
        <v>74</v>
      </c>
      <c r="BI862">
        <v>16</v>
      </c>
      <c r="BJ862" t="s">
        <v>5815</v>
      </c>
      <c r="BK862" t="s">
        <v>100</v>
      </c>
      <c r="BL862" t="s">
        <v>5815</v>
      </c>
      <c r="BM862" t="s">
        <v>15914</v>
      </c>
      <c r="BN862" t="s">
        <v>74</v>
      </c>
      <c r="BO862" t="s">
        <v>74</v>
      </c>
      <c r="BP862" t="s">
        <v>74</v>
      </c>
      <c r="BQ862" t="s">
        <v>74</v>
      </c>
      <c r="BR862" t="s">
        <v>102</v>
      </c>
      <c r="BS862" t="s">
        <v>15915</v>
      </c>
      <c r="BT862" t="str">
        <f>HYPERLINK("https%3A%2F%2Fwww.webofscience.com%2Fwos%2Fwoscc%2Ffull-record%2FWOS:000296692700010","View Full Record in Web of Science")</f>
        <v>View Full Record in Web of Science</v>
      </c>
    </row>
    <row r="863" spans="1:72" x14ac:dyDescent="0.15">
      <c r="A863" t="s">
        <v>72</v>
      </c>
      <c r="B863" t="s">
        <v>15916</v>
      </c>
      <c r="C863" t="s">
        <v>74</v>
      </c>
      <c r="D863" t="s">
        <v>74</v>
      </c>
      <c r="E863" t="s">
        <v>74</v>
      </c>
      <c r="F863" t="s">
        <v>15917</v>
      </c>
      <c r="G863" t="s">
        <v>74</v>
      </c>
      <c r="H863" t="s">
        <v>74</v>
      </c>
      <c r="I863" t="s">
        <v>15918</v>
      </c>
      <c r="J863" t="s">
        <v>12160</v>
      </c>
      <c r="K863" t="s">
        <v>74</v>
      </c>
      <c r="L863" t="s">
        <v>74</v>
      </c>
      <c r="M863" t="s">
        <v>78</v>
      </c>
      <c r="N863" t="s">
        <v>79</v>
      </c>
      <c r="O863" t="s">
        <v>74</v>
      </c>
      <c r="P863" t="s">
        <v>74</v>
      </c>
      <c r="Q863" t="s">
        <v>74</v>
      </c>
      <c r="R863" t="s">
        <v>74</v>
      </c>
      <c r="S863" t="s">
        <v>74</v>
      </c>
      <c r="T863" t="s">
        <v>74</v>
      </c>
      <c r="U863" t="s">
        <v>15919</v>
      </c>
      <c r="V863" t="s">
        <v>15920</v>
      </c>
      <c r="W863" t="s">
        <v>15921</v>
      </c>
      <c r="X863" t="s">
        <v>15922</v>
      </c>
      <c r="Y863" t="s">
        <v>15923</v>
      </c>
      <c r="Z863" t="s">
        <v>15924</v>
      </c>
      <c r="AA863" t="s">
        <v>15925</v>
      </c>
      <c r="AB863" t="s">
        <v>15926</v>
      </c>
      <c r="AC863" t="s">
        <v>15927</v>
      </c>
      <c r="AD863" t="s">
        <v>15927</v>
      </c>
      <c r="AE863" t="s">
        <v>15928</v>
      </c>
      <c r="AF863" t="s">
        <v>74</v>
      </c>
      <c r="AG863">
        <v>13</v>
      </c>
      <c r="AH863">
        <v>5</v>
      </c>
      <c r="AI863">
        <v>5</v>
      </c>
      <c r="AJ863">
        <v>0</v>
      </c>
      <c r="AK863">
        <v>0</v>
      </c>
      <c r="AL863" t="s">
        <v>12171</v>
      </c>
      <c r="AM863" t="s">
        <v>12172</v>
      </c>
      <c r="AN863" t="s">
        <v>12173</v>
      </c>
      <c r="AO863" t="s">
        <v>12174</v>
      </c>
      <c r="AP863" t="s">
        <v>74</v>
      </c>
      <c r="AQ863" t="s">
        <v>74</v>
      </c>
      <c r="AR863" t="s">
        <v>12175</v>
      </c>
      <c r="AS863" t="s">
        <v>12176</v>
      </c>
      <c r="AT863" t="s">
        <v>15929</v>
      </c>
      <c r="AU863">
        <v>2011</v>
      </c>
      <c r="AV863">
        <v>107</v>
      </c>
      <c r="AW863" t="s">
        <v>11344</v>
      </c>
      <c r="AX863" t="s">
        <v>74</v>
      </c>
      <c r="AY863" t="s">
        <v>74</v>
      </c>
      <c r="AZ863" t="s">
        <v>74</v>
      </c>
      <c r="BA863" t="s">
        <v>74</v>
      </c>
      <c r="BB863">
        <v>39</v>
      </c>
      <c r="BC863">
        <v>46</v>
      </c>
      <c r="BD863" t="s">
        <v>74</v>
      </c>
      <c r="BE863" t="s">
        <v>15930</v>
      </c>
      <c r="BF863" t="str">
        <f>HYPERLINK("http://dx.doi.org/10.4102/sajs.v107i9/10.491","http://dx.doi.org/10.4102/sajs.v107i9/10.491")</f>
        <v>http://dx.doi.org/10.4102/sajs.v107i9/10.491</v>
      </c>
      <c r="BG863" t="s">
        <v>74</v>
      </c>
      <c r="BH863" t="s">
        <v>74</v>
      </c>
      <c r="BI863">
        <v>8</v>
      </c>
      <c r="BJ863" t="s">
        <v>6182</v>
      </c>
      <c r="BK863" t="s">
        <v>100</v>
      </c>
      <c r="BL863" t="s">
        <v>6183</v>
      </c>
      <c r="BM863" t="s">
        <v>15931</v>
      </c>
      <c r="BN863" t="s">
        <v>74</v>
      </c>
      <c r="BO863" t="s">
        <v>623</v>
      </c>
      <c r="BP863" t="s">
        <v>74</v>
      </c>
      <c r="BQ863" t="s">
        <v>74</v>
      </c>
      <c r="BR863" t="s">
        <v>102</v>
      </c>
      <c r="BS863" t="s">
        <v>15932</v>
      </c>
      <c r="BT863" t="str">
        <f>HYPERLINK("https%3A%2F%2Fwww.webofscience.com%2Fwos%2Fwoscc%2Ffull-record%2FWOS:000296690100012","View Full Record in Web of Science")</f>
        <v>View Full Record in Web of Science</v>
      </c>
    </row>
    <row r="864" spans="1:72" x14ac:dyDescent="0.15">
      <c r="A864" t="s">
        <v>72</v>
      </c>
      <c r="B864" t="s">
        <v>15933</v>
      </c>
      <c r="C864" t="s">
        <v>74</v>
      </c>
      <c r="D864" t="s">
        <v>74</v>
      </c>
      <c r="E864" t="s">
        <v>74</v>
      </c>
      <c r="F864" t="s">
        <v>15934</v>
      </c>
      <c r="G864" t="s">
        <v>74</v>
      </c>
      <c r="H864" t="s">
        <v>74</v>
      </c>
      <c r="I864" t="s">
        <v>15935</v>
      </c>
      <c r="J864" t="s">
        <v>15936</v>
      </c>
      <c r="K864" t="s">
        <v>74</v>
      </c>
      <c r="L864" t="s">
        <v>74</v>
      </c>
      <c r="M864" t="s">
        <v>78</v>
      </c>
      <c r="N864" t="s">
        <v>79</v>
      </c>
      <c r="O864" t="s">
        <v>74</v>
      </c>
      <c r="P864" t="s">
        <v>74</v>
      </c>
      <c r="Q864" t="s">
        <v>74</v>
      </c>
      <c r="R864" t="s">
        <v>74</v>
      </c>
      <c r="S864" t="s">
        <v>74</v>
      </c>
      <c r="T864" t="s">
        <v>15937</v>
      </c>
      <c r="U864" t="s">
        <v>15938</v>
      </c>
      <c r="V864" t="s">
        <v>15939</v>
      </c>
      <c r="W864" t="s">
        <v>15940</v>
      </c>
      <c r="X864" t="s">
        <v>15941</v>
      </c>
      <c r="Y864" t="s">
        <v>15942</v>
      </c>
      <c r="Z864" t="s">
        <v>15943</v>
      </c>
      <c r="AA864" t="s">
        <v>15944</v>
      </c>
      <c r="AB864" t="s">
        <v>15945</v>
      </c>
      <c r="AC864" t="s">
        <v>15946</v>
      </c>
      <c r="AD864" t="s">
        <v>15947</v>
      </c>
      <c r="AE864" t="s">
        <v>15948</v>
      </c>
      <c r="AF864" t="s">
        <v>74</v>
      </c>
      <c r="AG864">
        <v>45</v>
      </c>
      <c r="AH864">
        <v>10</v>
      </c>
      <c r="AI864">
        <v>11</v>
      </c>
      <c r="AJ864">
        <v>0</v>
      </c>
      <c r="AK864">
        <v>13</v>
      </c>
      <c r="AL864" t="s">
        <v>15949</v>
      </c>
      <c r="AM864" t="s">
        <v>3210</v>
      </c>
      <c r="AN864" t="s">
        <v>15950</v>
      </c>
      <c r="AO864" t="s">
        <v>15951</v>
      </c>
      <c r="AP864" t="s">
        <v>74</v>
      </c>
      <c r="AQ864" t="s">
        <v>74</v>
      </c>
      <c r="AR864" t="s">
        <v>15952</v>
      </c>
      <c r="AS864" t="s">
        <v>15953</v>
      </c>
      <c r="AT864" t="s">
        <v>15792</v>
      </c>
      <c r="AU864">
        <v>2011</v>
      </c>
      <c r="AV864">
        <v>56</v>
      </c>
      <c r="AW864">
        <v>3</v>
      </c>
      <c r="AX864" t="s">
        <v>74</v>
      </c>
      <c r="AY864" t="s">
        <v>74</v>
      </c>
      <c r="AZ864" t="s">
        <v>74</v>
      </c>
      <c r="BA864" t="s">
        <v>74</v>
      </c>
      <c r="BB864">
        <v>808</v>
      </c>
      <c r="BC864">
        <v>811</v>
      </c>
      <c r="BD864" t="s">
        <v>74</v>
      </c>
      <c r="BE864" t="s">
        <v>15954</v>
      </c>
      <c r="BF864" t="str">
        <f>HYPERLINK("http://dx.doi.org/10.4067/S0717-97072011000300019","http://dx.doi.org/10.4067/S0717-97072011000300019")</f>
        <v>http://dx.doi.org/10.4067/S0717-97072011000300019</v>
      </c>
      <c r="BG864" t="s">
        <v>74</v>
      </c>
      <c r="BH864" t="s">
        <v>74</v>
      </c>
      <c r="BI864">
        <v>4</v>
      </c>
      <c r="BJ864" t="s">
        <v>747</v>
      </c>
      <c r="BK864" t="s">
        <v>100</v>
      </c>
      <c r="BL864" t="s">
        <v>722</v>
      </c>
      <c r="BM864" t="s">
        <v>15955</v>
      </c>
      <c r="BN864" t="s">
        <v>74</v>
      </c>
      <c r="BO864" t="s">
        <v>1108</v>
      </c>
      <c r="BP864" t="s">
        <v>74</v>
      </c>
      <c r="BQ864" t="s">
        <v>74</v>
      </c>
      <c r="BR864" t="s">
        <v>102</v>
      </c>
      <c r="BS864" t="s">
        <v>15956</v>
      </c>
      <c r="BT864" t="str">
        <f>HYPERLINK("https%3A%2F%2Fwww.webofscience.com%2Fwos%2Fwoscc%2Ffull-record%2FWOS:000296753600019","View Full Record in Web of Science")</f>
        <v>View Full Record in Web of Science</v>
      </c>
    </row>
    <row r="865" spans="1:72" x14ac:dyDescent="0.15">
      <c r="A865" t="s">
        <v>72</v>
      </c>
      <c r="B865" t="s">
        <v>15957</v>
      </c>
      <c r="C865" t="s">
        <v>74</v>
      </c>
      <c r="D865" t="s">
        <v>74</v>
      </c>
      <c r="E865" t="s">
        <v>74</v>
      </c>
      <c r="F865" t="s">
        <v>15958</v>
      </c>
      <c r="G865" t="s">
        <v>74</v>
      </c>
      <c r="H865" t="s">
        <v>74</v>
      </c>
      <c r="I865" t="s">
        <v>15959</v>
      </c>
      <c r="J865" t="s">
        <v>15960</v>
      </c>
      <c r="K865" t="s">
        <v>74</v>
      </c>
      <c r="L865" t="s">
        <v>74</v>
      </c>
      <c r="M865" t="s">
        <v>78</v>
      </c>
      <c r="N865" t="s">
        <v>79</v>
      </c>
      <c r="O865" t="s">
        <v>74</v>
      </c>
      <c r="P865" t="s">
        <v>74</v>
      </c>
      <c r="Q865" t="s">
        <v>74</v>
      </c>
      <c r="R865" t="s">
        <v>74</v>
      </c>
      <c r="S865" t="s">
        <v>74</v>
      </c>
      <c r="T865" t="s">
        <v>15961</v>
      </c>
      <c r="U865" t="s">
        <v>15962</v>
      </c>
      <c r="V865" t="s">
        <v>15963</v>
      </c>
      <c r="W865" t="s">
        <v>15964</v>
      </c>
      <c r="X865" t="s">
        <v>15965</v>
      </c>
      <c r="Y865" t="s">
        <v>15966</v>
      </c>
      <c r="Z865" t="s">
        <v>15967</v>
      </c>
      <c r="AA865" t="s">
        <v>74</v>
      </c>
      <c r="AB865" t="s">
        <v>74</v>
      </c>
      <c r="AC865" t="s">
        <v>74</v>
      </c>
      <c r="AD865" t="s">
        <v>74</v>
      </c>
      <c r="AE865" t="s">
        <v>74</v>
      </c>
      <c r="AF865" t="s">
        <v>74</v>
      </c>
      <c r="AG865">
        <v>27</v>
      </c>
      <c r="AH865">
        <v>5</v>
      </c>
      <c r="AI865">
        <v>5</v>
      </c>
      <c r="AJ865">
        <v>0</v>
      </c>
      <c r="AK865">
        <v>64</v>
      </c>
      <c r="AL865" t="s">
        <v>250</v>
      </c>
      <c r="AM865" t="s">
        <v>413</v>
      </c>
      <c r="AN865" t="s">
        <v>514</v>
      </c>
      <c r="AO865" t="s">
        <v>15968</v>
      </c>
      <c r="AP865" t="s">
        <v>74</v>
      </c>
      <c r="AQ865" t="s">
        <v>74</v>
      </c>
      <c r="AR865" t="s">
        <v>15969</v>
      </c>
      <c r="AS865" t="s">
        <v>15970</v>
      </c>
      <c r="AT865" t="s">
        <v>15792</v>
      </c>
      <c r="AU865">
        <v>2011</v>
      </c>
      <c r="AV865">
        <v>39</v>
      </c>
      <c r="AW865">
        <v>3</v>
      </c>
      <c r="AX865" t="s">
        <v>74</v>
      </c>
      <c r="AY865" t="s">
        <v>74</v>
      </c>
      <c r="AZ865" t="s">
        <v>339</v>
      </c>
      <c r="BA865" t="s">
        <v>74</v>
      </c>
      <c r="BB865">
        <v>281</v>
      </c>
      <c r="BC865">
        <v>295</v>
      </c>
      <c r="BD865" t="s">
        <v>74</v>
      </c>
      <c r="BE865" t="s">
        <v>15971</v>
      </c>
      <c r="BF865" t="str">
        <f>HYPERLINK("http://dx.doi.org/10.1007/s12524-011-0092-4","http://dx.doi.org/10.1007/s12524-011-0092-4")</f>
        <v>http://dx.doi.org/10.1007/s12524-011-0092-4</v>
      </c>
      <c r="BG865" t="s">
        <v>74</v>
      </c>
      <c r="BH865" t="s">
        <v>74</v>
      </c>
      <c r="BI865">
        <v>15</v>
      </c>
      <c r="BJ865" t="s">
        <v>15972</v>
      </c>
      <c r="BK865" t="s">
        <v>100</v>
      </c>
      <c r="BL865" t="s">
        <v>15973</v>
      </c>
      <c r="BM865" t="s">
        <v>15974</v>
      </c>
      <c r="BN865" t="s">
        <v>74</v>
      </c>
      <c r="BO865" t="s">
        <v>74</v>
      </c>
      <c r="BP865" t="s">
        <v>74</v>
      </c>
      <c r="BQ865" t="s">
        <v>74</v>
      </c>
      <c r="BR865" t="s">
        <v>102</v>
      </c>
      <c r="BS865" t="s">
        <v>15975</v>
      </c>
      <c r="BT865" t="str">
        <f>HYPERLINK("https%3A%2F%2Fwww.webofscience.com%2Fwos%2Fwoscc%2Ffull-record%2FWOS:000296518200002","View Full Record in Web of Science")</f>
        <v>View Full Record in Web of Science</v>
      </c>
    </row>
    <row r="866" spans="1:72" x14ac:dyDescent="0.15">
      <c r="A866" t="s">
        <v>72</v>
      </c>
      <c r="B866" t="s">
        <v>10628</v>
      </c>
      <c r="C866" t="s">
        <v>74</v>
      </c>
      <c r="D866" t="s">
        <v>74</v>
      </c>
      <c r="E866" t="s">
        <v>74</v>
      </c>
      <c r="F866" t="s">
        <v>10628</v>
      </c>
      <c r="G866" t="s">
        <v>74</v>
      </c>
      <c r="H866" t="s">
        <v>74</v>
      </c>
      <c r="I866" t="s">
        <v>15976</v>
      </c>
      <c r="J866" t="s">
        <v>15977</v>
      </c>
      <c r="K866" t="s">
        <v>74</v>
      </c>
      <c r="L866" t="s">
        <v>74</v>
      </c>
      <c r="M866" t="s">
        <v>78</v>
      </c>
      <c r="N866" t="s">
        <v>10118</v>
      </c>
      <c r="O866" t="s">
        <v>74</v>
      </c>
      <c r="P866" t="s">
        <v>74</v>
      </c>
      <c r="Q866" t="s">
        <v>74</v>
      </c>
      <c r="R866" t="s">
        <v>74</v>
      </c>
      <c r="S866" t="s">
        <v>74</v>
      </c>
      <c r="T866" t="s">
        <v>74</v>
      </c>
      <c r="U866" t="s">
        <v>74</v>
      </c>
      <c r="V866" t="s">
        <v>74</v>
      </c>
      <c r="W866" t="s">
        <v>74</v>
      </c>
      <c r="X866" t="s">
        <v>74</v>
      </c>
      <c r="Y866" t="s">
        <v>74</v>
      </c>
      <c r="Z866" t="s">
        <v>74</v>
      </c>
      <c r="AA866" t="s">
        <v>74</v>
      </c>
      <c r="AB866" t="s">
        <v>74</v>
      </c>
      <c r="AC866" t="s">
        <v>74</v>
      </c>
      <c r="AD866" t="s">
        <v>74</v>
      </c>
      <c r="AE866" t="s">
        <v>74</v>
      </c>
      <c r="AF866" t="s">
        <v>74</v>
      </c>
      <c r="AG866">
        <v>0</v>
      </c>
      <c r="AH866">
        <v>0</v>
      </c>
      <c r="AI866">
        <v>0</v>
      </c>
      <c r="AJ866">
        <v>0</v>
      </c>
      <c r="AK866">
        <v>0</v>
      </c>
      <c r="AL866" t="s">
        <v>15978</v>
      </c>
      <c r="AM866" t="s">
        <v>413</v>
      </c>
      <c r="AN866" t="s">
        <v>15979</v>
      </c>
      <c r="AO866" t="s">
        <v>15980</v>
      </c>
      <c r="AP866" t="s">
        <v>74</v>
      </c>
      <c r="AQ866" t="s">
        <v>74</v>
      </c>
      <c r="AR866" t="s">
        <v>15981</v>
      </c>
      <c r="AS866" t="s">
        <v>15982</v>
      </c>
      <c r="AT866" t="s">
        <v>15792</v>
      </c>
      <c r="AU866">
        <v>2011</v>
      </c>
      <c r="AV866">
        <v>50</v>
      </c>
      <c r="AW866">
        <v>9</v>
      </c>
      <c r="AX866" t="s">
        <v>74</v>
      </c>
      <c r="AY866" t="s">
        <v>74</v>
      </c>
      <c r="AZ866" t="s">
        <v>74</v>
      </c>
      <c r="BA866" t="s">
        <v>74</v>
      </c>
      <c r="BB866">
        <v>22</v>
      </c>
      <c r="BC866">
        <v>22</v>
      </c>
      <c r="BD866" t="s">
        <v>74</v>
      </c>
      <c r="BE866" t="s">
        <v>74</v>
      </c>
      <c r="BF866" t="s">
        <v>74</v>
      </c>
      <c r="BG866" t="s">
        <v>74</v>
      </c>
      <c r="BH866" t="s">
        <v>74</v>
      </c>
      <c r="BI866">
        <v>1</v>
      </c>
      <c r="BJ866" t="s">
        <v>15983</v>
      </c>
      <c r="BK866" t="s">
        <v>100</v>
      </c>
      <c r="BL866" t="s">
        <v>15984</v>
      </c>
      <c r="BM866" t="s">
        <v>15985</v>
      </c>
      <c r="BN866" t="s">
        <v>74</v>
      </c>
      <c r="BO866" t="s">
        <v>74</v>
      </c>
      <c r="BP866" t="s">
        <v>74</v>
      </c>
      <c r="BQ866" t="s">
        <v>74</v>
      </c>
      <c r="BR866" t="s">
        <v>102</v>
      </c>
      <c r="BS866" t="s">
        <v>15986</v>
      </c>
      <c r="BT866" t="str">
        <f>HYPERLINK("https%3A%2F%2Fwww.webofscience.com%2Fwos%2Fwoscc%2Ffull-record%2FWOS:000296677900007","View Full Record in Web of Science")</f>
        <v>View Full Record in Web of Science</v>
      </c>
    </row>
    <row r="867" spans="1:72" x14ac:dyDescent="0.15">
      <c r="A867" t="s">
        <v>72</v>
      </c>
      <c r="B867" t="s">
        <v>15987</v>
      </c>
      <c r="C867" t="s">
        <v>74</v>
      </c>
      <c r="D867" t="s">
        <v>74</v>
      </c>
      <c r="E867" t="s">
        <v>74</v>
      </c>
      <c r="F867" t="s">
        <v>15988</v>
      </c>
      <c r="G867" t="s">
        <v>74</v>
      </c>
      <c r="H867" t="s">
        <v>74</v>
      </c>
      <c r="I867" t="s">
        <v>15989</v>
      </c>
      <c r="J867" t="s">
        <v>15990</v>
      </c>
      <c r="K867" t="s">
        <v>74</v>
      </c>
      <c r="L867" t="s">
        <v>74</v>
      </c>
      <c r="M867" t="s">
        <v>78</v>
      </c>
      <c r="N867" t="s">
        <v>79</v>
      </c>
      <c r="O867" t="s">
        <v>74</v>
      </c>
      <c r="P867" t="s">
        <v>74</v>
      </c>
      <c r="Q867" t="s">
        <v>74</v>
      </c>
      <c r="R867" t="s">
        <v>74</v>
      </c>
      <c r="S867" t="s">
        <v>74</v>
      </c>
      <c r="T867" t="s">
        <v>15991</v>
      </c>
      <c r="U867" t="s">
        <v>15992</v>
      </c>
      <c r="V867" t="s">
        <v>15993</v>
      </c>
      <c r="W867" t="s">
        <v>15994</v>
      </c>
      <c r="X867" t="s">
        <v>15995</v>
      </c>
      <c r="Y867" t="s">
        <v>15996</v>
      </c>
      <c r="Z867" t="s">
        <v>15997</v>
      </c>
      <c r="AA867" t="s">
        <v>15998</v>
      </c>
      <c r="AB867" t="s">
        <v>15999</v>
      </c>
      <c r="AC867" t="s">
        <v>16000</v>
      </c>
      <c r="AD867" t="s">
        <v>16001</v>
      </c>
      <c r="AE867" t="s">
        <v>16002</v>
      </c>
      <c r="AF867" t="s">
        <v>74</v>
      </c>
      <c r="AG867">
        <v>114</v>
      </c>
      <c r="AH867">
        <v>54</v>
      </c>
      <c r="AI867">
        <v>60</v>
      </c>
      <c r="AJ867">
        <v>3</v>
      </c>
      <c r="AK867">
        <v>66</v>
      </c>
      <c r="AL867" t="s">
        <v>333</v>
      </c>
      <c r="AM867" t="s">
        <v>334</v>
      </c>
      <c r="AN867" t="s">
        <v>335</v>
      </c>
      <c r="AO867" t="s">
        <v>16003</v>
      </c>
      <c r="AP867" t="s">
        <v>16004</v>
      </c>
      <c r="AQ867" t="s">
        <v>74</v>
      </c>
      <c r="AR867" t="s">
        <v>16005</v>
      </c>
      <c r="AS867" t="s">
        <v>16006</v>
      </c>
      <c r="AT867" t="s">
        <v>15792</v>
      </c>
      <c r="AU867">
        <v>2011</v>
      </c>
      <c r="AV867">
        <v>108</v>
      </c>
      <c r="AW867" t="s">
        <v>1776</v>
      </c>
      <c r="AX867" t="s">
        <v>74</v>
      </c>
      <c r="AY867" t="s">
        <v>74</v>
      </c>
      <c r="AZ867" t="s">
        <v>74</v>
      </c>
      <c r="BA867" t="s">
        <v>74</v>
      </c>
      <c r="BB867">
        <v>64</v>
      </c>
      <c r="BC867">
        <v>79</v>
      </c>
      <c r="BD867" t="s">
        <v>74</v>
      </c>
      <c r="BE867" t="s">
        <v>16007</v>
      </c>
      <c r="BF867" t="str">
        <f>HYPERLINK("http://dx.doi.org/10.1016/j.earscirev.2011.06.002","http://dx.doi.org/10.1016/j.earscirev.2011.06.002")</f>
        <v>http://dx.doi.org/10.1016/j.earscirev.2011.06.002</v>
      </c>
      <c r="BG867" t="s">
        <v>74</v>
      </c>
      <c r="BH867" t="s">
        <v>74</v>
      </c>
      <c r="BI867">
        <v>16</v>
      </c>
      <c r="BJ867" t="s">
        <v>287</v>
      </c>
      <c r="BK867" t="s">
        <v>100</v>
      </c>
      <c r="BL867" t="s">
        <v>288</v>
      </c>
      <c r="BM867" t="s">
        <v>16008</v>
      </c>
      <c r="BN867" t="s">
        <v>74</v>
      </c>
      <c r="BO867" t="s">
        <v>74</v>
      </c>
      <c r="BP867" t="s">
        <v>74</v>
      </c>
      <c r="BQ867" t="s">
        <v>74</v>
      </c>
      <c r="BR867" t="s">
        <v>102</v>
      </c>
      <c r="BS867" t="s">
        <v>16009</v>
      </c>
      <c r="BT867" t="str">
        <f>HYPERLINK("https%3A%2F%2Fwww.webofscience.com%2Fwos%2Fwoscc%2Ffull-record%2FWOS:000295243100005","View Full Record in Web of Science")</f>
        <v>View Full Record in Web of Science</v>
      </c>
    </row>
    <row r="868" spans="1:72" x14ac:dyDescent="0.15">
      <c r="A868" t="s">
        <v>72</v>
      </c>
      <c r="B868" t="s">
        <v>16010</v>
      </c>
      <c r="C868" t="s">
        <v>74</v>
      </c>
      <c r="D868" t="s">
        <v>74</v>
      </c>
      <c r="E868" t="s">
        <v>74</v>
      </c>
      <c r="F868" t="s">
        <v>16011</v>
      </c>
      <c r="G868" t="s">
        <v>74</v>
      </c>
      <c r="H868" t="s">
        <v>74</v>
      </c>
      <c r="I868" t="s">
        <v>16012</v>
      </c>
      <c r="J868" t="s">
        <v>14552</v>
      </c>
      <c r="K868" t="s">
        <v>74</v>
      </c>
      <c r="L868" t="s">
        <v>74</v>
      </c>
      <c r="M868" t="s">
        <v>78</v>
      </c>
      <c r="N868" t="s">
        <v>79</v>
      </c>
      <c r="O868" t="s">
        <v>74</v>
      </c>
      <c r="P868" t="s">
        <v>74</v>
      </c>
      <c r="Q868" t="s">
        <v>74</v>
      </c>
      <c r="R868" t="s">
        <v>74</v>
      </c>
      <c r="S868" t="s">
        <v>74</v>
      </c>
      <c r="T868" t="s">
        <v>74</v>
      </c>
      <c r="U868" t="s">
        <v>16013</v>
      </c>
      <c r="V868" t="s">
        <v>16014</v>
      </c>
      <c r="W868" t="s">
        <v>16015</v>
      </c>
      <c r="X868" t="s">
        <v>16016</v>
      </c>
      <c r="Y868" t="s">
        <v>16017</v>
      </c>
      <c r="Z868" t="s">
        <v>16018</v>
      </c>
      <c r="AA868" t="s">
        <v>16019</v>
      </c>
      <c r="AB868" t="s">
        <v>74</v>
      </c>
      <c r="AC868" t="s">
        <v>16020</v>
      </c>
      <c r="AD868" t="s">
        <v>16021</v>
      </c>
      <c r="AE868" t="s">
        <v>16022</v>
      </c>
      <c r="AF868" t="s">
        <v>74</v>
      </c>
      <c r="AG868">
        <v>26</v>
      </c>
      <c r="AH868">
        <v>14</v>
      </c>
      <c r="AI868">
        <v>15</v>
      </c>
      <c r="AJ868">
        <v>0</v>
      </c>
      <c r="AK868">
        <v>3</v>
      </c>
      <c r="AL868" t="s">
        <v>14564</v>
      </c>
      <c r="AM868" t="s">
        <v>221</v>
      </c>
      <c r="AN868" t="s">
        <v>14565</v>
      </c>
      <c r="AO868" t="s">
        <v>14566</v>
      </c>
      <c r="AP868" t="s">
        <v>14567</v>
      </c>
      <c r="AQ868" t="s">
        <v>74</v>
      </c>
      <c r="AR868" t="s">
        <v>14568</v>
      </c>
      <c r="AS868" t="s">
        <v>14569</v>
      </c>
      <c r="AT868" t="s">
        <v>15792</v>
      </c>
      <c r="AU868">
        <v>2011</v>
      </c>
      <c r="AV868">
        <v>61</v>
      </c>
      <c r="AW868" t="s">
        <v>74</v>
      </c>
      <c r="AX868">
        <v>9</v>
      </c>
      <c r="AY868" t="s">
        <v>74</v>
      </c>
      <c r="AZ868" t="s">
        <v>74</v>
      </c>
      <c r="BA868" t="s">
        <v>74</v>
      </c>
      <c r="BB868">
        <v>2052</v>
      </c>
      <c r="BC868">
        <v>2057</v>
      </c>
      <c r="BD868" t="s">
        <v>74</v>
      </c>
      <c r="BE868" t="s">
        <v>16023</v>
      </c>
      <c r="BF868" t="str">
        <f>HYPERLINK("http://dx.doi.org/10.1099/ijs.0.026153-0","http://dx.doi.org/10.1099/ijs.0.026153-0")</f>
        <v>http://dx.doi.org/10.1099/ijs.0.026153-0</v>
      </c>
      <c r="BG868" t="s">
        <v>74</v>
      </c>
      <c r="BH868" t="s">
        <v>74</v>
      </c>
      <c r="BI868">
        <v>6</v>
      </c>
      <c r="BJ868" t="s">
        <v>3089</v>
      </c>
      <c r="BK868" t="s">
        <v>100</v>
      </c>
      <c r="BL868" t="s">
        <v>3089</v>
      </c>
      <c r="BM868" t="s">
        <v>16024</v>
      </c>
      <c r="BN868">
        <v>20851909</v>
      </c>
      <c r="BO868" t="s">
        <v>365</v>
      </c>
      <c r="BP868" t="s">
        <v>74</v>
      </c>
      <c r="BQ868" t="s">
        <v>74</v>
      </c>
      <c r="BR868" t="s">
        <v>102</v>
      </c>
      <c r="BS868" t="s">
        <v>16025</v>
      </c>
      <c r="BT868" t="str">
        <f>HYPERLINK("https%3A%2F%2Fwww.webofscience.com%2Fwos%2Fwoscc%2Ffull-record%2FWOS:000295432300005","View Full Record in Web of Science")</f>
        <v>View Full Record in Web of Science</v>
      </c>
    </row>
    <row r="869" spans="1:72" x14ac:dyDescent="0.15">
      <c r="A869" t="s">
        <v>72</v>
      </c>
      <c r="B869" t="s">
        <v>16026</v>
      </c>
      <c r="C869" t="s">
        <v>74</v>
      </c>
      <c r="D869" t="s">
        <v>74</v>
      </c>
      <c r="E869" t="s">
        <v>74</v>
      </c>
      <c r="F869" t="s">
        <v>16027</v>
      </c>
      <c r="G869" t="s">
        <v>74</v>
      </c>
      <c r="H869" t="s">
        <v>74</v>
      </c>
      <c r="I869" t="s">
        <v>16028</v>
      </c>
      <c r="J869" t="s">
        <v>14552</v>
      </c>
      <c r="K869" t="s">
        <v>74</v>
      </c>
      <c r="L869" t="s">
        <v>74</v>
      </c>
      <c r="M869" t="s">
        <v>78</v>
      </c>
      <c r="N869" t="s">
        <v>79</v>
      </c>
      <c r="O869" t="s">
        <v>74</v>
      </c>
      <c r="P869" t="s">
        <v>74</v>
      </c>
      <c r="Q869" t="s">
        <v>74</v>
      </c>
      <c r="R869" t="s">
        <v>74</v>
      </c>
      <c r="S869" t="s">
        <v>74</v>
      </c>
      <c r="T869" t="s">
        <v>74</v>
      </c>
      <c r="U869" t="s">
        <v>16029</v>
      </c>
      <c r="V869" t="s">
        <v>16030</v>
      </c>
      <c r="W869" t="s">
        <v>16031</v>
      </c>
      <c r="X869" t="s">
        <v>16032</v>
      </c>
      <c r="Y869" t="s">
        <v>16033</v>
      </c>
      <c r="Z869" t="s">
        <v>16034</v>
      </c>
      <c r="AA869" t="s">
        <v>74</v>
      </c>
      <c r="AB869" t="s">
        <v>74</v>
      </c>
      <c r="AC869" t="s">
        <v>16035</v>
      </c>
      <c r="AD869" t="s">
        <v>16036</v>
      </c>
      <c r="AE869" t="s">
        <v>16037</v>
      </c>
      <c r="AF869" t="s">
        <v>74</v>
      </c>
      <c r="AG869">
        <v>37</v>
      </c>
      <c r="AH869">
        <v>11</v>
      </c>
      <c r="AI869">
        <v>13</v>
      </c>
      <c r="AJ869">
        <v>1</v>
      </c>
      <c r="AK869">
        <v>10</v>
      </c>
      <c r="AL869" t="s">
        <v>14564</v>
      </c>
      <c r="AM869" t="s">
        <v>221</v>
      </c>
      <c r="AN869" t="s">
        <v>14565</v>
      </c>
      <c r="AO869" t="s">
        <v>14566</v>
      </c>
      <c r="AP869" t="s">
        <v>14567</v>
      </c>
      <c r="AQ869" t="s">
        <v>74</v>
      </c>
      <c r="AR869" t="s">
        <v>14568</v>
      </c>
      <c r="AS869" t="s">
        <v>14569</v>
      </c>
      <c r="AT869" t="s">
        <v>15792</v>
      </c>
      <c r="AU869">
        <v>2011</v>
      </c>
      <c r="AV869">
        <v>61</v>
      </c>
      <c r="AW869" t="s">
        <v>74</v>
      </c>
      <c r="AX869">
        <v>9</v>
      </c>
      <c r="AY869" t="s">
        <v>74</v>
      </c>
      <c r="AZ869" t="s">
        <v>74</v>
      </c>
      <c r="BA869" t="s">
        <v>74</v>
      </c>
      <c r="BB869">
        <v>2173</v>
      </c>
      <c r="BC869">
        <v>2179</v>
      </c>
      <c r="BD869" t="s">
        <v>74</v>
      </c>
      <c r="BE869" t="s">
        <v>16038</v>
      </c>
      <c r="BF869" t="str">
        <f>HYPERLINK("http://dx.doi.org/10.1099/ijs.0.024885-0","http://dx.doi.org/10.1099/ijs.0.024885-0")</f>
        <v>http://dx.doi.org/10.1099/ijs.0.024885-0</v>
      </c>
      <c r="BG869" t="s">
        <v>74</v>
      </c>
      <c r="BH869" t="s">
        <v>74</v>
      </c>
      <c r="BI869">
        <v>7</v>
      </c>
      <c r="BJ869" t="s">
        <v>3089</v>
      </c>
      <c r="BK869" t="s">
        <v>100</v>
      </c>
      <c r="BL869" t="s">
        <v>3089</v>
      </c>
      <c r="BM869" t="s">
        <v>16024</v>
      </c>
      <c r="BN869">
        <v>20889763</v>
      </c>
      <c r="BO869" t="s">
        <v>365</v>
      </c>
      <c r="BP869" t="s">
        <v>74</v>
      </c>
      <c r="BQ869" t="s">
        <v>74</v>
      </c>
      <c r="BR869" t="s">
        <v>102</v>
      </c>
      <c r="BS869" t="s">
        <v>16039</v>
      </c>
      <c r="BT869" t="str">
        <f>HYPERLINK("https%3A%2F%2Fwww.webofscience.com%2Fwos%2Fwoscc%2Ffull-record%2FWOS:000295432300026","View Full Record in Web of Science")</f>
        <v>View Full Record in Web of Science</v>
      </c>
    </row>
    <row r="870" spans="1:72" x14ac:dyDescent="0.15">
      <c r="A870" t="s">
        <v>72</v>
      </c>
      <c r="B870" t="s">
        <v>16040</v>
      </c>
      <c r="C870" t="s">
        <v>74</v>
      </c>
      <c r="D870" t="s">
        <v>74</v>
      </c>
      <c r="E870" t="s">
        <v>74</v>
      </c>
      <c r="F870" t="s">
        <v>16041</v>
      </c>
      <c r="G870" t="s">
        <v>74</v>
      </c>
      <c r="H870" t="s">
        <v>74</v>
      </c>
      <c r="I870" t="s">
        <v>16042</v>
      </c>
      <c r="J870" t="s">
        <v>10351</v>
      </c>
      <c r="K870" t="s">
        <v>74</v>
      </c>
      <c r="L870" t="s">
        <v>74</v>
      </c>
      <c r="M870" t="s">
        <v>78</v>
      </c>
      <c r="N870" t="s">
        <v>1513</v>
      </c>
      <c r="O870" t="s">
        <v>74</v>
      </c>
      <c r="P870" t="s">
        <v>74</v>
      </c>
      <c r="Q870" t="s">
        <v>74</v>
      </c>
      <c r="R870" t="s">
        <v>74</v>
      </c>
      <c r="S870" t="s">
        <v>74</v>
      </c>
      <c r="T870" t="s">
        <v>74</v>
      </c>
      <c r="U870" t="s">
        <v>16043</v>
      </c>
      <c r="V870" t="s">
        <v>16044</v>
      </c>
      <c r="W870" t="s">
        <v>16045</v>
      </c>
      <c r="X870" t="s">
        <v>16046</v>
      </c>
      <c r="Y870" t="s">
        <v>16047</v>
      </c>
      <c r="Z870" t="s">
        <v>16048</v>
      </c>
      <c r="AA870" t="s">
        <v>16049</v>
      </c>
      <c r="AB870" t="s">
        <v>16050</v>
      </c>
      <c r="AC870" t="s">
        <v>16051</v>
      </c>
      <c r="AD870" t="s">
        <v>16052</v>
      </c>
      <c r="AE870" t="s">
        <v>74</v>
      </c>
      <c r="AF870" t="s">
        <v>74</v>
      </c>
      <c r="AG870">
        <v>121</v>
      </c>
      <c r="AH870">
        <v>13</v>
      </c>
      <c r="AI870">
        <v>14</v>
      </c>
      <c r="AJ870">
        <v>0</v>
      </c>
      <c r="AK870">
        <v>25</v>
      </c>
      <c r="AL870" t="s">
        <v>2832</v>
      </c>
      <c r="AM870" t="s">
        <v>796</v>
      </c>
      <c r="AN870" t="s">
        <v>797</v>
      </c>
      <c r="AO870" t="s">
        <v>10359</v>
      </c>
      <c r="AP870" t="s">
        <v>10360</v>
      </c>
      <c r="AQ870" t="s">
        <v>74</v>
      </c>
      <c r="AR870" t="s">
        <v>10361</v>
      </c>
      <c r="AS870" t="s">
        <v>10362</v>
      </c>
      <c r="AT870" t="s">
        <v>15929</v>
      </c>
      <c r="AU870">
        <v>2011</v>
      </c>
      <c r="AV870">
        <v>2</v>
      </c>
      <c r="AW870">
        <v>5</v>
      </c>
      <c r="AX870" t="s">
        <v>74</v>
      </c>
      <c r="AY870" t="s">
        <v>74</v>
      </c>
      <c r="AZ870" t="s">
        <v>74</v>
      </c>
      <c r="BA870" t="s">
        <v>74</v>
      </c>
      <c r="BB870">
        <v>728</v>
      </c>
      <c r="BC870">
        <v>743</v>
      </c>
      <c r="BD870" t="s">
        <v>74</v>
      </c>
      <c r="BE870" t="s">
        <v>16053</v>
      </c>
      <c r="BF870" t="str">
        <f>HYPERLINK("http://dx.doi.org/10.1002/wcc.135","http://dx.doi.org/10.1002/wcc.135")</f>
        <v>http://dx.doi.org/10.1002/wcc.135</v>
      </c>
      <c r="BG870" t="s">
        <v>74</v>
      </c>
      <c r="BH870" t="s">
        <v>74</v>
      </c>
      <c r="BI870">
        <v>16</v>
      </c>
      <c r="BJ870" t="s">
        <v>10364</v>
      </c>
      <c r="BK870" t="s">
        <v>7768</v>
      </c>
      <c r="BL870" t="s">
        <v>1182</v>
      </c>
      <c r="BM870" t="s">
        <v>16054</v>
      </c>
      <c r="BN870" t="s">
        <v>74</v>
      </c>
      <c r="BO870" t="s">
        <v>74</v>
      </c>
      <c r="BP870" t="s">
        <v>74</v>
      </c>
      <c r="BQ870" t="s">
        <v>74</v>
      </c>
      <c r="BR870" t="s">
        <v>102</v>
      </c>
      <c r="BS870" t="s">
        <v>16055</v>
      </c>
      <c r="BT870" t="str">
        <f>HYPERLINK("https%3A%2F%2Fwww.webofscience.com%2Fwos%2Fwoscc%2Ffull-record%2FWOS:000295103400006","View Full Record in Web of Science")</f>
        <v>View Full Record in Web of Science</v>
      </c>
    </row>
    <row r="871" spans="1:72" x14ac:dyDescent="0.15">
      <c r="A871" t="s">
        <v>72</v>
      </c>
      <c r="B871" t="s">
        <v>16056</v>
      </c>
      <c r="C871" t="s">
        <v>74</v>
      </c>
      <c r="D871" t="s">
        <v>74</v>
      </c>
      <c r="E871" t="s">
        <v>74</v>
      </c>
      <c r="F871" t="s">
        <v>16057</v>
      </c>
      <c r="G871" t="s">
        <v>74</v>
      </c>
      <c r="H871" t="s">
        <v>74</v>
      </c>
      <c r="I871" t="s">
        <v>16058</v>
      </c>
      <c r="J871" t="s">
        <v>16059</v>
      </c>
      <c r="K871" t="s">
        <v>74</v>
      </c>
      <c r="L871" t="s">
        <v>74</v>
      </c>
      <c r="M871" t="s">
        <v>78</v>
      </c>
      <c r="N871" t="s">
        <v>79</v>
      </c>
      <c r="O871" t="s">
        <v>74</v>
      </c>
      <c r="P871" t="s">
        <v>74</v>
      </c>
      <c r="Q871" t="s">
        <v>74</v>
      </c>
      <c r="R871" t="s">
        <v>74</v>
      </c>
      <c r="S871" t="s">
        <v>74</v>
      </c>
      <c r="T871" t="s">
        <v>16060</v>
      </c>
      <c r="U871" t="s">
        <v>16061</v>
      </c>
      <c r="V871" t="s">
        <v>16062</v>
      </c>
      <c r="W871" t="s">
        <v>16063</v>
      </c>
      <c r="X871" t="s">
        <v>16064</v>
      </c>
      <c r="Y871" t="s">
        <v>16065</v>
      </c>
      <c r="Z871" t="s">
        <v>16066</v>
      </c>
      <c r="AA871" t="s">
        <v>16067</v>
      </c>
      <c r="AB871" t="s">
        <v>16068</v>
      </c>
      <c r="AC871" t="s">
        <v>16069</v>
      </c>
      <c r="AD871" t="s">
        <v>16070</v>
      </c>
      <c r="AE871" t="s">
        <v>16071</v>
      </c>
      <c r="AF871" t="s">
        <v>74</v>
      </c>
      <c r="AG871">
        <v>29</v>
      </c>
      <c r="AH871">
        <v>22</v>
      </c>
      <c r="AI871">
        <v>24</v>
      </c>
      <c r="AJ871">
        <v>0</v>
      </c>
      <c r="AK871">
        <v>23</v>
      </c>
      <c r="AL871" t="s">
        <v>740</v>
      </c>
      <c r="AM871" t="s">
        <v>741</v>
      </c>
      <c r="AN871" t="s">
        <v>16072</v>
      </c>
      <c r="AO871" t="s">
        <v>16073</v>
      </c>
      <c r="AP871" t="s">
        <v>16074</v>
      </c>
      <c r="AQ871" t="s">
        <v>74</v>
      </c>
      <c r="AR871" t="s">
        <v>16075</v>
      </c>
      <c r="AS871" t="s">
        <v>16076</v>
      </c>
      <c r="AT871" t="s">
        <v>15792</v>
      </c>
      <c r="AU871">
        <v>2011</v>
      </c>
      <c r="AV871">
        <v>2011</v>
      </c>
      <c r="AW871">
        <v>27</v>
      </c>
      <c r="AX871" t="s">
        <v>74</v>
      </c>
      <c r="AY871" t="s">
        <v>74</v>
      </c>
      <c r="AZ871" t="s">
        <v>74</v>
      </c>
      <c r="BA871" t="s">
        <v>74</v>
      </c>
      <c r="BB871">
        <v>5383</v>
      </c>
      <c r="BC871">
        <v>5389</v>
      </c>
      <c r="BD871" t="s">
        <v>74</v>
      </c>
      <c r="BE871" t="s">
        <v>16077</v>
      </c>
      <c r="BF871" t="str">
        <f>HYPERLINK("http://dx.doi.org/10.1002/ejoc.201100552","http://dx.doi.org/10.1002/ejoc.201100552")</f>
        <v>http://dx.doi.org/10.1002/ejoc.201100552</v>
      </c>
      <c r="BG871" t="s">
        <v>74</v>
      </c>
      <c r="BH871" t="s">
        <v>74</v>
      </c>
      <c r="BI871">
        <v>7</v>
      </c>
      <c r="BJ871" t="s">
        <v>16078</v>
      </c>
      <c r="BK871" t="s">
        <v>16079</v>
      </c>
      <c r="BL871" t="s">
        <v>722</v>
      </c>
      <c r="BM871" t="s">
        <v>16080</v>
      </c>
      <c r="BN871" t="s">
        <v>74</v>
      </c>
      <c r="BO871" t="s">
        <v>74</v>
      </c>
      <c r="BP871" t="s">
        <v>74</v>
      </c>
      <c r="BQ871" t="s">
        <v>74</v>
      </c>
      <c r="BR871" t="s">
        <v>102</v>
      </c>
      <c r="BS871" t="s">
        <v>16081</v>
      </c>
      <c r="BT871" t="str">
        <f>HYPERLINK("https%3A%2F%2Fwww.webofscience.com%2Fwos%2Fwoscc%2Ffull-record%2FWOS:000295879200022","View Full Record in Web of Science")</f>
        <v>View Full Record in Web of Science</v>
      </c>
    </row>
    <row r="872" spans="1:72" x14ac:dyDescent="0.15">
      <c r="A872" t="s">
        <v>72</v>
      </c>
      <c r="B872" t="s">
        <v>16082</v>
      </c>
      <c r="C872" t="s">
        <v>74</v>
      </c>
      <c r="D872" t="s">
        <v>74</v>
      </c>
      <c r="E872" t="s">
        <v>74</v>
      </c>
      <c r="F872" t="s">
        <v>16083</v>
      </c>
      <c r="G872" t="s">
        <v>74</v>
      </c>
      <c r="H872" t="s">
        <v>74</v>
      </c>
      <c r="I872" t="s">
        <v>16084</v>
      </c>
      <c r="J872" t="s">
        <v>7775</v>
      </c>
      <c r="K872" t="s">
        <v>74</v>
      </c>
      <c r="L872" t="s">
        <v>74</v>
      </c>
      <c r="M872" t="s">
        <v>78</v>
      </c>
      <c r="N872" t="s">
        <v>79</v>
      </c>
      <c r="O872" t="s">
        <v>74</v>
      </c>
      <c r="P872" t="s">
        <v>74</v>
      </c>
      <c r="Q872" t="s">
        <v>74</v>
      </c>
      <c r="R872" t="s">
        <v>74</v>
      </c>
      <c r="S872" t="s">
        <v>74</v>
      </c>
      <c r="T872" t="s">
        <v>74</v>
      </c>
      <c r="U872" t="s">
        <v>16085</v>
      </c>
      <c r="V872" t="s">
        <v>16086</v>
      </c>
      <c r="W872" t="s">
        <v>16087</v>
      </c>
      <c r="X872" t="s">
        <v>16088</v>
      </c>
      <c r="Y872" t="s">
        <v>16089</v>
      </c>
      <c r="Z872" t="s">
        <v>16090</v>
      </c>
      <c r="AA872" t="s">
        <v>16091</v>
      </c>
      <c r="AB872" t="s">
        <v>16092</v>
      </c>
      <c r="AC872" t="s">
        <v>16093</v>
      </c>
      <c r="AD872" t="s">
        <v>16094</v>
      </c>
      <c r="AE872" t="s">
        <v>16095</v>
      </c>
      <c r="AF872" t="s">
        <v>74</v>
      </c>
      <c r="AG872">
        <v>61</v>
      </c>
      <c r="AH872">
        <v>42</v>
      </c>
      <c r="AI872">
        <v>45</v>
      </c>
      <c r="AJ872">
        <v>0</v>
      </c>
      <c r="AK872">
        <v>25</v>
      </c>
      <c r="AL872" t="s">
        <v>3775</v>
      </c>
      <c r="AM872" t="s">
        <v>3776</v>
      </c>
      <c r="AN872" t="s">
        <v>3777</v>
      </c>
      <c r="AO872" t="s">
        <v>7788</v>
      </c>
      <c r="AP872" t="s">
        <v>74</v>
      </c>
      <c r="AQ872" t="s">
        <v>74</v>
      </c>
      <c r="AR872" t="s">
        <v>7790</v>
      </c>
      <c r="AS872" t="s">
        <v>7791</v>
      </c>
      <c r="AT872" t="s">
        <v>15792</v>
      </c>
      <c r="AU872">
        <v>2011</v>
      </c>
      <c r="AV872">
        <v>41</v>
      </c>
      <c r="AW872">
        <v>9</v>
      </c>
      <c r="AX872" t="s">
        <v>74</v>
      </c>
      <c r="AY872" t="s">
        <v>74</v>
      </c>
      <c r="AZ872" t="s">
        <v>74</v>
      </c>
      <c r="BA872" t="s">
        <v>74</v>
      </c>
      <c r="BB872">
        <v>1756</v>
      </c>
      <c r="BC872">
        <v>1771</v>
      </c>
      <c r="BD872" t="s">
        <v>74</v>
      </c>
      <c r="BE872" t="s">
        <v>16096</v>
      </c>
      <c r="BF872" t="str">
        <f>HYPERLINK("http://dx.doi.org/10.1175/2011JPO4586.1","http://dx.doi.org/10.1175/2011JPO4586.1")</f>
        <v>http://dx.doi.org/10.1175/2011JPO4586.1</v>
      </c>
      <c r="BG872" t="s">
        <v>74</v>
      </c>
      <c r="BH872" t="s">
        <v>74</v>
      </c>
      <c r="BI872">
        <v>16</v>
      </c>
      <c r="BJ872" t="s">
        <v>496</v>
      </c>
      <c r="BK872" t="s">
        <v>100</v>
      </c>
      <c r="BL872" t="s">
        <v>496</v>
      </c>
      <c r="BM872" t="s">
        <v>16097</v>
      </c>
      <c r="BN872" t="s">
        <v>74</v>
      </c>
      <c r="BO872" t="s">
        <v>74</v>
      </c>
      <c r="BP872" t="s">
        <v>74</v>
      </c>
      <c r="BQ872" t="s">
        <v>74</v>
      </c>
      <c r="BR872" t="s">
        <v>102</v>
      </c>
      <c r="BS872" t="s">
        <v>16098</v>
      </c>
      <c r="BT872" t="str">
        <f>HYPERLINK("https%3A%2F%2Fwww.webofscience.com%2Fwos%2Fwoscc%2Ffull-record%2FWOS:000295442200013","View Full Record in Web of Science")</f>
        <v>View Full Record in Web of Science</v>
      </c>
    </row>
    <row r="873" spans="1:72" x14ac:dyDescent="0.15">
      <c r="A873" t="s">
        <v>72</v>
      </c>
      <c r="B873" t="s">
        <v>16099</v>
      </c>
      <c r="C873" t="s">
        <v>74</v>
      </c>
      <c r="D873" t="s">
        <v>74</v>
      </c>
      <c r="E873" t="s">
        <v>74</v>
      </c>
      <c r="F873" t="s">
        <v>16100</v>
      </c>
      <c r="G873" t="s">
        <v>74</v>
      </c>
      <c r="H873" t="s">
        <v>74</v>
      </c>
      <c r="I873" t="s">
        <v>16101</v>
      </c>
      <c r="J873" t="s">
        <v>7775</v>
      </c>
      <c r="K873" t="s">
        <v>74</v>
      </c>
      <c r="L873" t="s">
        <v>74</v>
      </c>
      <c r="M873" t="s">
        <v>78</v>
      </c>
      <c r="N873" t="s">
        <v>79</v>
      </c>
      <c r="O873" t="s">
        <v>74</v>
      </c>
      <c r="P873" t="s">
        <v>74</v>
      </c>
      <c r="Q873" t="s">
        <v>74</v>
      </c>
      <c r="R873" t="s">
        <v>74</v>
      </c>
      <c r="S873" t="s">
        <v>74</v>
      </c>
      <c r="T873" t="s">
        <v>74</v>
      </c>
      <c r="U873" t="s">
        <v>16102</v>
      </c>
      <c r="V873" t="s">
        <v>16103</v>
      </c>
      <c r="W873" t="s">
        <v>16104</v>
      </c>
      <c r="X873" t="s">
        <v>1517</v>
      </c>
      <c r="Y873" t="s">
        <v>16105</v>
      </c>
      <c r="Z873" t="s">
        <v>16106</v>
      </c>
      <c r="AA873" t="s">
        <v>74</v>
      </c>
      <c r="AB873" t="s">
        <v>16107</v>
      </c>
      <c r="AC873" t="s">
        <v>16108</v>
      </c>
      <c r="AD873" t="s">
        <v>16109</v>
      </c>
      <c r="AE873" t="s">
        <v>16110</v>
      </c>
      <c r="AF873" t="s">
        <v>74</v>
      </c>
      <c r="AG873">
        <v>42</v>
      </c>
      <c r="AH873">
        <v>88</v>
      </c>
      <c r="AI873">
        <v>98</v>
      </c>
      <c r="AJ873">
        <v>0</v>
      </c>
      <c r="AK873">
        <v>32</v>
      </c>
      <c r="AL873" t="s">
        <v>3775</v>
      </c>
      <c r="AM873" t="s">
        <v>3776</v>
      </c>
      <c r="AN873" t="s">
        <v>3777</v>
      </c>
      <c r="AO873" t="s">
        <v>7788</v>
      </c>
      <c r="AP873" t="s">
        <v>74</v>
      </c>
      <c r="AQ873" t="s">
        <v>74</v>
      </c>
      <c r="AR873" t="s">
        <v>7790</v>
      </c>
      <c r="AS873" t="s">
        <v>7791</v>
      </c>
      <c r="AT873" t="s">
        <v>15792</v>
      </c>
      <c r="AU873">
        <v>2011</v>
      </c>
      <c r="AV873">
        <v>41</v>
      </c>
      <c r="AW873">
        <v>9</v>
      </c>
      <c r="AX873" t="s">
        <v>74</v>
      </c>
      <c r="AY873" t="s">
        <v>74</v>
      </c>
      <c r="AZ873" t="s">
        <v>74</v>
      </c>
      <c r="BA873" t="s">
        <v>74</v>
      </c>
      <c r="BB873">
        <v>1795</v>
      </c>
      <c r="BC873">
        <v>1810</v>
      </c>
      <c r="BD873" t="s">
        <v>74</v>
      </c>
      <c r="BE873" t="s">
        <v>16111</v>
      </c>
      <c r="BF873" t="str">
        <f>HYPERLINK("http://dx.doi.org/10.1175/2011JPO4570.1","http://dx.doi.org/10.1175/2011JPO4570.1")</f>
        <v>http://dx.doi.org/10.1175/2011JPO4570.1</v>
      </c>
      <c r="BG873" t="s">
        <v>74</v>
      </c>
      <c r="BH873" t="s">
        <v>74</v>
      </c>
      <c r="BI873">
        <v>16</v>
      </c>
      <c r="BJ873" t="s">
        <v>496</v>
      </c>
      <c r="BK873" t="s">
        <v>100</v>
      </c>
      <c r="BL873" t="s">
        <v>496</v>
      </c>
      <c r="BM873" t="s">
        <v>16097</v>
      </c>
      <c r="BN873" t="s">
        <v>74</v>
      </c>
      <c r="BO873" t="s">
        <v>365</v>
      </c>
      <c r="BP873" t="s">
        <v>74</v>
      </c>
      <c r="BQ873" t="s">
        <v>74</v>
      </c>
      <c r="BR873" t="s">
        <v>102</v>
      </c>
      <c r="BS873" t="s">
        <v>16112</v>
      </c>
      <c r="BT873" t="str">
        <f>HYPERLINK("https%3A%2F%2Fwww.webofscience.com%2Fwos%2Fwoscc%2Ffull-record%2FWOS:000295442200015","View Full Record in Web of Science")</f>
        <v>View Full Record in Web of Science</v>
      </c>
    </row>
    <row r="874" spans="1:72" x14ac:dyDescent="0.15">
      <c r="A874" t="s">
        <v>72</v>
      </c>
      <c r="B874" t="s">
        <v>16113</v>
      </c>
      <c r="C874" t="s">
        <v>74</v>
      </c>
      <c r="D874" t="s">
        <v>74</v>
      </c>
      <c r="E874" t="s">
        <v>74</v>
      </c>
      <c r="F874" t="s">
        <v>16114</v>
      </c>
      <c r="G874" t="s">
        <v>74</v>
      </c>
      <c r="H874" t="s">
        <v>74</v>
      </c>
      <c r="I874" t="s">
        <v>16115</v>
      </c>
      <c r="J874" t="s">
        <v>9936</v>
      </c>
      <c r="K874" t="s">
        <v>74</v>
      </c>
      <c r="L874" t="s">
        <v>74</v>
      </c>
      <c r="M874" t="s">
        <v>78</v>
      </c>
      <c r="N874" t="s">
        <v>79</v>
      </c>
      <c r="O874" t="s">
        <v>74</v>
      </c>
      <c r="P874" t="s">
        <v>74</v>
      </c>
      <c r="Q874" t="s">
        <v>74</v>
      </c>
      <c r="R874" t="s">
        <v>74</v>
      </c>
      <c r="S874" t="s">
        <v>74</v>
      </c>
      <c r="T874" t="s">
        <v>16116</v>
      </c>
      <c r="U874" t="s">
        <v>16117</v>
      </c>
      <c r="V874" t="s">
        <v>16118</v>
      </c>
      <c r="W874" t="s">
        <v>16119</v>
      </c>
      <c r="X874" t="s">
        <v>12713</v>
      </c>
      <c r="Y874" t="s">
        <v>16120</v>
      </c>
      <c r="Z874" t="s">
        <v>16121</v>
      </c>
      <c r="AA874" t="s">
        <v>74</v>
      </c>
      <c r="AB874" t="s">
        <v>74</v>
      </c>
      <c r="AC874" t="s">
        <v>16122</v>
      </c>
      <c r="AD874" t="s">
        <v>16122</v>
      </c>
      <c r="AE874" t="s">
        <v>16123</v>
      </c>
      <c r="AF874" t="s">
        <v>74</v>
      </c>
      <c r="AG874">
        <v>63</v>
      </c>
      <c r="AH874">
        <v>18</v>
      </c>
      <c r="AI874">
        <v>19</v>
      </c>
      <c r="AJ874">
        <v>0</v>
      </c>
      <c r="AK874">
        <v>5</v>
      </c>
      <c r="AL874" t="s">
        <v>4160</v>
      </c>
      <c r="AM874" t="s">
        <v>4161</v>
      </c>
      <c r="AN874" t="s">
        <v>4162</v>
      </c>
      <c r="AO874" t="s">
        <v>9949</v>
      </c>
      <c r="AP874" t="s">
        <v>74</v>
      </c>
      <c r="AQ874" t="s">
        <v>74</v>
      </c>
      <c r="AR874" t="s">
        <v>9950</v>
      </c>
      <c r="AS874" t="s">
        <v>9951</v>
      </c>
      <c r="AT874" t="s">
        <v>15792</v>
      </c>
      <c r="AU874">
        <v>2011</v>
      </c>
      <c r="AV874">
        <v>533</v>
      </c>
      <c r="AW874" t="s">
        <v>74</v>
      </c>
      <c r="AX874" t="s">
        <v>74</v>
      </c>
      <c r="AY874" t="s">
        <v>74</v>
      </c>
      <c r="AZ874" t="s">
        <v>74</v>
      </c>
      <c r="BA874" t="s">
        <v>74</v>
      </c>
      <c r="BB874" t="s">
        <v>74</v>
      </c>
      <c r="BC874" t="s">
        <v>74</v>
      </c>
      <c r="BD874" t="s">
        <v>16124</v>
      </c>
      <c r="BE874" t="s">
        <v>16125</v>
      </c>
      <c r="BF874" t="str">
        <f>HYPERLINK("http://dx.doi.org/10.1051/0004-6361/201117538","http://dx.doi.org/10.1051/0004-6361/201117538")</f>
        <v>http://dx.doi.org/10.1051/0004-6361/201117538</v>
      </c>
      <c r="BG874" t="s">
        <v>74</v>
      </c>
      <c r="BH874" t="s">
        <v>74</v>
      </c>
      <c r="BI874">
        <v>4</v>
      </c>
      <c r="BJ874" t="s">
        <v>5208</v>
      </c>
      <c r="BK874" t="s">
        <v>100</v>
      </c>
      <c r="BL874" t="s">
        <v>5208</v>
      </c>
      <c r="BM874" t="s">
        <v>16126</v>
      </c>
      <c r="BN874" t="s">
        <v>74</v>
      </c>
      <c r="BO874" t="s">
        <v>3786</v>
      </c>
      <c r="BP874" t="s">
        <v>74</v>
      </c>
      <c r="BQ874" t="s">
        <v>74</v>
      </c>
      <c r="BR874" t="s">
        <v>102</v>
      </c>
      <c r="BS874" t="s">
        <v>16127</v>
      </c>
      <c r="BT874" t="str">
        <f>HYPERLINK("https%3A%2F%2Fwww.webofscience.com%2Fwos%2Fwoscc%2Ffull-record%2FWOS:000295168100152","View Full Record in Web of Science")</f>
        <v>View Full Record in Web of Science</v>
      </c>
    </row>
    <row r="875" spans="1:72" x14ac:dyDescent="0.15">
      <c r="A875" t="s">
        <v>72</v>
      </c>
      <c r="B875" t="s">
        <v>16128</v>
      </c>
      <c r="C875" t="s">
        <v>74</v>
      </c>
      <c r="D875" t="s">
        <v>74</v>
      </c>
      <c r="E875" t="s">
        <v>74</v>
      </c>
      <c r="F875" t="s">
        <v>16129</v>
      </c>
      <c r="G875" t="s">
        <v>74</v>
      </c>
      <c r="H875" t="s">
        <v>74</v>
      </c>
      <c r="I875" t="s">
        <v>16130</v>
      </c>
      <c r="J875" t="s">
        <v>13098</v>
      </c>
      <c r="K875" t="s">
        <v>74</v>
      </c>
      <c r="L875" t="s">
        <v>74</v>
      </c>
      <c r="M875" t="s">
        <v>78</v>
      </c>
      <c r="N875" t="s">
        <v>79</v>
      </c>
      <c r="O875" t="s">
        <v>74</v>
      </c>
      <c r="P875" t="s">
        <v>74</v>
      </c>
      <c r="Q875" t="s">
        <v>74</v>
      </c>
      <c r="R875" t="s">
        <v>74</v>
      </c>
      <c r="S875" t="s">
        <v>74</v>
      </c>
      <c r="T875" t="s">
        <v>16131</v>
      </c>
      <c r="U875" t="s">
        <v>16132</v>
      </c>
      <c r="V875" t="s">
        <v>16133</v>
      </c>
      <c r="W875" t="s">
        <v>16134</v>
      </c>
      <c r="X875" t="s">
        <v>16135</v>
      </c>
      <c r="Y875" t="s">
        <v>16136</v>
      </c>
      <c r="Z875" t="s">
        <v>16137</v>
      </c>
      <c r="AA875" t="s">
        <v>16138</v>
      </c>
      <c r="AB875" t="s">
        <v>12363</v>
      </c>
      <c r="AC875" t="s">
        <v>16139</v>
      </c>
      <c r="AD875" t="s">
        <v>16139</v>
      </c>
      <c r="AE875" t="s">
        <v>16140</v>
      </c>
      <c r="AF875" t="s">
        <v>74</v>
      </c>
      <c r="AG875">
        <v>27</v>
      </c>
      <c r="AH875">
        <v>4</v>
      </c>
      <c r="AI875">
        <v>4</v>
      </c>
      <c r="AJ875">
        <v>1</v>
      </c>
      <c r="AK875">
        <v>8</v>
      </c>
      <c r="AL875" t="s">
        <v>155</v>
      </c>
      <c r="AM875" t="s">
        <v>156</v>
      </c>
      <c r="AN875" t="s">
        <v>157</v>
      </c>
      <c r="AO875" t="s">
        <v>13111</v>
      </c>
      <c r="AP875" t="s">
        <v>74</v>
      </c>
      <c r="AQ875" t="s">
        <v>74</v>
      </c>
      <c r="AR875" t="s">
        <v>13098</v>
      </c>
      <c r="AS875" t="s">
        <v>13113</v>
      </c>
      <c r="AT875" t="s">
        <v>15792</v>
      </c>
      <c r="AU875">
        <v>2011</v>
      </c>
      <c r="AV875">
        <v>85</v>
      </c>
      <c r="AW875">
        <v>1</v>
      </c>
      <c r="AX875" t="s">
        <v>74</v>
      </c>
      <c r="AY875" t="s">
        <v>74</v>
      </c>
      <c r="AZ875" t="s">
        <v>74</v>
      </c>
      <c r="BA875" t="s">
        <v>74</v>
      </c>
      <c r="BB875">
        <v>1</v>
      </c>
      <c r="BC875">
        <v>6</v>
      </c>
      <c r="BD875" t="s">
        <v>74</v>
      </c>
      <c r="BE875" t="s">
        <v>16141</v>
      </c>
      <c r="BF875" t="str">
        <f>HYPERLINK("http://dx.doi.org/10.1016/j.chemosphere.2011.06.065","http://dx.doi.org/10.1016/j.chemosphere.2011.06.065")</f>
        <v>http://dx.doi.org/10.1016/j.chemosphere.2011.06.065</v>
      </c>
      <c r="BG875" t="s">
        <v>74</v>
      </c>
      <c r="BH875" t="s">
        <v>74</v>
      </c>
      <c r="BI875">
        <v>6</v>
      </c>
      <c r="BJ875" t="s">
        <v>2924</v>
      </c>
      <c r="BK875" t="s">
        <v>100</v>
      </c>
      <c r="BL875" t="s">
        <v>2837</v>
      </c>
      <c r="BM875" t="s">
        <v>16142</v>
      </c>
      <c r="BN875">
        <v>21741674</v>
      </c>
      <c r="BO875" t="s">
        <v>316</v>
      </c>
      <c r="BP875" t="s">
        <v>74</v>
      </c>
      <c r="BQ875" t="s">
        <v>74</v>
      </c>
      <c r="BR875" t="s">
        <v>102</v>
      </c>
      <c r="BS875" t="s">
        <v>16143</v>
      </c>
      <c r="BT875" t="str">
        <f>HYPERLINK("https%3A%2F%2Fwww.webofscience.com%2Fwos%2Fwoscc%2Ffull-record%2FWOS:000295307800001","View Full Record in Web of Science")</f>
        <v>View Full Record in Web of Science</v>
      </c>
    </row>
    <row r="876" spans="1:72" x14ac:dyDescent="0.15">
      <c r="A876" t="s">
        <v>72</v>
      </c>
      <c r="B876" t="s">
        <v>16144</v>
      </c>
      <c r="C876" t="s">
        <v>74</v>
      </c>
      <c r="D876" t="s">
        <v>74</v>
      </c>
      <c r="E876" t="s">
        <v>74</v>
      </c>
      <c r="F876" t="s">
        <v>16145</v>
      </c>
      <c r="G876" t="s">
        <v>74</v>
      </c>
      <c r="H876" t="s">
        <v>74</v>
      </c>
      <c r="I876" t="s">
        <v>16146</v>
      </c>
      <c r="J876" t="s">
        <v>16147</v>
      </c>
      <c r="K876" t="s">
        <v>74</v>
      </c>
      <c r="L876" t="s">
        <v>74</v>
      </c>
      <c r="M876" t="s">
        <v>78</v>
      </c>
      <c r="N876" t="s">
        <v>79</v>
      </c>
      <c r="O876" t="s">
        <v>74</v>
      </c>
      <c r="P876" t="s">
        <v>74</v>
      </c>
      <c r="Q876" t="s">
        <v>74</v>
      </c>
      <c r="R876" t="s">
        <v>74</v>
      </c>
      <c r="S876" t="s">
        <v>74</v>
      </c>
      <c r="T876" t="s">
        <v>16148</v>
      </c>
      <c r="U876" t="s">
        <v>16149</v>
      </c>
      <c r="V876" t="s">
        <v>16150</v>
      </c>
      <c r="W876" t="s">
        <v>16151</v>
      </c>
      <c r="X876" t="s">
        <v>16152</v>
      </c>
      <c r="Y876" t="s">
        <v>16153</v>
      </c>
      <c r="Z876" t="s">
        <v>16154</v>
      </c>
      <c r="AA876" t="s">
        <v>16155</v>
      </c>
      <c r="AB876" t="s">
        <v>16156</v>
      </c>
      <c r="AC876" t="s">
        <v>16157</v>
      </c>
      <c r="AD876" t="s">
        <v>16158</v>
      </c>
      <c r="AE876" t="s">
        <v>16159</v>
      </c>
      <c r="AF876" t="s">
        <v>74</v>
      </c>
      <c r="AG876">
        <v>25</v>
      </c>
      <c r="AH876">
        <v>7</v>
      </c>
      <c r="AI876">
        <v>7</v>
      </c>
      <c r="AJ876">
        <v>0</v>
      </c>
      <c r="AK876">
        <v>8</v>
      </c>
      <c r="AL876" t="s">
        <v>16160</v>
      </c>
      <c r="AM876" t="s">
        <v>4967</v>
      </c>
      <c r="AN876" t="s">
        <v>16161</v>
      </c>
      <c r="AO876" t="s">
        <v>16162</v>
      </c>
      <c r="AP876" t="s">
        <v>74</v>
      </c>
      <c r="AQ876" t="s">
        <v>74</v>
      </c>
      <c r="AR876" t="s">
        <v>16163</v>
      </c>
      <c r="AS876" t="s">
        <v>16164</v>
      </c>
      <c r="AT876" t="s">
        <v>15792</v>
      </c>
      <c r="AU876">
        <v>2011</v>
      </c>
      <c r="AV876">
        <v>12</v>
      </c>
      <c r="AW876">
        <v>9</v>
      </c>
      <c r="AX876" t="s">
        <v>74</v>
      </c>
      <c r="AY876" t="s">
        <v>74</v>
      </c>
      <c r="AZ876" t="s">
        <v>74</v>
      </c>
      <c r="BA876" t="s">
        <v>74</v>
      </c>
      <c r="BB876">
        <v>6312</v>
      </c>
      <c r="BC876">
        <v>6319</v>
      </c>
      <c r="BD876" t="s">
        <v>74</v>
      </c>
      <c r="BE876" t="s">
        <v>16165</v>
      </c>
      <c r="BF876" t="str">
        <f>HYPERLINK("http://dx.doi.org/10.3390/ijms12096312","http://dx.doi.org/10.3390/ijms12096312")</f>
        <v>http://dx.doi.org/10.3390/ijms12096312</v>
      </c>
      <c r="BG876" t="s">
        <v>74</v>
      </c>
      <c r="BH876" t="s">
        <v>74</v>
      </c>
      <c r="BI876">
        <v>8</v>
      </c>
      <c r="BJ876" t="s">
        <v>16166</v>
      </c>
      <c r="BK876" t="s">
        <v>100</v>
      </c>
      <c r="BL876" t="s">
        <v>7302</v>
      </c>
      <c r="BM876" t="s">
        <v>16167</v>
      </c>
      <c r="BN876">
        <v>22016660</v>
      </c>
      <c r="BO876" t="s">
        <v>10328</v>
      </c>
      <c r="BP876" t="s">
        <v>74</v>
      </c>
      <c r="BQ876" t="s">
        <v>74</v>
      </c>
      <c r="BR876" t="s">
        <v>102</v>
      </c>
      <c r="BS876" t="s">
        <v>16168</v>
      </c>
      <c r="BT876" t="str">
        <f>HYPERLINK("https%3A%2F%2Fwww.webofscience.com%2Fwos%2Fwoscc%2Ffull-record%2FWOS:000295213600059","View Full Record in Web of Science")</f>
        <v>View Full Record in Web of Science</v>
      </c>
    </row>
    <row r="877" spans="1:72" x14ac:dyDescent="0.15">
      <c r="A877" t="s">
        <v>72</v>
      </c>
      <c r="B877" t="s">
        <v>16169</v>
      </c>
      <c r="C877" t="s">
        <v>74</v>
      </c>
      <c r="D877" t="s">
        <v>74</v>
      </c>
      <c r="E877" t="s">
        <v>74</v>
      </c>
      <c r="F877" t="s">
        <v>16170</v>
      </c>
      <c r="G877" t="s">
        <v>74</v>
      </c>
      <c r="H877" t="s">
        <v>74</v>
      </c>
      <c r="I877" t="s">
        <v>16171</v>
      </c>
      <c r="J877" t="s">
        <v>16172</v>
      </c>
      <c r="K877" t="s">
        <v>74</v>
      </c>
      <c r="L877" t="s">
        <v>74</v>
      </c>
      <c r="M877" t="s">
        <v>78</v>
      </c>
      <c r="N877" t="s">
        <v>79</v>
      </c>
      <c r="O877" t="s">
        <v>74</v>
      </c>
      <c r="P877" t="s">
        <v>74</v>
      </c>
      <c r="Q877" t="s">
        <v>74</v>
      </c>
      <c r="R877" t="s">
        <v>74</v>
      </c>
      <c r="S877" t="s">
        <v>74</v>
      </c>
      <c r="T877" t="s">
        <v>16173</v>
      </c>
      <c r="U877" t="s">
        <v>16174</v>
      </c>
      <c r="V877" t="s">
        <v>16175</v>
      </c>
      <c r="W877" t="s">
        <v>16176</v>
      </c>
      <c r="X877" t="s">
        <v>16177</v>
      </c>
      <c r="Y877" t="s">
        <v>16178</v>
      </c>
      <c r="Z877" t="s">
        <v>16179</v>
      </c>
      <c r="AA877" t="s">
        <v>74</v>
      </c>
      <c r="AB877" t="s">
        <v>16180</v>
      </c>
      <c r="AC877" t="s">
        <v>74</v>
      </c>
      <c r="AD877" t="s">
        <v>74</v>
      </c>
      <c r="AE877" t="s">
        <v>74</v>
      </c>
      <c r="AF877" t="s">
        <v>74</v>
      </c>
      <c r="AG877">
        <v>19</v>
      </c>
      <c r="AH877">
        <v>1</v>
      </c>
      <c r="AI877">
        <v>3</v>
      </c>
      <c r="AJ877">
        <v>0</v>
      </c>
      <c r="AK877">
        <v>0</v>
      </c>
      <c r="AL877" t="s">
        <v>16181</v>
      </c>
      <c r="AM877" t="s">
        <v>7259</v>
      </c>
      <c r="AN877" t="s">
        <v>16182</v>
      </c>
      <c r="AO877" t="s">
        <v>16183</v>
      </c>
      <c r="AP877" t="s">
        <v>16184</v>
      </c>
      <c r="AQ877" t="s">
        <v>74</v>
      </c>
      <c r="AR877" t="s">
        <v>16185</v>
      </c>
      <c r="AS877" t="s">
        <v>16186</v>
      </c>
      <c r="AT877" t="s">
        <v>15792</v>
      </c>
      <c r="AU877">
        <v>2011</v>
      </c>
      <c r="AV877">
        <v>78</v>
      </c>
      <c r="AW877">
        <v>3</v>
      </c>
      <c r="AX877" t="s">
        <v>74</v>
      </c>
      <c r="AY877" t="s">
        <v>74</v>
      </c>
      <c r="AZ877" t="s">
        <v>74</v>
      </c>
      <c r="BA877" t="s">
        <v>74</v>
      </c>
      <c r="BB877">
        <v>211</v>
      </c>
      <c r="BC877">
        <v>216</v>
      </c>
      <c r="BD877" t="s">
        <v>74</v>
      </c>
      <c r="BE877" t="s">
        <v>16187</v>
      </c>
      <c r="BF877" t="str">
        <f>HYPERLINK("http://dx.doi.org/10.1007/s12594-011-0092-6","http://dx.doi.org/10.1007/s12594-011-0092-6")</f>
        <v>http://dx.doi.org/10.1007/s12594-011-0092-6</v>
      </c>
      <c r="BG877" t="s">
        <v>74</v>
      </c>
      <c r="BH877" t="s">
        <v>74</v>
      </c>
      <c r="BI877">
        <v>6</v>
      </c>
      <c r="BJ877" t="s">
        <v>287</v>
      </c>
      <c r="BK877" t="s">
        <v>100</v>
      </c>
      <c r="BL877" t="s">
        <v>288</v>
      </c>
      <c r="BM877" t="s">
        <v>16188</v>
      </c>
      <c r="BN877" t="s">
        <v>74</v>
      </c>
      <c r="BO877" t="s">
        <v>74</v>
      </c>
      <c r="BP877" t="s">
        <v>74</v>
      </c>
      <c r="BQ877" t="s">
        <v>74</v>
      </c>
      <c r="BR877" t="s">
        <v>102</v>
      </c>
      <c r="BS877" t="s">
        <v>16189</v>
      </c>
      <c r="BT877" t="str">
        <f>HYPERLINK("https%3A%2F%2Fwww.webofscience.com%2Fwos%2Fwoscc%2Ffull-record%2FWOS:000295167400002","View Full Record in Web of Science")</f>
        <v>View Full Record in Web of Science</v>
      </c>
    </row>
    <row r="878" spans="1:72" x14ac:dyDescent="0.15">
      <c r="A878" t="s">
        <v>72</v>
      </c>
      <c r="B878" t="s">
        <v>16190</v>
      </c>
      <c r="C878" t="s">
        <v>74</v>
      </c>
      <c r="D878" t="s">
        <v>74</v>
      </c>
      <c r="E878" t="s">
        <v>74</v>
      </c>
      <c r="F878" t="s">
        <v>16191</v>
      </c>
      <c r="G878" t="s">
        <v>74</v>
      </c>
      <c r="H878" t="s">
        <v>74</v>
      </c>
      <c r="I878" t="s">
        <v>16192</v>
      </c>
      <c r="J878" t="s">
        <v>16172</v>
      </c>
      <c r="K878" t="s">
        <v>74</v>
      </c>
      <c r="L878" t="s">
        <v>74</v>
      </c>
      <c r="M878" t="s">
        <v>78</v>
      </c>
      <c r="N878" t="s">
        <v>79</v>
      </c>
      <c r="O878" t="s">
        <v>74</v>
      </c>
      <c r="P878" t="s">
        <v>74</v>
      </c>
      <c r="Q878" t="s">
        <v>74</v>
      </c>
      <c r="R878" t="s">
        <v>74</v>
      </c>
      <c r="S878" t="s">
        <v>74</v>
      </c>
      <c r="T878" t="s">
        <v>16193</v>
      </c>
      <c r="U878" t="s">
        <v>16194</v>
      </c>
      <c r="V878" t="s">
        <v>16195</v>
      </c>
      <c r="W878" t="s">
        <v>16196</v>
      </c>
      <c r="X878" t="s">
        <v>16197</v>
      </c>
      <c r="Y878" t="s">
        <v>16198</v>
      </c>
      <c r="Z878" t="s">
        <v>16199</v>
      </c>
      <c r="AA878" t="s">
        <v>74</v>
      </c>
      <c r="AB878" t="s">
        <v>74</v>
      </c>
      <c r="AC878" t="s">
        <v>74</v>
      </c>
      <c r="AD878" t="s">
        <v>74</v>
      </c>
      <c r="AE878" t="s">
        <v>74</v>
      </c>
      <c r="AF878" t="s">
        <v>74</v>
      </c>
      <c r="AG878">
        <v>20</v>
      </c>
      <c r="AH878">
        <v>5</v>
      </c>
      <c r="AI878">
        <v>8</v>
      </c>
      <c r="AJ878">
        <v>0</v>
      </c>
      <c r="AK878">
        <v>2</v>
      </c>
      <c r="AL878" t="s">
        <v>16181</v>
      </c>
      <c r="AM878" t="s">
        <v>7259</v>
      </c>
      <c r="AN878" t="s">
        <v>16182</v>
      </c>
      <c r="AO878" t="s">
        <v>16183</v>
      </c>
      <c r="AP878" t="s">
        <v>16184</v>
      </c>
      <c r="AQ878" t="s">
        <v>74</v>
      </c>
      <c r="AR878" t="s">
        <v>16185</v>
      </c>
      <c r="AS878" t="s">
        <v>16186</v>
      </c>
      <c r="AT878" t="s">
        <v>15792</v>
      </c>
      <c r="AU878">
        <v>2011</v>
      </c>
      <c r="AV878">
        <v>78</v>
      </c>
      <c r="AW878">
        <v>3</v>
      </c>
      <c r="AX878" t="s">
        <v>74</v>
      </c>
      <c r="AY878" t="s">
        <v>74</v>
      </c>
      <c r="AZ878" t="s">
        <v>74</v>
      </c>
      <c r="BA878" t="s">
        <v>74</v>
      </c>
      <c r="BB878">
        <v>217</v>
      </c>
      <c r="BC878">
        <v>225</v>
      </c>
      <c r="BD878" t="s">
        <v>74</v>
      </c>
      <c r="BE878" t="s">
        <v>16200</v>
      </c>
      <c r="BF878" t="str">
        <f>HYPERLINK("http://dx.doi.org/10.1007/s12594-011-0085-5","http://dx.doi.org/10.1007/s12594-011-0085-5")</f>
        <v>http://dx.doi.org/10.1007/s12594-011-0085-5</v>
      </c>
      <c r="BG878" t="s">
        <v>74</v>
      </c>
      <c r="BH878" t="s">
        <v>74</v>
      </c>
      <c r="BI878">
        <v>9</v>
      </c>
      <c r="BJ878" t="s">
        <v>287</v>
      </c>
      <c r="BK878" t="s">
        <v>100</v>
      </c>
      <c r="BL878" t="s">
        <v>288</v>
      </c>
      <c r="BM878" t="s">
        <v>16188</v>
      </c>
      <c r="BN878" t="s">
        <v>74</v>
      </c>
      <c r="BO878" t="s">
        <v>74</v>
      </c>
      <c r="BP878" t="s">
        <v>74</v>
      </c>
      <c r="BQ878" t="s">
        <v>74</v>
      </c>
      <c r="BR878" t="s">
        <v>102</v>
      </c>
      <c r="BS878" t="s">
        <v>16201</v>
      </c>
      <c r="BT878" t="str">
        <f>HYPERLINK("https%3A%2F%2Fwww.webofscience.com%2Fwos%2Fwoscc%2Ffull-record%2FWOS:000295167400003","View Full Record in Web of Science")</f>
        <v>View Full Record in Web of Science</v>
      </c>
    </row>
    <row r="879" spans="1:72" x14ac:dyDescent="0.15">
      <c r="A879" t="s">
        <v>72</v>
      </c>
      <c r="B879" t="s">
        <v>16202</v>
      </c>
      <c r="C879" t="s">
        <v>74</v>
      </c>
      <c r="D879" t="s">
        <v>74</v>
      </c>
      <c r="E879" t="s">
        <v>74</v>
      </c>
      <c r="F879" t="s">
        <v>16203</v>
      </c>
      <c r="G879" t="s">
        <v>74</v>
      </c>
      <c r="H879" t="s">
        <v>74</v>
      </c>
      <c r="I879" t="s">
        <v>16204</v>
      </c>
      <c r="J879" t="s">
        <v>16205</v>
      </c>
      <c r="K879" t="s">
        <v>74</v>
      </c>
      <c r="L879" t="s">
        <v>74</v>
      </c>
      <c r="M879" t="s">
        <v>78</v>
      </c>
      <c r="N879" t="s">
        <v>1513</v>
      </c>
      <c r="O879" t="s">
        <v>74</v>
      </c>
      <c r="P879" t="s">
        <v>74</v>
      </c>
      <c r="Q879" t="s">
        <v>74</v>
      </c>
      <c r="R879" t="s">
        <v>74</v>
      </c>
      <c r="S879" t="s">
        <v>74</v>
      </c>
      <c r="T879" t="s">
        <v>16206</v>
      </c>
      <c r="U879" t="s">
        <v>16207</v>
      </c>
      <c r="V879" t="s">
        <v>16208</v>
      </c>
      <c r="W879" t="s">
        <v>16209</v>
      </c>
      <c r="X879" t="s">
        <v>16210</v>
      </c>
      <c r="Y879" t="s">
        <v>16211</v>
      </c>
      <c r="Z879" t="s">
        <v>16212</v>
      </c>
      <c r="AA879" t="s">
        <v>74</v>
      </c>
      <c r="AB879" t="s">
        <v>74</v>
      </c>
      <c r="AC879" t="s">
        <v>15194</v>
      </c>
      <c r="AD879" t="s">
        <v>9081</v>
      </c>
      <c r="AE879" t="s">
        <v>16213</v>
      </c>
      <c r="AF879" t="s">
        <v>74</v>
      </c>
      <c r="AG879">
        <v>38</v>
      </c>
      <c r="AH879">
        <v>60</v>
      </c>
      <c r="AI879">
        <v>63</v>
      </c>
      <c r="AJ879">
        <v>2</v>
      </c>
      <c r="AK879">
        <v>50</v>
      </c>
      <c r="AL879" t="s">
        <v>250</v>
      </c>
      <c r="AM879" t="s">
        <v>251</v>
      </c>
      <c r="AN879" t="s">
        <v>252</v>
      </c>
      <c r="AO879" t="s">
        <v>16214</v>
      </c>
      <c r="AP879" t="s">
        <v>16215</v>
      </c>
      <c r="AQ879" t="s">
        <v>74</v>
      </c>
      <c r="AR879" t="s">
        <v>16216</v>
      </c>
      <c r="AS879" t="s">
        <v>16217</v>
      </c>
      <c r="AT879" t="s">
        <v>15792</v>
      </c>
      <c r="AU879">
        <v>2011</v>
      </c>
      <c r="AV879">
        <v>32</v>
      </c>
      <c r="AW879" t="s">
        <v>16218</v>
      </c>
      <c r="AX879" t="s">
        <v>74</v>
      </c>
      <c r="AY879" t="s">
        <v>74</v>
      </c>
      <c r="AZ879" t="s">
        <v>339</v>
      </c>
      <c r="BA879" t="s">
        <v>74</v>
      </c>
      <c r="BB879">
        <v>351</v>
      </c>
      <c r="BC879">
        <v>376</v>
      </c>
      <c r="BD879" t="s">
        <v>74</v>
      </c>
      <c r="BE879" t="s">
        <v>16219</v>
      </c>
      <c r="BF879" t="str">
        <f>HYPERLINK("http://dx.doi.org/10.1007/s10712-011-9123-5","http://dx.doi.org/10.1007/s10712-011-9123-5")</f>
        <v>http://dx.doi.org/10.1007/s10712-011-9123-5</v>
      </c>
      <c r="BG879" t="s">
        <v>74</v>
      </c>
      <c r="BH879" t="s">
        <v>74</v>
      </c>
      <c r="BI879">
        <v>26</v>
      </c>
      <c r="BJ879" t="s">
        <v>164</v>
      </c>
      <c r="BK879" t="s">
        <v>100</v>
      </c>
      <c r="BL879" t="s">
        <v>164</v>
      </c>
      <c r="BM879" t="s">
        <v>16220</v>
      </c>
      <c r="BN879" t="s">
        <v>74</v>
      </c>
      <c r="BO879" t="s">
        <v>12228</v>
      </c>
      <c r="BP879" t="s">
        <v>74</v>
      </c>
      <c r="BQ879" t="s">
        <v>74</v>
      </c>
      <c r="BR879" t="s">
        <v>102</v>
      </c>
      <c r="BS879" t="s">
        <v>16221</v>
      </c>
      <c r="BT879" t="str">
        <f>HYPERLINK("https%3A%2F%2Fwww.webofscience.com%2Fwos%2Fwoscc%2Ffull-record%2FWOS:000295332800004","View Full Record in Web of Science")</f>
        <v>View Full Record in Web of Science</v>
      </c>
    </row>
    <row r="880" spans="1:72" x14ac:dyDescent="0.15">
      <c r="A880" t="s">
        <v>72</v>
      </c>
      <c r="B880" t="s">
        <v>16222</v>
      </c>
      <c r="C880" t="s">
        <v>74</v>
      </c>
      <c r="D880" t="s">
        <v>74</v>
      </c>
      <c r="E880" t="s">
        <v>74</v>
      </c>
      <c r="F880" t="s">
        <v>16223</v>
      </c>
      <c r="G880" t="s">
        <v>74</v>
      </c>
      <c r="H880" t="s">
        <v>74</v>
      </c>
      <c r="I880" t="s">
        <v>16224</v>
      </c>
      <c r="J880" t="s">
        <v>16205</v>
      </c>
      <c r="K880" t="s">
        <v>74</v>
      </c>
      <c r="L880" t="s">
        <v>74</v>
      </c>
      <c r="M880" t="s">
        <v>78</v>
      </c>
      <c r="N880" t="s">
        <v>1513</v>
      </c>
      <c r="O880" t="s">
        <v>74</v>
      </c>
      <c r="P880" t="s">
        <v>74</v>
      </c>
      <c r="Q880" t="s">
        <v>74</v>
      </c>
      <c r="R880" t="s">
        <v>74</v>
      </c>
      <c r="S880" t="s">
        <v>74</v>
      </c>
      <c r="T880" t="s">
        <v>16225</v>
      </c>
      <c r="U880" t="s">
        <v>16226</v>
      </c>
      <c r="V880" t="s">
        <v>16227</v>
      </c>
      <c r="W880" t="s">
        <v>16228</v>
      </c>
      <c r="X880" t="s">
        <v>16229</v>
      </c>
      <c r="Y880" t="s">
        <v>16230</v>
      </c>
      <c r="Z880" t="s">
        <v>16231</v>
      </c>
      <c r="AA880" t="s">
        <v>16232</v>
      </c>
      <c r="AB880" t="s">
        <v>16233</v>
      </c>
      <c r="AC880" t="s">
        <v>16234</v>
      </c>
      <c r="AD880" t="s">
        <v>16235</v>
      </c>
      <c r="AE880" t="s">
        <v>16236</v>
      </c>
      <c r="AF880" t="s">
        <v>74</v>
      </c>
      <c r="AG880">
        <v>39</v>
      </c>
      <c r="AH880">
        <v>67</v>
      </c>
      <c r="AI880">
        <v>72</v>
      </c>
      <c r="AJ880">
        <v>1</v>
      </c>
      <c r="AK880">
        <v>33</v>
      </c>
      <c r="AL880" t="s">
        <v>250</v>
      </c>
      <c r="AM880" t="s">
        <v>251</v>
      </c>
      <c r="AN880" t="s">
        <v>252</v>
      </c>
      <c r="AO880" t="s">
        <v>16214</v>
      </c>
      <c r="AP880" t="s">
        <v>16215</v>
      </c>
      <c r="AQ880" t="s">
        <v>74</v>
      </c>
      <c r="AR880" t="s">
        <v>16216</v>
      </c>
      <c r="AS880" t="s">
        <v>16217</v>
      </c>
      <c r="AT880" t="s">
        <v>15792</v>
      </c>
      <c r="AU880">
        <v>2011</v>
      </c>
      <c r="AV880">
        <v>32</v>
      </c>
      <c r="AW880" t="s">
        <v>16218</v>
      </c>
      <c r="AX880" t="s">
        <v>74</v>
      </c>
      <c r="AY880" t="s">
        <v>74</v>
      </c>
      <c r="AZ880" t="s">
        <v>339</v>
      </c>
      <c r="BA880" t="s">
        <v>74</v>
      </c>
      <c r="BB880">
        <v>397</v>
      </c>
      <c r="BC880">
        <v>416</v>
      </c>
      <c r="BD880" t="s">
        <v>74</v>
      </c>
      <c r="BE880" t="s">
        <v>16237</v>
      </c>
      <c r="BF880" t="str">
        <f>HYPERLINK("http://dx.doi.org/10.1007/s10712-011-9131-5","http://dx.doi.org/10.1007/s10712-011-9131-5")</f>
        <v>http://dx.doi.org/10.1007/s10712-011-9131-5</v>
      </c>
      <c r="BG880" t="s">
        <v>74</v>
      </c>
      <c r="BH880" t="s">
        <v>74</v>
      </c>
      <c r="BI880">
        <v>20</v>
      </c>
      <c r="BJ880" t="s">
        <v>164</v>
      </c>
      <c r="BK880" t="s">
        <v>100</v>
      </c>
      <c r="BL880" t="s">
        <v>164</v>
      </c>
      <c r="BM880" t="s">
        <v>16220</v>
      </c>
      <c r="BN880" t="s">
        <v>74</v>
      </c>
      <c r="BO880" t="s">
        <v>5302</v>
      </c>
      <c r="BP880" t="s">
        <v>74</v>
      </c>
      <c r="BQ880" t="s">
        <v>74</v>
      </c>
      <c r="BR880" t="s">
        <v>102</v>
      </c>
      <c r="BS880" t="s">
        <v>16238</v>
      </c>
      <c r="BT880" t="str">
        <f>HYPERLINK("https%3A%2F%2Fwww.webofscience.com%2Fwos%2Fwoscc%2Ffull-record%2FWOS:000295332800007","View Full Record in Web of Science")</f>
        <v>View Full Record in Web of Science</v>
      </c>
    </row>
    <row r="881" spans="1:72" x14ac:dyDescent="0.15">
      <c r="A881" t="s">
        <v>72</v>
      </c>
      <c r="B881" t="s">
        <v>16239</v>
      </c>
      <c r="C881" t="s">
        <v>74</v>
      </c>
      <c r="D881" t="s">
        <v>74</v>
      </c>
      <c r="E881" t="s">
        <v>74</v>
      </c>
      <c r="F881" t="s">
        <v>16240</v>
      </c>
      <c r="G881" t="s">
        <v>74</v>
      </c>
      <c r="H881" t="s">
        <v>74</v>
      </c>
      <c r="I881" t="s">
        <v>16241</v>
      </c>
      <c r="J881" t="s">
        <v>16205</v>
      </c>
      <c r="K881" t="s">
        <v>74</v>
      </c>
      <c r="L881" t="s">
        <v>74</v>
      </c>
      <c r="M881" t="s">
        <v>78</v>
      </c>
      <c r="N881" t="s">
        <v>1513</v>
      </c>
      <c r="O881" t="s">
        <v>74</v>
      </c>
      <c r="P881" t="s">
        <v>74</v>
      </c>
      <c r="Q881" t="s">
        <v>74</v>
      </c>
      <c r="R881" t="s">
        <v>74</v>
      </c>
      <c r="S881" t="s">
        <v>74</v>
      </c>
      <c r="T881" t="s">
        <v>16242</v>
      </c>
      <c r="U881" t="s">
        <v>16243</v>
      </c>
      <c r="V881" t="s">
        <v>16244</v>
      </c>
      <c r="W881" t="s">
        <v>16245</v>
      </c>
      <c r="X881" t="s">
        <v>16246</v>
      </c>
      <c r="Y881" t="s">
        <v>16247</v>
      </c>
      <c r="Z881" t="s">
        <v>14976</v>
      </c>
      <c r="AA881" t="s">
        <v>74</v>
      </c>
      <c r="AB881" t="s">
        <v>74</v>
      </c>
      <c r="AC881" t="s">
        <v>74</v>
      </c>
      <c r="AD881" t="s">
        <v>74</v>
      </c>
      <c r="AE881" t="s">
        <v>74</v>
      </c>
      <c r="AF881" t="s">
        <v>74</v>
      </c>
      <c r="AG881">
        <v>39</v>
      </c>
      <c r="AH881">
        <v>22</v>
      </c>
      <c r="AI881">
        <v>23</v>
      </c>
      <c r="AJ881">
        <v>2</v>
      </c>
      <c r="AK881">
        <v>19</v>
      </c>
      <c r="AL881" t="s">
        <v>250</v>
      </c>
      <c r="AM881" t="s">
        <v>251</v>
      </c>
      <c r="AN881" t="s">
        <v>252</v>
      </c>
      <c r="AO881" t="s">
        <v>16214</v>
      </c>
      <c r="AP881" t="s">
        <v>16215</v>
      </c>
      <c r="AQ881" t="s">
        <v>74</v>
      </c>
      <c r="AR881" t="s">
        <v>16216</v>
      </c>
      <c r="AS881" t="s">
        <v>16217</v>
      </c>
      <c r="AT881" t="s">
        <v>15792</v>
      </c>
      <c r="AU881">
        <v>2011</v>
      </c>
      <c r="AV881">
        <v>32</v>
      </c>
      <c r="AW881" t="s">
        <v>16218</v>
      </c>
      <c r="AX881" t="s">
        <v>74</v>
      </c>
      <c r="AY881" t="s">
        <v>74</v>
      </c>
      <c r="AZ881" t="s">
        <v>339</v>
      </c>
      <c r="BA881" t="s">
        <v>74</v>
      </c>
      <c r="BB881">
        <v>459</v>
      </c>
      <c r="BC881">
        <v>474</v>
      </c>
      <c r="BD881" t="s">
        <v>74</v>
      </c>
      <c r="BE881" t="s">
        <v>16248</v>
      </c>
      <c r="BF881" t="str">
        <f>HYPERLINK("http://dx.doi.org/10.1007/s10712-011-9120-8","http://dx.doi.org/10.1007/s10712-011-9120-8")</f>
        <v>http://dx.doi.org/10.1007/s10712-011-9120-8</v>
      </c>
      <c r="BG881" t="s">
        <v>74</v>
      </c>
      <c r="BH881" t="s">
        <v>74</v>
      </c>
      <c r="BI881">
        <v>16</v>
      </c>
      <c r="BJ881" t="s">
        <v>164</v>
      </c>
      <c r="BK881" t="s">
        <v>100</v>
      </c>
      <c r="BL881" t="s">
        <v>164</v>
      </c>
      <c r="BM881" t="s">
        <v>16220</v>
      </c>
      <c r="BN881" t="s">
        <v>74</v>
      </c>
      <c r="BO881" t="s">
        <v>182</v>
      </c>
      <c r="BP881" t="s">
        <v>74</v>
      </c>
      <c r="BQ881" t="s">
        <v>74</v>
      </c>
      <c r="BR881" t="s">
        <v>102</v>
      </c>
      <c r="BS881" t="s">
        <v>16249</v>
      </c>
      <c r="BT881" t="str">
        <f>HYPERLINK("https%3A%2F%2Fwww.webofscience.com%2Fwos%2Fwoscc%2Ffull-record%2FWOS:000295332800010","View Full Record in Web of Science")</f>
        <v>View Full Record in Web of Science</v>
      </c>
    </row>
    <row r="882" spans="1:72" x14ac:dyDescent="0.15">
      <c r="A882" t="s">
        <v>72</v>
      </c>
      <c r="B882" t="s">
        <v>16250</v>
      </c>
      <c r="C882" t="s">
        <v>74</v>
      </c>
      <c r="D882" t="s">
        <v>74</v>
      </c>
      <c r="E882" t="s">
        <v>74</v>
      </c>
      <c r="F882" t="s">
        <v>16251</v>
      </c>
      <c r="G882" t="s">
        <v>74</v>
      </c>
      <c r="H882" t="s">
        <v>74</v>
      </c>
      <c r="I882" t="s">
        <v>16252</v>
      </c>
      <c r="J882" t="s">
        <v>16205</v>
      </c>
      <c r="K882" t="s">
        <v>74</v>
      </c>
      <c r="L882" t="s">
        <v>74</v>
      </c>
      <c r="M882" t="s">
        <v>78</v>
      </c>
      <c r="N882" t="s">
        <v>1513</v>
      </c>
      <c r="O882" t="s">
        <v>74</v>
      </c>
      <c r="P882" t="s">
        <v>74</v>
      </c>
      <c r="Q882" t="s">
        <v>74</v>
      </c>
      <c r="R882" t="s">
        <v>74</v>
      </c>
      <c r="S882" t="s">
        <v>74</v>
      </c>
      <c r="T882" t="s">
        <v>16253</v>
      </c>
      <c r="U882" t="s">
        <v>16254</v>
      </c>
      <c r="V882" t="s">
        <v>16255</v>
      </c>
      <c r="W882" t="s">
        <v>16256</v>
      </c>
      <c r="X882" t="s">
        <v>16257</v>
      </c>
      <c r="Y882" t="s">
        <v>16258</v>
      </c>
      <c r="Z882" t="s">
        <v>16259</v>
      </c>
      <c r="AA882" t="s">
        <v>16260</v>
      </c>
      <c r="AB882" t="s">
        <v>74</v>
      </c>
      <c r="AC882" t="s">
        <v>16261</v>
      </c>
      <c r="AD882" t="s">
        <v>16262</v>
      </c>
      <c r="AE882" t="s">
        <v>16263</v>
      </c>
      <c r="AF882" t="s">
        <v>74</v>
      </c>
      <c r="AG882">
        <v>62</v>
      </c>
      <c r="AH882">
        <v>65</v>
      </c>
      <c r="AI882">
        <v>67</v>
      </c>
      <c r="AJ882">
        <v>0</v>
      </c>
      <c r="AK882">
        <v>26</v>
      </c>
      <c r="AL882" t="s">
        <v>250</v>
      </c>
      <c r="AM882" t="s">
        <v>251</v>
      </c>
      <c r="AN882" t="s">
        <v>252</v>
      </c>
      <c r="AO882" t="s">
        <v>16214</v>
      </c>
      <c r="AP882" t="s">
        <v>16215</v>
      </c>
      <c r="AQ882" t="s">
        <v>74</v>
      </c>
      <c r="AR882" t="s">
        <v>16216</v>
      </c>
      <c r="AS882" t="s">
        <v>16217</v>
      </c>
      <c r="AT882" t="s">
        <v>15792</v>
      </c>
      <c r="AU882">
        <v>2011</v>
      </c>
      <c r="AV882">
        <v>32</v>
      </c>
      <c r="AW882" t="s">
        <v>16218</v>
      </c>
      <c r="AX882" t="s">
        <v>74</v>
      </c>
      <c r="AY882" t="s">
        <v>74</v>
      </c>
      <c r="AZ882" t="s">
        <v>339</v>
      </c>
      <c r="BA882" t="s">
        <v>74</v>
      </c>
      <c r="BB882">
        <v>475</v>
      </c>
      <c r="BC882">
        <v>494</v>
      </c>
      <c r="BD882" t="s">
        <v>74</v>
      </c>
      <c r="BE882" t="s">
        <v>16264</v>
      </c>
      <c r="BF882" t="str">
        <f>HYPERLINK("http://dx.doi.org/10.1007/s10712-011-9114-6","http://dx.doi.org/10.1007/s10712-011-9114-6")</f>
        <v>http://dx.doi.org/10.1007/s10712-011-9114-6</v>
      </c>
      <c r="BG882" t="s">
        <v>74</v>
      </c>
      <c r="BH882" t="s">
        <v>74</v>
      </c>
      <c r="BI882">
        <v>20</v>
      </c>
      <c r="BJ882" t="s">
        <v>164</v>
      </c>
      <c r="BK882" t="s">
        <v>100</v>
      </c>
      <c r="BL882" t="s">
        <v>164</v>
      </c>
      <c r="BM882" t="s">
        <v>16220</v>
      </c>
      <c r="BN882" t="s">
        <v>74</v>
      </c>
      <c r="BO882" t="s">
        <v>74</v>
      </c>
      <c r="BP882" t="s">
        <v>74</v>
      </c>
      <c r="BQ882" t="s">
        <v>74</v>
      </c>
      <c r="BR882" t="s">
        <v>102</v>
      </c>
      <c r="BS882" t="s">
        <v>16265</v>
      </c>
      <c r="BT882" t="str">
        <f>HYPERLINK("https%3A%2F%2Fwww.webofscience.com%2Fwos%2Fwoscc%2Ffull-record%2FWOS:000295332800011","View Full Record in Web of Science")</f>
        <v>View Full Record in Web of Science</v>
      </c>
    </row>
    <row r="883" spans="1:72" x14ac:dyDescent="0.15">
      <c r="A883" t="s">
        <v>72</v>
      </c>
      <c r="B883" t="s">
        <v>16266</v>
      </c>
      <c r="C883" t="s">
        <v>74</v>
      </c>
      <c r="D883" t="s">
        <v>74</v>
      </c>
      <c r="E883" t="s">
        <v>74</v>
      </c>
      <c r="F883" t="s">
        <v>16267</v>
      </c>
      <c r="G883" t="s">
        <v>74</v>
      </c>
      <c r="H883" t="s">
        <v>74</v>
      </c>
      <c r="I883" t="s">
        <v>16268</v>
      </c>
      <c r="J883" t="s">
        <v>16205</v>
      </c>
      <c r="K883" t="s">
        <v>74</v>
      </c>
      <c r="L883" t="s">
        <v>74</v>
      </c>
      <c r="M883" t="s">
        <v>78</v>
      </c>
      <c r="N883" t="s">
        <v>1513</v>
      </c>
      <c r="O883" t="s">
        <v>74</v>
      </c>
      <c r="P883" t="s">
        <v>74</v>
      </c>
      <c r="Q883" t="s">
        <v>74</v>
      </c>
      <c r="R883" t="s">
        <v>74</v>
      </c>
      <c r="S883" t="s">
        <v>74</v>
      </c>
      <c r="T883" t="s">
        <v>16269</v>
      </c>
      <c r="U883" t="s">
        <v>16270</v>
      </c>
      <c r="V883" t="s">
        <v>16271</v>
      </c>
      <c r="W883" t="s">
        <v>16272</v>
      </c>
      <c r="X883" t="s">
        <v>16273</v>
      </c>
      <c r="Y883" t="s">
        <v>16274</v>
      </c>
      <c r="Z883" t="s">
        <v>16275</v>
      </c>
      <c r="AA883" t="s">
        <v>16276</v>
      </c>
      <c r="AB883" t="s">
        <v>16277</v>
      </c>
      <c r="AC883" t="s">
        <v>16278</v>
      </c>
      <c r="AD883" t="s">
        <v>16279</v>
      </c>
      <c r="AE883" t="s">
        <v>16280</v>
      </c>
      <c r="AF883" t="s">
        <v>74</v>
      </c>
      <c r="AG883">
        <v>25</v>
      </c>
      <c r="AH883">
        <v>7</v>
      </c>
      <c r="AI883">
        <v>8</v>
      </c>
      <c r="AJ883">
        <v>0</v>
      </c>
      <c r="AK883">
        <v>17</v>
      </c>
      <c r="AL883" t="s">
        <v>250</v>
      </c>
      <c r="AM883" t="s">
        <v>251</v>
      </c>
      <c r="AN883" t="s">
        <v>252</v>
      </c>
      <c r="AO883" t="s">
        <v>16214</v>
      </c>
      <c r="AP883" t="s">
        <v>16215</v>
      </c>
      <c r="AQ883" t="s">
        <v>74</v>
      </c>
      <c r="AR883" t="s">
        <v>16216</v>
      </c>
      <c r="AS883" t="s">
        <v>16217</v>
      </c>
      <c r="AT883" t="s">
        <v>15792</v>
      </c>
      <c r="AU883">
        <v>2011</v>
      </c>
      <c r="AV883">
        <v>32</v>
      </c>
      <c r="AW883" t="s">
        <v>16218</v>
      </c>
      <c r="AX883" t="s">
        <v>74</v>
      </c>
      <c r="AY883" t="s">
        <v>74</v>
      </c>
      <c r="AZ883" t="s">
        <v>339</v>
      </c>
      <c r="BA883" t="s">
        <v>74</v>
      </c>
      <c r="BB883">
        <v>507</v>
      </c>
      <c r="BC883">
        <v>518</v>
      </c>
      <c r="BD883" t="s">
        <v>74</v>
      </c>
      <c r="BE883" t="s">
        <v>16281</v>
      </c>
      <c r="BF883" t="str">
        <f>HYPERLINK("http://dx.doi.org/10.1007/s10712-011-9125-3","http://dx.doi.org/10.1007/s10712-011-9125-3")</f>
        <v>http://dx.doi.org/10.1007/s10712-011-9125-3</v>
      </c>
      <c r="BG883" t="s">
        <v>74</v>
      </c>
      <c r="BH883" t="s">
        <v>74</v>
      </c>
      <c r="BI883">
        <v>12</v>
      </c>
      <c r="BJ883" t="s">
        <v>164</v>
      </c>
      <c r="BK883" t="s">
        <v>100</v>
      </c>
      <c r="BL883" t="s">
        <v>164</v>
      </c>
      <c r="BM883" t="s">
        <v>16220</v>
      </c>
      <c r="BN883" t="s">
        <v>74</v>
      </c>
      <c r="BO883" t="s">
        <v>1796</v>
      </c>
      <c r="BP883" t="s">
        <v>74</v>
      </c>
      <c r="BQ883" t="s">
        <v>74</v>
      </c>
      <c r="BR883" t="s">
        <v>102</v>
      </c>
      <c r="BS883" t="s">
        <v>16282</v>
      </c>
      <c r="BT883" t="str">
        <f>HYPERLINK("https%3A%2F%2Fwww.webofscience.com%2Fwos%2Fwoscc%2Ffull-record%2FWOS:000295332800013","View Full Record in Web of Science")</f>
        <v>View Full Record in Web of Science</v>
      </c>
    </row>
    <row r="884" spans="1:72" x14ac:dyDescent="0.15">
      <c r="A884" t="s">
        <v>72</v>
      </c>
      <c r="B884" t="s">
        <v>16283</v>
      </c>
      <c r="C884" t="s">
        <v>74</v>
      </c>
      <c r="D884" t="s">
        <v>74</v>
      </c>
      <c r="E884" t="s">
        <v>74</v>
      </c>
      <c r="F884" t="s">
        <v>16284</v>
      </c>
      <c r="G884" t="s">
        <v>74</v>
      </c>
      <c r="H884" t="s">
        <v>74</v>
      </c>
      <c r="I884" t="s">
        <v>16285</v>
      </c>
      <c r="J884" t="s">
        <v>16205</v>
      </c>
      <c r="K884" t="s">
        <v>74</v>
      </c>
      <c r="L884" t="s">
        <v>74</v>
      </c>
      <c r="M884" t="s">
        <v>78</v>
      </c>
      <c r="N884" t="s">
        <v>1513</v>
      </c>
      <c r="O884" t="s">
        <v>74</v>
      </c>
      <c r="P884" t="s">
        <v>74</v>
      </c>
      <c r="Q884" t="s">
        <v>74</v>
      </c>
      <c r="R884" t="s">
        <v>74</v>
      </c>
      <c r="S884" t="s">
        <v>74</v>
      </c>
      <c r="T884" t="s">
        <v>16286</v>
      </c>
      <c r="U884" t="s">
        <v>16287</v>
      </c>
      <c r="V884" t="s">
        <v>16288</v>
      </c>
      <c r="W884" t="s">
        <v>16289</v>
      </c>
      <c r="X884" t="s">
        <v>16290</v>
      </c>
      <c r="Y884" t="s">
        <v>16291</v>
      </c>
      <c r="Z884" t="s">
        <v>16292</v>
      </c>
      <c r="AA884" t="s">
        <v>74</v>
      </c>
      <c r="AB884" t="s">
        <v>74</v>
      </c>
      <c r="AC884" t="s">
        <v>74</v>
      </c>
      <c r="AD884" t="s">
        <v>74</v>
      </c>
      <c r="AE884" t="s">
        <v>74</v>
      </c>
      <c r="AF884" t="s">
        <v>74</v>
      </c>
      <c r="AG884">
        <v>50</v>
      </c>
      <c r="AH884">
        <v>25</v>
      </c>
      <c r="AI884">
        <v>28</v>
      </c>
      <c r="AJ884">
        <v>1</v>
      </c>
      <c r="AK884">
        <v>33</v>
      </c>
      <c r="AL884" t="s">
        <v>250</v>
      </c>
      <c r="AM884" t="s">
        <v>251</v>
      </c>
      <c r="AN884" t="s">
        <v>252</v>
      </c>
      <c r="AO884" t="s">
        <v>16214</v>
      </c>
      <c r="AP884" t="s">
        <v>16215</v>
      </c>
      <c r="AQ884" t="s">
        <v>74</v>
      </c>
      <c r="AR884" t="s">
        <v>16216</v>
      </c>
      <c r="AS884" t="s">
        <v>16217</v>
      </c>
      <c r="AT884" t="s">
        <v>15792</v>
      </c>
      <c r="AU884">
        <v>2011</v>
      </c>
      <c r="AV884">
        <v>32</v>
      </c>
      <c r="AW884" t="s">
        <v>16218</v>
      </c>
      <c r="AX884" t="s">
        <v>74</v>
      </c>
      <c r="AY884" t="s">
        <v>74</v>
      </c>
      <c r="AZ884" t="s">
        <v>339</v>
      </c>
      <c r="BA884" t="s">
        <v>74</v>
      </c>
      <c r="BB884">
        <v>537</v>
      </c>
      <c r="BC884">
        <v>554</v>
      </c>
      <c r="BD884" t="s">
        <v>74</v>
      </c>
      <c r="BE884" t="s">
        <v>16293</v>
      </c>
      <c r="BF884" t="str">
        <f>HYPERLINK("http://dx.doi.org/10.1007/s10712-011-9124-4","http://dx.doi.org/10.1007/s10712-011-9124-4")</f>
        <v>http://dx.doi.org/10.1007/s10712-011-9124-4</v>
      </c>
      <c r="BG884" t="s">
        <v>74</v>
      </c>
      <c r="BH884" t="s">
        <v>74</v>
      </c>
      <c r="BI884">
        <v>18</v>
      </c>
      <c r="BJ884" t="s">
        <v>164</v>
      </c>
      <c r="BK884" t="s">
        <v>100</v>
      </c>
      <c r="BL884" t="s">
        <v>164</v>
      </c>
      <c r="BM884" t="s">
        <v>16220</v>
      </c>
      <c r="BN884" t="s">
        <v>74</v>
      </c>
      <c r="BO884" t="s">
        <v>1133</v>
      </c>
      <c r="BP884" t="s">
        <v>74</v>
      </c>
      <c r="BQ884" t="s">
        <v>74</v>
      </c>
      <c r="BR884" t="s">
        <v>102</v>
      </c>
      <c r="BS884" t="s">
        <v>16294</v>
      </c>
      <c r="BT884" t="str">
        <f>HYPERLINK("https%3A%2F%2Fwww.webofscience.com%2Fwos%2Fwoscc%2Ffull-record%2FWOS:000295332800015","View Full Record in Web of Science")</f>
        <v>View Full Record in Web of Science</v>
      </c>
    </row>
    <row r="885" spans="1:72" x14ac:dyDescent="0.15">
      <c r="A885" t="s">
        <v>72</v>
      </c>
      <c r="B885" t="s">
        <v>16295</v>
      </c>
      <c r="C885" t="s">
        <v>74</v>
      </c>
      <c r="D885" t="s">
        <v>74</v>
      </c>
      <c r="E885" t="s">
        <v>74</v>
      </c>
      <c r="F885" t="s">
        <v>16296</v>
      </c>
      <c r="G885" t="s">
        <v>74</v>
      </c>
      <c r="H885" t="s">
        <v>74</v>
      </c>
      <c r="I885" t="s">
        <v>16297</v>
      </c>
      <c r="J885" t="s">
        <v>16205</v>
      </c>
      <c r="K885" t="s">
        <v>74</v>
      </c>
      <c r="L885" t="s">
        <v>74</v>
      </c>
      <c r="M885" t="s">
        <v>78</v>
      </c>
      <c r="N885" t="s">
        <v>1513</v>
      </c>
      <c r="O885" t="s">
        <v>74</v>
      </c>
      <c r="P885" t="s">
        <v>74</v>
      </c>
      <c r="Q885" t="s">
        <v>74</v>
      </c>
      <c r="R885" t="s">
        <v>74</v>
      </c>
      <c r="S885" t="s">
        <v>74</v>
      </c>
      <c r="T885" t="s">
        <v>16298</v>
      </c>
      <c r="U885" t="s">
        <v>16299</v>
      </c>
      <c r="V885" t="s">
        <v>16300</v>
      </c>
      <c r="W885" t="s">
        <v>16301</v>
      </c>
      <c r="X885" t="s">
        <v>16302</v>
      </c>
      <c r="Y885" t="s">
        <v>16303</v>
      </c>
      <c r="Z885" t="s">
        <v>16304</v>
      </c>
      <c r="AA885" t="s">
        <v>16305</v>
      </c>
      <c r="AB885" t="s">
        <v>16306</v>
      </c>
      <c r="AC885" t="s">
        <v>16307</v>
      </c>
      <c r="AD885" t="s">
        <v>16308</v>
      </c>
      <c r="AE885" t="s">
        <v>16309</v>
      </c>
      <c r="AF885" t="s">
        <v>74</v>
      </c>
      <c r="AG885">
        <v>64</v>
      </c>
      <c r="AH885">
        <v>11</v>
      </c>
      <c r="AI885">
        <v>11</v>
      </c>
      <c r="AJ885">
        <v>0</v>
      </c>
      <c r="AK885">
        <v>23</v>
      </c>
      <c r="AL885" t="s">
        <v>250</v>
      </c>
      <c r="AM885" t="s">
        <v>251</v>
      </c>
      <c r="AN885" t="s">
        <v>252</v>
      </c>
      <c r="AO885" t="s">
        <v>16214</v>
      </c>
      <c r="AP885" t="s">
        <v>16215</v>
      </c>
      <c r="AQ885" t="s">
        <v>74</v>
      </c>
      <c r="AR885" t="s">
        <v>16216</v>
      </c>
      <c r="AS885" t="s">
        <v>16217</v>
      </c>
      <c r="AT885" t="s">
        <v>15792</v>
      </c>
      <c r="AU885">
        <v>2011</v>
      </c>
      <c r="AV885">
        <v>32</v>
      </c>
      <c r="AW885" t="s">
        <v>16218</v>
      </c>
      <c r="AX885" t="s">
        <v>74</v>
      </c>
      <c r="AY885" t="s">
        <v>74</v>
      </c>
      <c r="AZ885" t="s">
        <v>339</v>
      </c>
      <c r="BA885" t="s">
        <v>74</v>
      </c>
      <c r="BB885">
        <v>643</v>
      </c>
      <c r="BC885">
        <v>657</v>
      </c>
      <c r="BD885" t="s">
        <v>74</v>
      </c>
      <c r="BE885" t="s">
        <v>16310</v>
      </c>
      <c r="BF885" t="str">
        <f>HYPERLINK("http://dx.doi.org/10.1007/s10712-011-9115-5","http://dx.doi.org/10.1007/s10712-011-9115-5")</f>
        <v>http://dx.doi.org/10.1007/s10712-011-9115-5</v>
      </c>
      <c r="BG885" t="s">
        <v>74</v>
      </c>
      <c r="BH885" t="s">
        <v>74</v>
      </c>
      <c r="BI885">
        <v>15</v>
      </c>
      <c r="BJ885" t="s">
        <v>164</v>
      </c>
      <c r="BK885" t="s">
        <v>100</v>
      </c>
      <c r="BL885" t="s">
        <v>164</v>
      </c>
      <c r="BM885" t="s">
        <v>16220</v>
      </c>
      <c r="BN885" t="s">
        <v>74</v>
      </c>
      <c r="BO885" t="s">
        <v>74</v>
      </c>
      <c r="BP885" t="s">
        <v>74</v>
      </c>
      <c r="BQ885" t="s">
        <v>74</v>
      </c>
      <c r="BR885" t="s">
        <v>102</v>
      </c>
      <c r="BS885" t="s">
        <v>16311</v>
      </c>
      <c r="BT885" t="str">
        <f>HYPERLINK("https%3A%2F%2Fwww.webofscience.com%2Fwos%2Fwoscc%2Ffull-record%2FWOS:000295332800020","View Full Record in Web of Science")</f>
        <v>View Full Record in Web of Science</v>
      </c>
    </row>
    <row r="886" spans="1:72" x14ac:dyDescent="0.15">
      <c r="A886" t="s">
        <v>72</v>
      </c>
      <c r="B886" t="s">
        <v>16312</v>
      </c>
      <c r="C886" t="s">
        <v>74</v>
      </c>
      <c r="D886" t="s">
        <v>74</v>
      </c>
      <c r="E886" t="s">
        <v>74</v>
      </c>
      <c r="F886" t="s">
        <v>16313</v>
      </c>
      <c r="G886" t="s">
        <v>74</v>
      </c>
      <c r="H886" t="s">
        <v>74</v>
      </c>
      <c r="I886" t="s">
        <v>16314</v>
      </c>
      <c r="J886" t="s">
        <v>13890</v>
      </c>
      <c r="K886" t="s">
        <v>74</v>
      </c>
      <c r="L886" t="s">
        <v>74</v>
      </c>
      <c r="M886" t="s">
        <v>78</v>
      </c>
      <c r="N886" t="s">
        <v>79</v>
      </c>
      <c r="O886" t="s">
        <v>74</v>
      </c>
      <c r="P886" t="s">
        <v>74</v>
      </c>
      <c r="Q886" t="s">
        <v>74</v>
      </c>
      <c r="R886" t="s">
        <v>74</v>
      </c>
      <c r="S886" t="s">
        <v>74</v>
      </c>
      <c r="T886" t="s">
        <v>16315</v>
      </c>
      <c r="U886" t="s">
        <v>16316</v>
      </c>
      <c r="V886" t="s">
        <v>16317</v>
      </c>
      <c r="W886" t="s">
        <v>16318</v>
      </c>
      <c r="X886" t="s">
        <v>16319</v>
      </c>
      <c r="Y886" t="s">
        <v>16320</v>
      </c>
      <c r="Z886" t="s">
        <v>16321</v>
      </c>
      <c r="AA886" t="s">
        <v>16322</v>
      </c>
      <c r="AB886" t="s">
        <v>16323</v>
      </c>
      <c r="AC886" t="s">
        <v>74</v>
      </c>
      <c r="AD886" t="s">
        <v>74</v>
      </c>
      <c r="AE886" t="s">
        <v>74</v>
      </c>
      <c r="AF886" t="s">
        <v>74</v>
      </c>
      <c r="AG886">
        <v>51</v>
      </c>
      <c r="AH886">
        <v>43</v>
      </c>
      <c r="AI886">
        <v>43</v>
      </c>
      <c r="AJ886">
        <v>2</v>
      </c>
      <c r="AK886">
        <v>18</v>
      </c>
      <c r="AL886" t="s">
        <v>155</v>
      </c>
      <c r="AM886" t="s">
        <v>156</v>
      </c>
      <c r="AN886" t="s">
        <v>157</v>
      </c>
      <c r="AO886" t="s">
        <v>13903</v>
      </c>
      <c r="AP886" t="s">
        <v>13904</v>
      </c>
      <c r="AQ886" t="s">
        <v>74</v>
      </c>
      <c r="AR886" t="s">
        <v>13905</v>
      </c>
      <c r="AS886" t="s">
        <v>13906</v>
      </c>
      <c r="AT886" t="s">
        <v>15792</v>
      </c>
      <c r="AU886">
        <v>2011</v>
      </c>
      <c r="AV886">
        <v>58</v>
      </c>
      <c r="AW886">
        <v>9</v>
      </c>
      <c r="AX886" t="s">
        <v>74</v>
      </c>
      <c r="AY886" t="s">
        <v>74</v>
      </c>
      <c r="AZ886" t="s">
        <v>74</v>
      </c>
      <c r="BA886" t="s">
        <v>74</v>
      </c>
      <c r="BB886">
        <v>932</v>
      </c>
      <c r="BC886">
        <v>942</v>
      </c>
      <c r="BD886" t="s">
        <v>74</v>
      </c>
      <c r="BE886" t="s">
        <v>16324</v>
      </c>
      <c r="BF886" t="str">
        <f>HYPERLINK("http://dx.doi.org/10.1016/j.dsr.2011.05.009","http://dx.doi.org/10.1016/j.dsr.2011.05.009")</f>
        <v>http://dx.doi.org/10.1016/j.dsr.2011.05.009</v>
      </c>
      <c r="BG886" t="s">
        <v>74</v>
      </c>
      <c r="BH886" t="s">
        <v>74</v>
      </c>
      <c r="BI886">
        <v>11</v>
      </c>
      <c r="BJ886" t="s">
        <v>496</v>
      </c>
      <c r="BK886" t="s">
        <v>100</v>
      </c>
      <c r="BL886" t="s">
        <v>496</v>
      </c>
      <c r="BM886" t="s">
        <v>16325</v>
      </c>
      <c r="BN886" t="s">
        <v>74</v>
      </c>
      <c r="BO886" t="s">
        <v>74</v>
      </c>
      <c r="BP886" t="s">
        <v>74</v>
      </c>
      <c r="BQ886" t="s">
        <v>74</v>
      </c>
      <c r="BR886" t="s">
        <v>102</v>
      </c>
      <c r="BS886" t="s">
        <v>16326</v>
      </c>
      <c r="BT886" t="str">
        <f>HYPERLINK("https%3A%2F%2Fwww.webofscience.com%2Fwos%2Fwoscc%2Ffull-record%2FWOS:000295186100003","View Full Record in Web of Science")</f>
        <v>View Full Record in Web of Science</v>
      </c>
    </row>
    <row r="887" spans="1:72" x14ac:dyDescent="0.15">
      <c r="A887" t="s">
        <v>72</v>
      </c>
      <c r="B887" t="s">
        <v>16327</v>
      </c>
      <c r="C887" t="s">
        <v>74</v>
      </c>
      <c r="D887" t="s">
        <v>74</v>
      </c>
      <c r="E887" t="s">
        <v>74</v>
      </c>
      <c r="F887" t="s">
        <v>16328</v>
      </c>
      <c r="G887" t="s">
        <v>74</v>
      </c>
      <c r="H887" t="s">
        <v>74</v>
      </c>
      <c r="I887" t="s">
        <v>16329</v>
      </c>
      <c r="J887" t="s">
        <v>13890</v>
      </c>
      <c r="K887" t="s">
        <v>74</v>
      </c>
      <c r="L887" t="s">
        <v>74</v>
      </c>
      <c r="M887" t="s">
        <v>78</v>
      </c>
      <c r="N887" t="s">
        <v>79</v>
      </c>
      <c r="O887" t="s">
        <v>74</v>
      </c>
      <c r="P887" t="s">
        <v>74</v>
      </c>
      <c r="Q887" t="s">
        <v>74</v>
      </c>
      <c r="R887" t="s">
        <v>74</v>
      </c>
      <c r="S887" t="s">
        <v>74</v>
      </c>
      <c r="T887" t="s">
        <v>16330</v>
      </c>
      <c r="U887" t="s">
        <v>16331</v>
      </c>
      <c r="V887" t="s">
        <v>16332</v>
      </c>
      <c r="W887" t="s">
        <v>16333</v>
      </c>
      <c r="X887" t="s">
        <v>16334</v>
      </c>
      <c r="Y887" t="s">
        <v>16335</v>
      </c>
      <c r="Z887" t="s">
        <v>16336</v>
      </c>
      <c r="AA887" t="s">
        <v>74</v>
      </c>
      <c r="AB887" t="s">
        <v>16337</v>
      </c>
      <c r="AC887" t="s">
        <v>16338</v>
      </c>
      <c r="AD887" t="s">
        <v>10379</v>
      </c>
      <c r="AE887" t="s">
        <v>16339</v>
      </c>
      <c r="AF887" t="s">
        <v>74</v>
      </c>
      <c r="AG887">
        <v>81</v>
      </c>
      <c r="AH887">
        <v>26</v>
      </c>
      <c r="AI887">
        <v>29</v>
      </c>
      <c r="AJ887">
        <v>0</v>
      </c>
      <c r="AK887">
        <v>26</v>
      </c>
      <c r="AL887" t="s">
        <v>155</v>
      </c>
      <c r="AM887" t="s">
        <v>156</v>
      </c>
      <c r="AN887" t="s">
        <v>157</v>
      </c>
      <c r="AO887" t="s">
        <v>13903</v>
      </c>
      <c r="AP887" t="s">
        <v>13904</v>
      </c>
      <c r="AQ887" t="s">
        <v>74</v>
      </c>
      <c r="AR887" t="s">
        <v>13905</v>
      </c>
      <c r="AS887" t="s">
        <v>13906</v>
      </c>
      <c r="AT887" t="s">
        <v>15792</v>
      </c>
      <c r="AU887">
        <v>2011</v>
      </c>
      <c r="AV887">
        <v>58</v>
      </c>
      <c r="AW887">
        <v>9</v>
      </c>
      <c r="AX887" t="s">
        <v>74</v>
      </c>
      <c r="AY887" t="s">
        <v>74</v>
      </c>
      <c r="AZ887" t="s">
        <v>74</v>
      </c>
      <c r="BA887" t="s">
        <v>74</v>
      </c>
      <c r="BB887">
        <v>943</v>
      </c>
      <c r="BC887">
        <v>955</v>
      </c>
      <c r="BD887" t="s">
        <v>74</v>
      </c>
      <c r="BE887" t="s">
        <v>16340</v>
      </c>
      <c r="BF887" t="str">
        <f>HYPERLINK("http://dx.doi.org/10.1016/j.dsr.2011.07.001","http://dx.doi.org/10.1016/j.dsr.2011.07.001")</f>
        <v>http://dx.doi.org/10.1016/j.dsr.2011.07.001</v>
      </c>
      <c r="BG887" t="s">
        <v>74</v>
      </c>
      <c r="BH887" t="s">
        <v>74</v>
      </c>
      <c r="BI887">
        <v>13</v>
      </c>
      <c r="BJ887" t="s">
        <v>496</v>
      </c>
      <c r="BK887" t="s">
        <v>100</v>
      </c>
      <c r="BL887" t="s">
        <v>496</v>
      </c>
      <c r="BM887" t="s">
        <v>16325</v>
      </c>
      <c r="BN887" t="s">
        <v>74</v>
      </c>
      <c r="BO887" t="s">
        <v>74</v>
      </c>
      <c r="BP887" t="s">
        <v>74</v>
      </c>
      <c r="BQ887" t="s">
        <v>74</v>
      </c>
      <c r="BR887" t="s">
        <v>102</v>
      </c>
      <c r="BS887" t="s">
        <v>16341</v>
      </c>
      <c r="BT887" t="str">
        <f>HYPERLINK("https%3A%2F%2Fwww.webofscience.com%2Fwos%2Fwoscc%2Ffull-record%2FWOS:000295186100004","View Full Record in Web of Science")</f>
        <v>View Full Record in Web of Science</v>
      </c>
    </row>
    <row r="888" spans="1:72" x14ac:dyDescent="0.15">
      <c r="A888" t="s">
        <v>72</v>
      </c>
      <c r="B888" t="s">
        <v>16342</v>
      </c>
      <c r="C888" t="s">
        <v>74</v>
      </c>
      <c r="D888" t="s">
        <v>74</v>
      </c>
      <c r="E888" t="s">
        <v>74</v>
      </c>
      <c r="F888" t="s">
        <v>16343</v>
      </c>
      <c r="G888" t="s">
        <v>74</v>
      </c>
      <c r="H888" t="s">
        <v>74</v>
      </c>
      <c r="I888" t="s">
        <v>16344</v>
      </c>
      <c r="J888" t="s">
        <v>13890</v>
      </c>
      <c r="K888" t="s">
        <v>74</v>
      </c>
      <c r="L888" t="s">
        <v>74</v>
      </c>
      <c r="M888" t="s">
        <v>78</v>
      </c>
      <c r="N888" t="s">
        <v>79</v>
      </c>
      <c r="O888" t="s">
        <v>74</v>
      </c>
      <c r="P888" t="s">
        <v>74</v>
      </c>
      <c r="Q888" t="s">
        <v>74</v>
      </c>
      <c r="R888" t="s">
        <v>74</v>
      </c>
      <c r="S888" t="s">
        <v>74</v>
      </c>
      <c r="T888" t="s">
        <v>16345</v>
      </c>
      <c r="U888" t="s">
        <v>16346</v>
      </c>
      <c r="V888" t="s">
        <v>16347</v>
      </c>
      <c r="W888" t="s">
        <v>16348</v>
      </c>
      <c r="X888" t="s">
        <v>16349</v>
      </c>
      <c r="Y888" t="s">
        <v>16350</v>
      </c>
      <c r="Z888" t="s">
        <v>16351</v>
      </c>
      <c r="AA888" t="s">
        <v>16352</v>
      </c>
      <c r="AB888" t="s">
        <v>16353</v>
      </c>
      <c r="AC888" t="s">
        <v>16354</v>
      </c>
      <c r="AD888" t="s">
        <v>16355</v>
      </c>
      <c r="AE888" t="s">
        <v>16356</v>
      </c>
      <c r="AF888" t="s">
        <v>74</v>
      </c>
      <c r="AG888">
        <v>47</v>
      </c>
      <c r="AH888">
        <v>17</v>
      </c>
      <c r="AI888">
        <v>17</v>
      </c>
      <c r="AJ888">
        <v>1</v>
      </c>
      <c r="AK888">
        <v>14</v>
      </c>
      <c r="AL888" t="s">
        <v>155</v>
      </c>
      <c r="AM888" t="s">
        <v>156</v>
      </c>
      <c r="AN888" t="s">
        <v>157</v>
      </c>
      <c r="AO888" t="s">
        <v>13903</v>
      </c>
      <c r="AP888" t="s">
        <v>13904</v>
      </c>
      <c r="AQ888" t="s">
        <v>74</v>
      </c>
      <c r="AR888" t="s">
        <v>13905</v>
      </c>
      <c r="AS888" t="s">
        <v>13906</v>
      </c>
      <c r="AT888" t="s">
        <v>15792</v>
      </c>
      <c r="AU888">
        <v>2011</v>
      </c>
      <c r="AV888">
        <v>58</v>
      </c>
      <c r="AW888">
        <v>9</v>
      </c>
      <c r="AX888" t="s">
        <v>74</v>
      </c>
      <c r="AY888" t="s">
        <v>74</v>
      </c>
      <c r="AZ888" t="s">
        <v>74</v>
      </c>
      <c r="BA888" t="s">
        <v>74</v>
      </c>
      <c r="BB888">
        <v>956</v>
      </c>
      <c r="BC888">
        <v>969</v>
      </c>
      <c r="BD888" t="s">
        <v>74</v>
      </c>
      <c r="BE888" t="s">
        <v>16357</v>
      </c>
      <c r="BF888" t="str">
        <f>HYPERLINK("http://dx.doi.org/10.1016/j.dsr.2011.05.007","http://dx.doi.org/10.1016/j.dsr.2011.05.007")</f>
        <v>http://dx.doi.org/10.1016/j.dsr.2011.05.007</v>
      </c>
      <c r="BG888" t="s">
        <v>74</v>
      </c>
      <c r="BH888" t="s">
        <v>74</v>
      </c>
      <c r="BI888">
        <v>14</v>
      </c>
      <c r="BJ888" t="s">
        <v>496</v>
      </c>
      <c r="BK888" t="s">
        <v>100</v>
      </c>
      <c r="BL888" t="s">
        <v>496</v>
      </c>
      <c r="BM888" t="s">
        <v>16325</v>
      </c>
      <c r="BN888" t="s">
        <v>74</v>
      </c>
      <c r="BO888" t="s">
        <v>74</v>
      </c>
      <c r="BP888" t="s">
        <v>74</v>
      </c>
      <c r="BQ888" t="s">
        <v>74</v>
      </c>
      <c r="BR888" t="s">
        <v>102</v>
      </c>
      <c r="BS888" t="s">
        <v>16358</v>
      </c>
      <c r="BT888" t="str">
        <f>HYPERLINK("https%3A%2F%2Fwww.webofscience.com%2Fwos%2Fwoscc%2Ffull-record%2FWOS:000295186100005","View Full Record in Web of Science")</f>
        <v>View Full Record in Web of Science</v>
      </c>
    </row>
    <row r="889" spans="1:72" x14ac:dyDescent="0.15">
      <c r="A889" t="s">
        <v>72</v>
      </c>
      <c r="B889" t="s">
        <v>16359</v>
      </c>
      <c r="C889" t="s">
        <v>74</v>
      </c>
      <c r="D889" t="s">
        <v>74</v>
      </c>
      <c r="E889" t="s">
        <v>74</v>
      </c>
      <c r="F889" t="s">
        <v>16360</v>
      </c>
      <c r="G889" t="s">
        <v>74</v>
      </c>
      <c r="H889" t="s">
        <v>74</v>
      </c>
      <c r="I889" t="s">
        <v>16361</v>
      </c>
      <c r="J889" t="s">
        <v>6662</v>
      </c>
      <c r="K889" t="s">
        <v>74</v>
      </c>
      <c r="L889" t="s">
        <v>74</v>
      </c>
      <c r="M889" t="s">
        <v>78</v>
      </c>
      <c r="N889" t="s">
        <v>79</v>
      </c>
      <c r="O889" t="s">
        <v>74</v>
      </c>
      <c r="P889" t="s">
        <v>74</v>
      </c>
      <c r="Q889" t="s">
        <v>74</v>
      </c>
      <c r="R889" t="s">
        <v>74</v>
      </c>
      <c r="S889" t="s">
        <v>74</v>
      </c>
      <c r="T889" t="s">
        <v>16362</v>
      </c>
      <c r="U889" t="s">
        <v>16363</v>
      </c>
      <c r="V889" t="s">
        <v>16364</v>
      </c>
      <c r="W889" t="s">
        <v>16365</v>
      </c>
      <c r="X889" t="s">
        <v>16366</v>
      </c>
      <c r="Y889" t="s">
        <v>16367</v>
      </c>
      <c r="Z889" t="s">
        <v>16368</v>
      </c>
      <c r="AA889" t="s">
        <v>16369</v>
      </c>
      <c r="AB889" t="s">
        <v>16370</v>
      </c>
      <c r="AC889" t="s">
        <v>16371</v>
      </c>
      <c r="AD889" t="s">
        <v>16372</v>
      </c>
      <c r="AE889" t="s">
        <v>16373</v>
      </c>
      <c r="AF889" t="s">
        <v>74</v>
      </c>
      <c r="AG889">
        <v>51</v>
      </c>
      <c r="AH889">
        <v>159</v>
      </c>
      <c r="AI889">
        <v>174</v>
      </c>
      <c r="AJ889">
        <v>2</v>
      </c>
      <c r="AK889">
        <v>35</v>
      </c>
      <c r="AL889" t="s">
        <v>3479</v>
      </c>
      <c r="AM889" t="s">
        <v>334</v>
      </c>
      <c r="AN889" t="s">
        <v>3480</v>
      </c>
      <c r="AO889" t="s">
        <v>6675</v>
      </c>
      <c r="AP889" t="s">
        <v>6676</v>
      </c>
      <c r="AQ889" t="s">
        <v>74</v>
      </c>
      <c r="AR889" t="s">
        <v>6677</v>
      </c>
      <c r="AS889" t="s">
        <v>6678</v>
      </c>
      <c r="AT889" t="s">
        <v>16374</v>
      </c>
      <c r="AU889">
        <v>2011</v>
      </c>
      <c r="AV889">
        <v>309</v>
      </c>
      <c r="AW889" t="s">
        <v>1776</v>
      </c>
      <c r="AX889" t="s">
        <v>74</v>
      </c>
      <c r="AY889" t="s">
        <v>74</v>
      </c>
      <c r="AZ889" t="s">
        <v>74</v>
      </c>
      <c r="BA889" t="s">
        <v>74</v>
      </c>
      <c r="BB889">
        <v>21</v>
      </c>
      <c r="BC889">
        <v>32</v>
      </c>
      <c r="BD889" t="s">
        <v>74</v>
      </c>
      <c r="BE889" t="s">
        <v>16375</v>
      </c>
      <c r="BF889" t="str">
        <f>HYPERLINK("http://dx.doi.org/10.1016/j.epsl.2011.06.018","http://dx.doi.org/10.1016/j.epsl.2011.06.018")</f>
        <v>http://dx.doi.org/10.1016/j.epsl.2011.06.018</v>
      </c>
      <c r="BG889" t="s">
        <v>74</v>
      </c>
      <c r="BH889" t="s">
        <v>74</v>
      </c>
      <c r="BI889">
        <v>12</v>
      </c>
      <c r="BJ889" t="s">
        <v>164</v>
      </c>
      <c r="BK889" t="s">
        <v>100</v>
      </c>
      <c r="BL889" t="s">
        <v>164</v>
      </c>
      <c r="BM889" t="s">
        <v>16376</v>
      </c>
      <c r="BN889" t="s">
        <v>74</v>
      </c>
      <c r="BO889" t="s">
        <v>74</v>
      </c>
      <c r="BP889" t="s">
        <v>74</v>
      </c>
      <c r="BQ889" t="s">
        <v>74</v>
      </c>
      <c r="BR889" t="s">
        <v>102</v>
      </c>
      <c r="BS889" t="s">
        <v>16377</v>
      </c>
      <c r="BT889" t="str">
        <f>HYPERLINK("https%3A%2F%2Fwww.webofscience.com%2Fwos%2Fwoscc%2Ffull-record%2FWOS:000295151400003","View Full Record in Web of Science")</f>
        <v>View Full Record in Web of Science</v>
      </c>
    </row>
    <row r="890" spans="1:72" x14ac:dyDescent="0.15">
      <c r="A890" t="s">
        <v>72</v>
      </c>
      <c r="B890" t="s">
        <v>16378</v>
      </c>
      <c r="C890" t="s">
        <v>74</v>
      </c>
      <c r="D890" t="s">
        <v>74</v>
      </c>
      <c r="E890" t="s">
        <v>74</v>
      </c>
      <c r="F890" t="s">
        <v>16379</v>
      </c>
      <c r="G890" t="s">
        <v>74</v>
      </c>
      <c r="H890" t="s">
        <v>74</v>
      </c>
      <c r="I890" t="s">
        <v>16380</v>
      </c>
      <c r="J890" t="s">
        <v>8684</v>
      </c>
      <c r="K890" t="s">
        <v>74</v>
      </c>
      <c r="L890" t="s">
        <v>74</v>
      </c>
      <c r="M890" t="s">
        <v>78</v>
      </c>
      <c r="N890" t="s">
        <v>52</v>
      </c>
      <c r="O890" t="s">
        <v>74</v>
      </c>
      <c r="P890" t="s">
        <v>74</v>
      </c>
      <c r="Q890" t="s">
        <v>74</v>
      </c>
      <c r="R890" t="s">
        <v>74</v>
      </c>
      <c r="S890" t="s">
        <v>74</v>
      </c>
      <c r="T890" t="s">
        <v>74</v>
      </c>
      <c r="U890" t="s">
        <v>74</v>
      </c>
      <c r="V890" t="s">
        <v>74</v>
      </c>
      <c r="W890" t="s">
        <v>16381</v>
      </c>
      <c r="X890" t="s">
        <v>7396</v>
      </c>
      <c r="Y890" t="s">
        <v>74</v>
      </c>
      <c r="Z890" t="s">
        <v>16382</v>
      </c>
      <c r="AA890" t="s">
        <v>74</v>
      </c>
      <c r="AB890" t="s">
        <v>74</v>
      </c>
      <c r="AC890" t="s">
        <v>74</v>
      </c>
      <c r="AD890" t="s">
        <v>74</v>
      </c>
      <c r="AE890" t="s">
        <v>74</v>
      </c>
      <c r="AF890" t="s">
        <v>74</v>
      </c>
      <c r="AG890">
        <v>0</v>
      </c>
      <c r="AH890">
        <v>0</v>
      </c>
      <c r="AI890">
        <v>0</v>
      </c>
      <c r="AJ890">
        <v>0</v>
      </c>
      <c r="AK890">
        <v>2</v>
      </c>
      <c r="AL890" t="s">
        <v>795</v>
      </c>
      <c r="AM890" t="s">
        <v>1468</v>
      </c>
      <c r="AN890" t="s">
        <v>1469</v>
      </c>
      <c r="AO890" t="s">
        <v>8696</v>
      </c>
      <c r="AP890" t="s">
        <v>74</v>
      </c>
      <c r="AQ890" t="s">
        <v>74</v>
      </c>
      <c r="AR890" t="s">
        <v>8698</v>
      </c>
      <c r="AS890" t="s">
        <v>8699</v>
      </c>
      <c r="AT890" t="s">
        <v>15792</v>
      </c>
      <c r="AU890">
        <v>2011</v>
      </c>
      <c r="AV890">
        <v>47</v>
      </c>
      <c r="AW890" t="s">
        <v>74</v>
      </c>
      <c r="AX890" t="s">
        <v>74</v>
      </c>
      <c r="AY890">
        <v>2</v>
      </c>
      <c r="AZ890" t="s">
        <v>339</v>
      </c>
      <c r="BA890" t="s">
        <v>74</v>
      </c>
      <c r="BB890" t="s">
        <v>16383</v>
      </c>
      <c r="BC890" t="s">
        <v>16383</v>
      </c>
      <c r="BD890" t="s">
        <v>74</v>
      </c>
      <c r="BE890" t="s">
        <v>74</v>
      </c>
      <c r="BF890" t="s">
        <v>74</v>
      </c>
      <c r="BG890" t="s">
        <v>74</v>
      </c>
      <c r="BH890" t="s">
        <v>74</v>
      </c>
      <c r="BI890">
        <v>1</v>
      </c>
      <c r="BJ890" t="s">
        <v>8701</v>
      </c>
      <c r="BK890" t="s">
        <v>100</v>
      </c>
      <c r="BL890" t="s">
        <v>8701</v>
      </c>
      <c r="BM890" t="s">
        <v>16384</v>
      </c>
      <c r="BN890" t="s">
        <v>74</v>
      </c>
      <c r="BO890" t="s">
        <v>74</v>
      </c>
      <c r="BP890" t="s">
        <v>74</v>
      </c>
      <c r="BQ890" t="s">
        <v>74</v>
      </c>
      <c r="BR890" t="s">
        <v>102</v>
      </c>
      <c r="BS890" t="s">
        <v>16385</v>
      </c>
      <c r="BT890" t="str">
        <f>HYPERLINK("https%3A%2F%2Fwww.webofscience.com%2Fwos%2Fwoscc%2Ffull-record%2FWOS:000295090200155","View Full Record in Web of Science")</f>
        <v>View Full Record in Web of Science</v>
      </c>
    </row>
    <row r="891" spans="1:72" x14ac:dyDescent="0.15">
      <c r="A891" t="s">
        <v>72</v>
      </c>
      <c r="B891" t="s">
        <v>16386</v>
      </c>
      <c r="C891" t="s">
        <v>74</v>
      </c>
      <c r="D891" t="s">
        <v>74</v>
      </c>
      <c r="E891" t="s">
        <v>74</v>
      </c>
      <c r="F891" t="s">
        <v>16387</v>
      </c>
      <c r="G891" t="s">
        <v>74</v>
      </c>
      <c r="H891" t="s">
        <v>74</v>
      </c>
      <c r="I891" t="s">
        <v>16388</v>
      </c>
      <c r="J891" t="s">
        <v>8684</v>
      </c>
      <c r="K891" t="s">
        <v>74</v>
      </c>
      <c r="L891" t="s">
        <v>74</v>
      </c>
      <c r="M891" t="s">
        <v>78</v>
      </c>
      <c r="N891" t="s">
        <v>52</v>
      </c>
      <c r="O891" t="s">
        <v>74</v>
      </c>
      <c r="P891" t="s">
        <v>74</v>
      </c>
      <c r="Q891" t="s">
        <v>74</v>
      </c>
      <c r="R891" t="s">
        <v>74</v>
      </c>
      <c r="S891" t="s">
        <v>74</v>
      </c>
      <c r="T891" t="s">
        <v>74</v>
      </c>
      <c r="U891" t="s">
        <v>74</v>
      </c>
      <c r="V891" t="s">
        <v>74</v>
      </c>
      <c r="W891" t="s">
        <v>16389</v>
      </c>
      <c r="X891" t="s">
        <v>7396</v>
      </c>
      <c r="Y891" t="s">
        <v>74</v>
      </c>
      <c r="Z891" t="s">
        <v>16390</v>
      </c>
      <c r="AA891" t="s">
        <v>7399</v>
      </c>
      <c r="AB891" t="s">
        <v>74</v>
      </c>
      <c r="AC891" t="s">
        <v>74</v>
      </c>
      <c r="AD891" t="s">
        <v>74</v>
      </c>
      <c r="AE891" t="s">
        <v>74</v>
      </c>
      <c r="AF891" t="s">
        <v>74</v>
      </c>
      <c r="AG891">
        <v>0</v>
      </c>
      <c r="AH891">
        <v>0</v>
      </c>
      <c r="AI891">
        <v>0</v>
      </c>
      <c r="AJ891">
        <v>0</v>
      </c>
      <c r="AK891">
        <v>2</v>
      </c>
      <c r="AL891" t="s">
        <v>795</v>
      </c>
      <c r="AM891" t="s">
        <v>1468</v>
      </c>
      <c r="AN891" t="s">
        <v>1469</v>
      </c>
      <c r="AO891" t="s">
        <v>8696</v>
      </c>
      <c r="AP891" t="s">
        <v>74</v>
      </c>
      <c r="AQ891" t="s">
        <v>74</v>
      </c>
      <c r="AR891" t="s">
        <v>8698</v>
      </c>
      <c r="AS891" t="s">
        <v>8699</v>
      </c>
      <c r="AT891" t="s">
        <v>15792</v>
      </c>
      <c r="AU891">
        <v>2011</v>
      </c>
      <c r="AV891">
        <v>47</v>
      </c>
      <c r="AW891" t="s">
        <v>74</v>
      </c>
      <c r="AX891" t="s">
        <v>74</v>
      </c>
      <c r="AY891">
        <v>2</v>
      </c>
      <c r="AZ891" t="s">
        <v>339</v>
      </c>
      <c r="BA891" t="s">
        <v>74</v>
      </c>
      <c r="BB891" t="s">
        <v>16391</v>
      </c>
      <c r="BC891" t="s">
        <v>16391</v>
      </c>
      <c r="BD891" t="s">
        <v>74</v>
      </c>
      <c r="BE891" t="s">
        <v>74</v>
      </c>
      <c r="BF891" t="s">
        <v>74</v>
      </c>
      <c r="BG891" t="s">
        <v>74</v>
      </c>
      <c r="BH891" t="s">
        <v>74</v>
      </c>
      <c r="BI891">
        <v>1</v>
      </c>
      <c r="BJ891" t="s">
        <v>8701</v>
      </c>
      <c r="BK891" t="s">
        <v>100</v>
      </c>
      <c r="BL891" t="s">
        <v>8701</v>
      </c>
      <c r="BM891" t="s">
        <v>16384</v>
      </c>
      <c r="BN891" t="s">
        <v>74</v>
      </c>
      <c r="BO891" t="s">
        <v>74</v>
      </c>
      <c r="BP891" t="s">
        <v>74</v>
      </c>
      <c r="BQ891" t="s">
        <v>74</v>
      </c>
      <c r="BR891" t="s">
        <v>102</v>
      </c>
      <c r="BS891" t="s">
        <v>16392</v>
      </c>
      <c r="BT891" t="str">
        <f>HYPERLINK("https%3A%2F%2Fwww.webofscience.com%2Fwos%2Fwoscc%2Ffull-record%2FWOS:000295090200030","View Full Record in Web of Science")</f>
        <v>View Full Record in Web of Science</v>
      </c>
    </row>
    <row r="892" spans="1:72" x14ac:dyDescent="0.15">
      <c r="A892" t="s">
        <v>72</v>
      </c>
      <c r="B892" t="s">
        <v>16393</v>
      </c>
      <c r="C892" t="s">
        <v>74</v>
      </c>
      <c r="D892" t="s">
        <v>74</v>
      </c>
      <c r="E892" t="s">
        <v>74</v>
      </c>
      <c r="F892" t="s">
        <v>16394</v>
      </c>
      <c r="G892" t="s">
        <v>74</v>
      </c>
      <c r="H892" t="s">
        <v>74</v>
      </c>
      <c r="I892" t="s">
        <v>16395</v>
      </c>
      <c r="J892" t="s">
        <v>8684</v>
      </c>
      <c r="K892" t="s">
        <v>74</v>
      </c>
      <c r="L892" t="s">
        <v>74</v>
      </c>
      <c r="M892" t="s">
        <v>78</v>
      </c>
      <c r="N892" t="s">
        <v>52</v>
      </c>
      <c r="O892" t="s">
        <v>74</v>
      </c>
      <c r="P892" t="s">
        <v>74</v>
      </c>
      <c r="Q892" t="s">
        <v>74</v>
      </c>
      <c r="R892" t="s">
        <v>74</v>
      </c>
      <c r="S892" t="s">
        <v>74</v>
      </c>
      <c r="T892" t="s">
        <v>74</v>
      </c>
      <c r="U892" t="s">
        <v>74</v>
      </c>
      <c r="V892" t="s">
        <v>74</v>
      </c>
      <c r="W892" t="s">
        <v>16396</v>
      </c>
      <c r="X892" t="s">
        <v>7396</v>
      </c>
      <c r="Y892" t="s">
        <v>74</v>
      </c>
      <c r="Z892" t="s">
        <v>16397</v>
      </c>
      <c r="AA892" t="s">
        <v>74</v>
      </c>
      <c r="AB892" t="s">
        <v>74</v>
      </c>
      <c r="AC892" t="s">
        <v>74</v>
      </c>
      <c r="AD892" t="s">
        <v>74</v>
      </c>
      <c r="AE892" t="s">
        <v>74</v>
      </c>
      <c r="AF892" t="s">
        <v>74</v>
      </c>
      <c r="AG892">
        <v>0</v>
      </c>
      <c r="AH892">
        <v>0</v>
      </c>
      <c r="AI892">
        <v>0</v>
      </c>
      <c r="AJ892">
        <v>0</v>
      </c>
      <c r="AK892">
        <v>1</v>
      </c>
      <c r="AL892" t="s">
        <v>795</v>
      </c>
      <c r="AM892" t="s">
        <v>1468</v>
      </c>
      <c r="AN892" t="s">
        <v>1469</v>
      </c>
      <c r="AO892" t="s">
        <v>8696</v>
      </c>
      <c r="AP892" t="s">
        <v>74</v>
      </c>
      <c r="AQ892" t="s">
        <v>74</v>
      </c>
      <c r="AR892" t="s">
        <v>8698</v>
      </c>
      <c r="AS892" t="s">
        <v>8699</v>
      </c>
      <c r="AT892" t="s">
        <v>15792</v>
      </c>
      <c r="AU892">
        <v>2011</v>
      </c>
      <c r="AV892">
        <v>47</v>
      </c>
      <c r="AW892" t="s">
        <v>74</v>
      </c>
      <c r="AX892" t="s">
        <v>74</v>
      </c>
      <c r="AY892">
        <v>2</v>
      </c>
      <c r="AZ892" t="s">
        <v>339</v>
      </c>
      <c r="BA892" t="s">
        <v>74</v>
      </c>
      <c r="BB892" t="s">
        <v>16398</v>
      </c>
      <c r="BC892" t="s">
        <v>16398</v>
      </c>
      <c r="BD892" t="s">
        <v>74</v>
      </c>
      <c r="BE892" t="s">
        <v>74</v>
      </c>
      <c r="BF892" t="s">
        <v>74</v>
      </c>
      <c r="BG892" t="s">
        <v>74</v>
      </c>
      <c r="BH892" t="s">
        <v>74</v>
      </c>
      <c r="BI892">
        <v>1</v>
      </c>
      <c r="BJ892" t="s">
        <v>8701</v>
      </c>
      <c r="BK892" t="s">
        <v>100</v>
      </c>
      <c r="BL892" t="s">
        <v>8701</v>
      </c>
      <c r="BM892" t="s">
        <v>16384</v>
      </c>
      <c r="BN892" t="s">
        <v>74</v>
      </c>
      <c r="BO892" t="s">
        <v>74</v>
      </c>
      <c r="BP892" t="s">
        <v>74</v>
      </c>
      <c r="BQ892" t="s">
        <v>74</v>
      </c>
      <c r="BR892" t="s">
        <v>102</v>
      </c>
      <c r="BS892" t="s">
        <v>16399</v>
      </c>
      <c r="BT892" t="str">
        <f>HYPERLINK("https%3A%2F%2Fwww.webofscience.com%2Fwos%2Fwoscc%2Ffull-record%2FWOS:000295090200035","View Full Record in Web of Science")</f>
        <v>View Full Record in Web of Science</v>
      </c>
    </row>
    <row r="893" spans="1:72" x14ac:dyDescent="0.15">
      <c r="A893" t="s">
        <v>72</v>
      </c>
      <c r="B893" t="s">
        <v>16400</v>
      </c>
      <c r="C893" t="s">
        <v>74</v>
      </c>
      <c r="D893" t="s">
        <v>74</v>
      </c>
      <c r="E893" t="s">
        <v>74</v>
      </c>
      <c r="F893" t="s">
        <v>16401</v>
      </c>
      <c r="G893" t="s">
        <v>74</v>
      </c>
      <c r="H893" t="s">
        <v>74</v>
      </c>
      <c r="I893" t="s">
        <v>16402</v>
      </c>
      <c r="J893" t="s">
        <v>8684</v>
      </c>
      <c r="K893" t="s">
        <v>74</v>
      </c>
      <c r="L893" t="s">
        <v>74</v>
      </c>
      <c r="M893" t="s">
        <v>78</v>
      </c>
      <c r="N893" t="s">
        <v>52</v>
      </c>
      <c r="O893" t="s">
        <v>74</v>
      </c>
      <c r="P893" t="s">
        <v>74</v>
      </c>
      <c r="Q893" t="s">
        <v>74</v>
      </c>
      <c r="R893" t="s">
        <v>74</v>
      </c>
      <c r="S893" t="s">
        <v>74</v>
      </c>
      <c r="T893" t="s">
        <v>74</v>
      </c>
      <c r="U893" t="s">
        <v>74</v>
      </c>
      <c r="V893" t="s">
        <v>74</v>
      </c>
      <c r="W893" t="s">
        <v>16403</v>
      </c>
      <c r="X893" t="s">
        <v>7396</v>
      </c>
      <c r="Y893" t="s">
        <v>74</v>
      </c>
      <c r="Z893" t="s">
        <v>16404</v>
      </c>
      <c r="AA893" t="s">
        <v>16405</v>
      </c>
      <c r="AB893" t="s">
        <v>74</v>
      </c>
      <c r="AC893" t="s">
        <v>74</v>
      </c>
      <c r="AD893" t="s">
        <v>74</v>
      </c>
      <c r="AE893" t="s">
        <v>74</v>
      </c>
      <c r="AF893" t="s">
        <v>74</v>
      </c>
      <c r="AG893">
        <v>0</v>
      </c>
      <c r="AH893">
        <v>0</v>
      </c>
      <c r="AI893">
        <v>0</v>
      </c>
      <c r="AJ893">
        <v>0</v>
      </c>
      <c r="AK893">
        <v>3</v>
      </c>
      <c r="AL893" t="s">
        <v>795</v>
      </c>
      <c r="AM893" t="s">
        <v>1468</v>
      </c>
      <c r="AN893" t="s">
        <v>1469</v>
      </c>
      <c r="AO893" t="s">
        <v>8696</v>
      </c>
      <c r="AP893" t="s">
        <v>74</v>
      </c>
      <c r="AQ893" t="s">
        <v>74</v>
      </c>
      <c r="AR893" t="s">
        <v>8698</v>
      </c>
      <c r="AS893" t="s">
        <v>8699</v>
      </c>
      <c r="AT893" t="s">
        <v>15792</v>
      </c>
      <c r="AU893">
        <v>2011</v>
      </c>
      <c r="AV893">
        <v>47</v>
      </c>
      <c r="AW893" t="s">
        <v>74</v>
      </c>
      <c r="AX893" t="s">
        <v>74</v>
      </c>
      <c r="AY893">
        <v>2</v>
      </c>
      <c r="AZ893" t="s">
        <v>339</v>
      </c>
      <c r="BA893" t="s">
        <v>74</v>
      </c>
      <c r="BB893" t="s">
        <v>16406</v>
      </c>
      <c r="BC893" t="s">
        <v>16406</v>
      </c>
      <c r="BD893" t="s">
        <v>74</v>
      </c>
      <c r="BE893" t="s">
        <v>74</v>
      </c>
      <c r="BF893" t="s">
        <v>74</v>
      </c>
      <c r="BG893" t="s">
        <v>74</v>
      </c>
      <c r="BH893" t="s">
        <v>74</v>
      </c>
      <c r="BI893">
        <v>1</v>
      </c>
      <c r="BJ893" t="s">
        <v>8701</v>
      </c>
      <c r="BK893" t="s">
        <v>100</v>
      </c>
      <c r="BL893" t="s">
        <v>8701</v>
      </c>
      <c r="BM893" t="s">
        <v>16384</v>
      </c>
      <c r="BN893" t="s">
        <v>74</v>
      </c>
      <c r="BO893" t="s">
        <v>74</v>
      </c>
      <c r="BP893" t="s">
        <v>74</v>
      </c>
      <c r="BQ893" t="s">
        <v>74</v>
      </c>
      <c r="BR893" t="s">
        <v>102</v>
      </c>
      <c r="BS893" t="s">
        <v>16407</v>
      </c>
      <c r="BT893" t="str">
        <f>HYPERLINK("https%3A%2F%2Fwww.webofscience.com%2Fwos%2Fwoscc%2Ffull-record%2FWOS:000295090200047","View Full Record in Web of Science")</f>
        <v>View Full Record in Web of Science</v>
      </c>
    </row>
    <row r="894" spans="1:72" x14ac:dyDescent="0.15">
      <c r="A894" t="s">
        <v>72</v>
      </c>
      <c r="B894" t="s">
        <v>16408</v>
      </c>
      <c r="C894" t="s">
        <v>74</v>
      </c>
      <c r="D894" t="s">
        <v>74</v>
      </c>
      <c r="E894" t="s">
        <v>74</v>
      </c>
      <c r="F894" t="s">
        <v>16409</v>
      </c>
      <c r="G894" t="s">
        <v>74</v>
      </c>
      <c r="H894" t="s">
        <v>74</v>
      </c>
      <c r="I894" t="s">
        <v>16410</v>
      </c>
      <c r="J894" t="s">
        <v>8684</v>
      </c>
      <c r="K894" t="s">
        <v>74</v>
      </c>
      <c r="L894" t="s">
        <v>74</v>
      </c>
      <c r="M894" t="s">
        <v>78</v>
      </c>
      <c r="N894" t="s">
        <v>52</v>
      </c>
      <c r="O894" t="s">
        <v>74</v>
      </c>
      <c r="P894" t="s">
        <v>74</v>
      </c>
      <c r="Q894" t="s">
        <v>74</v>
      </c>
      <c r="R894" t="s">
        <v>74</v>
      </c>
      <c r="S894" t="s">
        <v>74</v>
      </c>
      <c r="T894" t="s">
        <v>74</v>
      </c>
      <c r="U894" t="s">
        <v>74</v>
      </c>
      <c r="V894" t="s">
        <v>74</v>
      </c>
      <c r="W894" t="s">
        <v>16411</v>
      </c>
      <c r="X894" t="s">
        <v>16412</v>
      </c>
      <c r="Y894" t="s">
        <v>74</v>
      </c>
      <c r="Z894" t="s">
        <v>16413</v>
      </c>
      <c r="AA894" t="s">
        <v>16414</v>
      </c>
      <c r="AB894" t="s">
        <v>16415</v>
      </c>
      <c r="AC894" t="s">
        <v>74</v>
      </c>
      <c r="AD894" t="s">
        <v>74</v>
      </c>
      <c r="AE894" t="s">
        <v>74</v>
      </c>
      <c r="AF894" t="s">
        <v>74</v>
      </c>
      <c r="AG894">
        <v>0</v>
      </c>
      <c r="AH894">
        <v>0</v>
      </c>
      <c r="AI894">
        <v>0</v>
      </c>
      <c r="AJ894">
        <v>0</v>
      </c>
      <c r="AK894">
        <v>2</v>
      </c>
      <c r="AL894" t="s">
        <v>795</v>
      </c>
      <c r="AM894" t="s">
        <v>1468</v>
      </c>
      <c r="AN894" t="s">
        <v>1469</v>
      </c>
      <c r="AO894" t="s">
        <v>8696</v>
      </c>
      <c r="AP894" t="s">
        <v>74</v>
      </c>
      <c r="AQ894" t="s">
        <v>74</v>
      </c>
      <c r="AR894" t="s">
        <v>8698</v>
      </c>
      <c r="AS894" t="s">
        <v>8699</v>
      </c>
      <c r="AT894" t="s">
        <v>15792</v>
      </c>
      <c r="AU894">
        <v>2011</v>
      </c>
      <c r="AV894">
        <v>47</v>
      </c>
      <c r="AW894" t="s">
        <v>74</v>
      </c>
      <c r="AX894" t="s">
        <v>74</v>
      </c>
      <c r="AY894">
        <v>2</v>
      </c>
      <c r="AZ894" t="s">
        <v>339</v>
      </c>
      <c r="BA894" t="s">
        <v>74</v>
      </c>
      <c r="BB894" t="s">
        <v>16416</v>
      </c>
      <c r="BC894" t="s">
        <v>16416</v>
      </c>
      <c r="BD894" t="s">
        <v>74</v>
      </c>
      <c r="BE894" t="s">
        <v>74</v>
      </c>
      <c r="BF894" t="s">
        <v>74</v>
      </c>
      <c r="BG894" t="s">
        <v>74</v>
      </c>
      <c r="BH894" t="s">
        <v>74</v>
      </c>
      <c r="BI894">
        <v>1</v>
      </c>
      <c r="BJ894" t="s">
        <v>8701</v>
      </c>
      <c r="BK894" t="s">
        <v>100</v>
      </c>
      <c r="BL894" t="s">
        <v>8701</v>
      </c>
      <c r="BM894" t="s">
        <v>16384</v>
      </c>
      <c r="BN894" t="s">
        <v>74</v>
      </c>
      <c r="BO894" t="s">
        <v>74</v>
      </c>
      <c r="BP894" t="s">
        <v>74</v>
      </c>
      <c r="BQ894" t="s">
        <v>74</v>
      </c>
      <c r="BR894" t="s">
        <v>102</v>
      </c>
      <c r="BS894" t="s">
        <v>16417</v>
      </c>
      <c r="BT894" t="str">
        <f>HYPERLINK("https%3A%2F%2Fwww.webofscience.com%2Fwos%2Fwoscc%2Ffull-record%2FWOS:000295090200144","View Full Record in Web of Science")</f>
        <v>View Full Record in Web of Science</v>
      </c>
    </row>
    <row r="895" spans="1:72" x14ac:dyDescent="0.15">
      <c r="A895" t="s">
        <v>72</v>
      </c>
      <c r="B895" t="s">
        <v>16418</v>
      </c>
      <c r="C895" t="s">
        <v>74</v>
      </c>
      <c r="D895" t="s">
        <v>74</v>
      </c>
      <c r="E895" t="s">
        <v>74</v>
      </c>
      <c r="F895" t="s">
        <v>16419</v>
      </c>
      <c r="G895" t="s">
        <v>74</v>
      </c>
      <c r="H895" t="s">
        <v>74</v>
      </c>
      <c r="I895" t="s">
        <v>16420</v>
      </c>
      <c r="J895" t="s">
        <v>7842</v>
      </c>
      <c r="K895" t="s">
        <v>74</v>
      </c>
      <c r="L895" t="s">
        <v>74</v>
      </c>
      <c r="M895" t="s">
        <v>78</v>
      </c>
      <c r="N895" t="s">
        <v>79</v>
      </c>
      <c r="O895" t="s">
        <v>74</v>
      </c>
      <c r="P895" t="s">
        <v>74</v>
      </c>
      <c r="Q895" t="s">
        <v>74</v>
      </c>
      <c r="R895" t="s">
        <v>74</v>
      </c>
      <c r="S895" t="s">
        <v>74</v>
      </c>
      <c r="T895" t="s">
        <v>74</v>
      </c>
      <c r="U895" t="s">
        <v>16421</v>
      </c>
      <c r="V895" t="s">
        <v>16422</v>
      </c>
      <c r="W895" t="s">
        <v>16423</v>
      </c>
      <c r="X895" t="s">
        <v>16424</v>
      </c>
      <c r="Y895" t="s">
        <v>16425</v>
      </c>
      <c r="Z895" t="s">
        <v>16426</v>
      </c>
      <c r="AA895" t="s">
        <v>16427</v>
      </c>
      <c r="AB895" t="s">
        <v>16428</v>
      </c>
      <c r="AC895" t="s">
        <v>16429</v>
      </c>
      <c r="AD895" t="s">
        <v>16430</v>
      </c>
      <c r="AE895" t="s">
        <v>16431</v>
      </c>
      <c r="AF895" t="s">
        <v>74</v>
      </c>
      <c r="AG895">
        <v>46</v>
      </c>
      <c r="AH895">
        <v>41</v>
      </c>
      <c r="AI895">
        <v>46</v>
      </c>
      <c r="AJ895">
        <v>1</v>
      </c>
      <c r="AK895">
        <v>23</v>
      </c>
      <c r="AL895" t="s">
        <v>2832</v>
      </c>
      <c r="AM895" t="s">
        <v>796</v>
      </c>
      <c r="AN895" t="s">
        <v>797</v>
      </c>
      <c r="AO895" t="s">
        <v>7853</v>
      </c>
      <c r="AP895" t="s">
        <v>7854</v>
      </c>
      <c r="AQ895" t="s">
        <v>74</v>
      </c>
      <c r="AR895" t="s">
        <v>7855</v>
      </c>
      <c r="AS895" t="s">
        <v>7856</v>
      </c>
      <c r="AT895" t="s">
        <v>15792</v>
      </c>
      <c r="AU895">
        <v>2011</v>
      </c>
      <c r="AV895">
        <v>46</v>
      </c>
      <c r="AW895">
        <v>9</v>
      </c>
      <c r="AX895" t="s">
        <v>74</v>
      </c>
      <c r="AY895" t="s">
        <v>74</v>
      </c>
      <c r="AZ895" t="s">
        <v>74</v>
      </c>
      <c r="BA895" t="s">
        <v>74</v>
      </c>
      <c r="BB895">
        <v>1276</v>
      </c>
      <c r="BC895">
        <v>1287</v>
      </c>
      <c r="BD895" t="s">
        <v>74</v>
      </c>
      <c r="BE895" t="s">
        <v>16432</v>
      </c>
      <c r="BF895" t="str">
        <f>HYPERLINK("http://dx.doi.org/10.1111/j.1945-5100.2011.01229.x","http://dx.doi.org/10.1111/j.1945-5100.2011.01229.x")</f>
        <v>http://dx.doi.org/10.1111/j.1945-5100.2011.01229.x</v>
      </c>
      <c r="BG895" t="s">
        <v>74</v>
      </c>
      <c r="BH895" t="s">
        <v>74</v>
      </c>
      <c r="BI895">
        <v>12</v>
      </c>
      <c r="BJ895" t="s">
        <v>164</v>
      </c>
      <c r="BK895" t="s">
        <v>100</v>
      </c>
      <c r="BL895" t="s">
        <v>164</v>
      </c>
      <c r="BM895" t="s">
        <v>16433</v>
      </c>
      <c r="BN895" t="s">
        <v>74</v>
      </c>
      <c r="BO895" t="s">
        <v>74</v>
      </c>
      <c r="BP895" t="s">
        <v>74</v>
      </c>
      <c r="BQ895" t="s">
        <v>74</v>
      </c>
      <c r="BR895" t="s">
        <v>102</v>
      </c>
      <c r="BS895" t="s">
        <v>16434</v>
      </c>
      <c r="BT895" t="str">
        <f>HYPERLINK("https%3A%2F%2Fwww.webofscience.com%2Fwos%2Fwoscc%2Ffull-record%2FWOS:000295053300004","View Full Record in Web of Science")</f>
        <v>View Full Record in Web of Science</v>
      </c>
    </row>
    <row r="896" spans="1:72" x14ac:dyDescent="0.15">
      <c r="A896" t="s">
        <v>72</v>
      </c>
      <c r="B896" t="s">
        <v>16435</v>
      </c>
      <c r="C896" t="s">
        <v>74</v>
      </c>
      <c r="D896" t="s">
        <v>74</v>
      </c>
      <c r="E896" t="s">
        <v>74</v>
      </c>
      <c r="F896" t="s">
        <v>16436</v>
      </c>
      <c r="G896" t="s">
        <v>74</v>
      </c>
      <c r="H896" t="s">
        <v>74</v>
      </c>
      <c r="I896" t="s">
        <v>16437</v>
      </c>
      <c r="J896" t="s">
        <v>7842</v>
      </c>
      <c r="K896" t="s">
        <v>74</v>
      </c>
      <c r="L896" t="s">
        <v>74</v>
      </c>
      <c r="M896" t="s">
        <v>78</v>
      </c>
      <c r="N896" t="s">
        <v>79</v>
      </c>
      <c r="O896" t="s">
        <v>74</v>
      </c>
      <c r="P896" t="s">
        <v>74</v>
      </c>
      <c r="Q896" t="s">
        <v>74</v>
      </c>
      <c r="R896" t="s">
        <v>74</v>
      </c>
      <c r="S896" t="s">
        <v>74</v>
      </c>
      <c r="T896" t="s">
        <v>74</v>
      </c>
      <c r="U896" t="s">
        <v>16438</v>
      </c>
      <c r="V896" t="s">
        <v>16439</v>
      </c>
      <c r="W896" t="s">
        <v>16440</v>
      </c>
      <c r="X896" t="s">
        <v>16441</v>
      </c>
      <c r="Y896" t="s">
        <v>16442</v>
      </c>
      <c r="Z896" t="s">
        <v>16443</v>
      </c>
      <c r="AA896" t="s">
        <v>16444</v>
      </c>
      <c r="AB896" t="s">
        <v>16445</v>
      </c>
      <c r="AC896" t="s">
        <v>16446</v>
      </c>
      <c r="AD896" t="s">
        <v>16447</v>
      </c>
      <c r="AE896" t="s">
        <v>16448</v>
      </c>
      <c r="AF896" t="s">
        <v>74</v>
      </c>
      <c r="AG896">
        <v>55</v>
      </c>
      <c r="AH896">
        <v>7</v>
      </c>
      <c r="AI896">
        <v>11</v>
      </c>
      <c r="AJ896">
        <v>1</v>
      </c>
      <c r="AK896">
        <v>23</v>
      </c>
      <c r="AL896" t="s">
        <v>2832</v>
      </c>
      <c r="AM896" t="s">
        <v>796</v>
      </c>
      <c r="AN896" t="s">
        <v>797</v>
      </c>
      <c r="AO896" t="s">
        <v>7853</v>
      </c>
      <c r="AP896" t="s">
        <v>7854</v>
      </c>
      <c r="AQ896" t="s">
        <v>74</v>
      </c>
      <c r="AR896" t="s">
        <v>7855</v>
      </c>
      <c r="AS896" t="s">
        <v>7856</v>
      </c>
      <c r="AT896" t="s">
        <v>15792</v>
      </c>
      <c r="AU896">
        <v>2011</v>
      </c>
      <c r="AV896">
        <v>46</v>
      </c>
      <c r="AW896">
        <v>9</v>
      </c>
      <c r="AX896" t="s">
        <v>74</v>
      </c>
      <c r="AY896" t="s">
        <v>74</v>
      </c>
      <c r="AZ896" t="s">
        <v>74</v>
      </c>
      <c r="BA896" t="s">
        <v>74</v>
      </c>
      <c r="BB896">
        <v>1329</v>
      </c>
      <c r="BC896">
        <v>1344</v>
      </c>
      <c r="BD896" t="s">
        <v>74</v>
      </c>
      <c r="BE896" t="s">
        <v>16449</v>
      </c>
      <c r="BF896" t="str">
        <f>HYPERLINK("http://dx.doi.org/10.1111/j.1945-5100.2011.01232.x","http://dx.doi.org/10.1111/j.1945-5100.2011.01232.x")</f>
        <v>http://dx.doi.org/10.1111/j.1945-5100.2011.01232.x</v>
      </c>
      <c r="BG896" t="s">
        <v>74</v>
      </c>
      <c r="BH896" t="s">
        <v>74</v>
      </c>
      <c r="BI896">
        <v>16</v>
      </c>
      <c r="BJ896" t="s">
        <v>164</v>
      </c>
      <c r="BK896" t="s">
        <v>100</v>
      </c>
      <c r="BL896" t="s">
        <v>164</v>
      </c>
      <c r="BM896" t="s">
        <v>16433</v>
      </c>
      <c r="BN896" t="s">
        <v>74</v>
      </c>
      <c r="BO896" t="s">
        <v>365</v>
      </c>
      <c r="BP896" t="s">
        <v>74</v>
      </c>
      <c r="BQ896" t="s">
        <v>74</v>
      </c>
      <c r="BR896" t="s">
        <v>102</v>
      </c>
      <c r="BS896" t="s">
        <v>16450</v>
      </c>
      <c r="BT896" t="str">
        <f>HYPERLINK("https%3A%2F%2Fwww.webofscience.com%2Fwos%2Fwoscc%2Ffull-record%2FWOS:000295053300007","View Full Record in Web of Science")</f>
        <v>View Full Record in Web of Science</v>
      </c>
    </row>
    <row r="897" spans="1:72" x14ac:dyDescent="0.15">
      <c r="A897" t="s">
        <v>72</v>
      </c>
      <c r="B897" t="s">
        <v>16451</v>
      </c>
      <c r="C897" t="s">
        <v>74</v>
      </c>
      <c r="D897" t="s">
        <v>74</v>
      </c>
      <c r="E897" t="s">
        <v>74</v>
      </c>
      <c r="F897" t="s">
        <v>16452</v>
      </c>
      <c r="G897" t="s">
        <v>74</v>
      </c>
      <c r="H897" t="s">
        <v>74</v>
      </c>
      <c r="I897" t="s">
        <v>16453</v>
      </c>
      <c r="J897" t="s">
        <v>7842</v>
      </c>
      <c r="K897" t="s">
        <v>74</v>
      </c>
      <c r="L897" t="s">
        <v>74</v>
      </c>
      <c r="M897" t="s">
        <v>78</v>
      </c>
      <c r="N897" t="s">
        <v>79</v>
      </c>
      <c r="O897" t="s">
        <v>74</v>
      </c>
      <c r="P897" t="s">
        <v>74</v>
      </c>
      <c r="Q897" t="s">
        <v>74</v>
      </c>
      <c r="R897" t="s">
        <v>74</v>
      </c>
      <c r="S897" t="s">
        <v>74</v>
      </c>
      <c r="T897" t="s">
        <v>74</v>
      </c>
      <c r="U897" t="s">
        <v>16454</v>
      </c>
      <c r="V897" t="s">
        <v>16455</v>
      </c>
      <c r="W897" t="s">
        <v>16456</v>
      </c>
      <c r="X897" t="s">
        <v>16457</v>
      </c>
      <c r="Y897" t="s">
        <v>16458</v>
      </c>
      <c r="Z897" t="s">
        <v>149</v>
      </c>
      <c r="AA897" t="s">
        <v>16459</v>
      </c>
      <c r="AB897" t="s">
        <v>16460</v>
      </c>
      <c r="AC897" t="s">
        <v>16461</v>
      </c>
      <c r="AD897" t="s">
        <v>16462</v>
      </c>
      <c r="AE897" t="s">
        <v>16463</v>
      </c>
      <c r="AF897" t="s">
        <v>74</v>
      </c>
      <c r="AG897">
        <v>67</v>
      </c>
      <c r="AH897">
        <v>51</v>
      </c>
      <c r="AI897">
        <v>53</v>
      </c>
      <c r="AJ897">
        <v>0</v>
      </c>
      <c r="AK897">
        <v>19</v>
      </c>
      <c r="AL897" t="s">
        <v>795</v>
      </c>
      <c r="AM897" t="s">
        <v>796</v>
      </c>
      <c r="AN897" t="s">
        <v>797</v>
      </c>
      <c r="AO897" t="s">
        <v>7853</v>
      </c>
      <c r="AP897" t="s">
        <v>7854</v>
      </c>
      <c r="AQ897" t="s">
        <v>74</v>
      </c>
      <c r="AR897" t="s">
        <v>7855</v>
      </c>
      <c r="AS897" t="s">
        <v>7856</v>
      </c>
      <c r="AT897" t="s">
        <v>15792</v>
      </c>
      <c r="AU897">
        <v>2011</v>
      </c>
      <c r="AV897">
        <v>46</v>
      </c>
      <c r="AW897">
        <v>9</v>
      </c>
      <c r="AX897" t="s">
        <v>74</v>
      </c>
      <c r="AY897" t="s">
        <v>74</v>
      </c>
      <c r="AZ897" t="s">
        <v>74</v>
      </c>
      <c r="BA897" t="s">
        <v>74</v>
      </c>
      <c r="BB897">
        <v>1363</v>
      </c>
      <c r="BC897">
        <v>1375</v>
      </c>
      <c r="BD897" t="s">
        <v>74</v>
      </c>
      <c r="BE897" t="s">
        <v>16464</v>
      </c>
      <c r="BF897" t="str">
        <f>HYPERLINK("http://dx.doi.org/10.1111/j.1945-5100.2011.01235.x","http://dx.doi.org/10.1111/j.1945-5100.2011.01235.x")</f>
        <v>http://dx.doi.org/10.1111/j.1945-5100.2011.01235.x</v>
      </c>
      <c r="BG897" t="s">
        <v>74</v>
      </c>
      <c r="BH897" t="s">
        <v>74</v>
      </c>
      <c r="BI897">
        <v>13</v>
      </c>
      <c r="BJ897" t="s">
        <v>164</v>
      </c>
      <c r="BK897" t="s">
        <v>100</v>
      </c>
      <c r="BL897" t="s">
        <v>164</v>
      </c>
      <c r="BM897" t="s">
        <v>16433</v>
      </c>
      <c r="BN897" t="s">
        <v>74</v>
      </c>
      <c r="BO897" t="s">
        <v>74</v>
      </c>
      <c r="BP897" t="s">
        <v>74</v>
      </c>
      <c r="BQ897" t="s">
        <v>74</v>
      </c>
      <c r="BR897" t="s">
        <v>102</v>
      </c>
      <c r="BS897" t="s">
        <v>16465</v>
      </c>
      <c r="BT897" t="str">
        <f>HYPERLINK("https%3A%2F%2Fwww.webofscience.com%2Fwos%2Fwoscc%2Ffull-record%2FWOS:000295053300009","View Full Record in Web of Science")</f>
        <v>View Full Record in Web of Science</v>
      </c>
    </row>
    <row r="898" spans="1:72" x14ac:dyDescent="0.15">
      <c r="A898" t="s">
        <v>72</v>
      </c>
      <c r="B898" t="s">
        <v>16466</v>
      </c>
      <c r="C898" t="s">
        <v>74</v>
      </c>
      <c r="D898" t="s">
        <v>74</v>
      </c>
      <c r="E898" t="s">
        <v>74</v>
      </c>
      <c r="F898" t="s">
        <v>16467</v>
      </c>
      <c r="G898" t="s">
        <v>74</v>
      </c>
      <c r="H898" t="s">
        <v>74</v>
      </c>
      <c r="I898" t="s">
        <v>16468</v>
      </c>
      <c r="J898" t="s">
        <v>3815</v>
      </c>
      <c r="K898" t="s">
        <v>74</v>
      </c>
      <c r="L898" t="s">
        <v>74</v>
      </c>
      <c r="M898" t="s">
        <v>78</v>
      </c>
      <c r="N898" t="s">
        <v>79</v>
      </c>
      <c r="O898" t="s">
        <v>74</v>
      </c>
      <c r="P898" t="s">
        <v>74</v>
      </c>
      <c r="Q898" t="s">
        <v>74</v>
      </c>
      <c r="R898" t="s">
        <v>74</v>
      </c>
      <c r="S898" t="s">
        <v>74</v>
      </c>
      <c r="T898" t="s">
        <v>74</v>
      </c>
      <c r="U898" t="s">
        <v>16469</v>
      </c>
      <c r="V898" t="s">
        <v>16470</v>
      </c>
      <c r="W898" t="s">
        <v>16471</v>
      </c>
      <c r="X898" t="s">
        <v>16472</v>
      </c>
      <c r="Y898" t="s">
        <v>16473</v>
      </c>
      <c r="Z898" t="s">
        <v>16474</v>
      </c>
      <c r="AA898" t="s">
        <v>16475</v>
      </c>
      <c r="AB898" t="s">
        <v>16476</v>
      </c>
      <c r="AC898" t="s">
        <v>16477</v>
      </c>
      <c r="AD898" t="s">
        <v>16478</v>
      </c>
      <c r="AE898" t="s">
        <v>16479</v>
      </c>
      <c r="AF898" t="s">
        <v>74</v>
      </c>
      <c r="AG898">
        <v>38</v>
      </c>
      <c r="AH898">
        <v>7</v>
      </c>
      <c r="AI898">
        <v>10</v>
      </c>
      <c r="AJ898">
        <v>0</v>
      </c>
      <c r="AK898">
        <v>9</v>
      </c>
      <c r="AL898" t="s">
        <v>3775</v>
      </c>
      <c r="AM898" t="s">
        <v>3776</v>
      </c>
      <c r="AN898" t="s">
        <v>3777</v>
      </c>
      <c r="AO898" t="s">
        <v>3827</v>
      </c>
      <c r="AP898" t="s">
        <v>3828</v>
      </c>
      <c r="AQ898" t="s">
        <v>74</v>
      </c>
      <c r="AR898" t="s">
        <v>3829</v>
      </c>
      <c r="AS898" t="s">
        <v>3830</v>
      </c>
      <c r="AT898" t="s">
        <v>15792</v>
      </c>
      <c r="AU898">
        <v>2011</v>
      </c>
      <c r="AV898">
        <v>24</v>
      </c>
      <c r="AW898">
        <v>17</v>
      </c>
      <c r="AX898" t="s">
        <v>74</v>
      </c>
      <c r="AY898" t="s">
        <v>74</v>
      </c>
      <c r="AZ898" t="s">
        <v>74</v>
      </c>
      <c r="BA898" t="s">
        <v>74</v>
      </c>
      <c r="BB898">
        <v>4718</v>
      </c>
      <c r="BC898">
        <v>4732</v>
      </c>
      <c r="BD898" t="s">
        <v>74</v>
      </c>
      <c r="BE898" t="s">
        <v>16480</v>
      </c>
      <c r="BF898" t="str">
        <f>HYPERLINK("http://dx.doi.org/10.1175/2011JCLI4196.1","http://dx.doi.org/10.1175/2011JCLI4196.1")</f>
        <v>http://dx.doi.org/10.1175/2011JCLI4196.1</v>
      </c>
      <c r="BG898" t="s">
        <v>74</v>
      </c>
      <c r="BH898" t="s">
        <v>74</v>
      </c>
      <c r="BI898">
        <v>15</v>
      </c>
      <c r="BJ898" t="s">
        <v>463</v>
      </c>
      <c r="BK898" t="s">
        <v>100</v>
      </c>
      <c r="BL898" t="s">
        <v>463</v>
      </c>
      <c r="BM898" t="s">
        <v>16481</v>
      </c>
      <c r="BN898" t="s">
        <v>74</v>
      </c>
      <c r="BO898" t="s">
        <v>11655</v>
      </c>
      <c r="BP898" t="s">
        <v>74</v>
      </c>
      <c r="BQ898" t="s">
        <v>74</v>
      </c>
      <c r="BR898" t="s">
        <v>102</v>
      </c>
      <c r="BS898" t="s">
        <v>16482</v>
      </c>
      <c r="BT898" t="str">
        <f>HYPERLINK("https%3A%2F%2Fwww.webofscience.com%2Fwos%2Fwoscc%2Ffull-record%2FWOS:000294993800014","View Full Record in Web of Science")</f>
        <v>View Full Record in Web of Science</v>
      </c>
    </row>
    <row r="899" spans="1:72" x14ac:dyDescent="0.15">
      <c r="A899" t="s">
        <v>72</v>
      </c>
      <c r="B899" t="s">
        <v>16483</v>
      </c>
      <c r="C899" t="s">
        <v>74</v>
      </c>
      <c r="D899" t="s">
        <v>74</v>
      </c>
      <c r="E899" t="s">
        <v>74</v>
      </c>
      <c r="F899" t="s">
        <v>16484</v>
      </c>
      <c r="G899" t="s">
        <v>74</v>
      </c>
      <c r="H899" t="s">
        <v>74</v>
      </c>
      <c r="I899" t="s">
        <v>16485</v>
      </c>
      <c r="J899" t="s">
        <v>7820</v>
      </c>
      <c r="K899" t="s">
        <v>74</v>
      </c>
      <c r="L899" t="s">
        <v>74</v>
      </c>
      <c r="M899" t="s">
        <v>78</v>
      </c>
      <c r="N899" t="s">
        <v>79</v>
      </c>
      <c r="O899" t="s">
        <v>74</v>
      </c>
      <c r="P899" t="s">
        <v>74</v>
      </c>
      <c r="Q899" t="s">
        <v>74</v>
      </c>
      <c r="R899" t="s">
        <v>74</v>
      </c>
      <c r="S899" t="s">
        <v>74</v>
      </c>
      <c r="T899" t="s">
        <v>16486</v>
      </c>
      <c r="U899" t="s">
        <v>16487</v>
      </c>
      <c r="V899" t="s">
        <v>16488</v>
      </c>
      <c r="W899" t="s">
        <v>16489</v>
      </c>
      <c r="X899" t="s">
        <v>4323</v>
      </c>
      <c r="Y899" t="s">
        <v>16490</v>
      </c>
      <c r="Z899" t="s">
        <v>16491</v>
      </c>
      <c r="AA899" t="s">
        <v>16492</v>
      </c>
      <c r="AB899" t="s">
        <v>16493</v>
      </c>
      <c r="AC899" t="s">
        <v>16494</v>
      </c>
      <c r="AD899" t="s">
        <v>16495</v>
      </c>
      <c r="AE899" t="s">
        <v>16496</v>
      </c>
      <c r="AF899" t="s">
        <v>74</v>
      </c>
      <c r="AG899">
        <v>100</v>
      </c>
      <c r="AH899">
        <v>22</v>
      </c>
      <c r="AI899">
        <v>23</v>
      </c>
      <c r="AJ899">
        <v>0</v>
      </c>
      <c r="AK899">
        <v>14</v>
      </c>
      <c r="AL899" t="s">
        <v>333</v>
      </c>
      <c r="AM899" t="s">
        <v>334</v>
      </c>
      <c r="AN899" t="s">
        <v>335</v>
      </c>
      <c r="AO899" t="s">
        <v>7833</v>
      </c>
      <c r="AP899" t="s">
        <v>7834</v>
      </c>
      <c r="AQ899" t="s">
        <v>74</v>
      </c>
      <c r="AR899" t="s">
        <v>7820</v>
      </c>
      <c r="AS899" t="s">
        <v>7835</v>
      </c>
      <c r="AT899" t="s">
        <v>15792</v>
      </c>
      <c r="AU899">
        <v>2011</v>
      </c>
      <c r="AV899">
        <v>126</v>
      </c>
      <c r="AW899" t="s">
        <v>1776</v>
      </c>
      <c r="AX899" t="s">
        <v>74</v>
      </c>
      <c r="AY899" t="s">
        <v>74</v>
      </c>
      <c r="AZ899" t="s">
        <v>74</v>
      </c>
      <c r="BA899" t="s">
        <v>74</v>
      </c>
      <c r="BB899">
        <v>68</v>
      </c>
      <c r="BC899">
        <v>83</v>
      </c>
      <c r="BD899" t="s">
        <v>74</v>
      </c>
      <c r="BE899" t="s">
        <v>16497</v>
      </c>
      <c r="BF899" t="str">
        <f>HYPERLINK("http://dx.doi.org/10.1016/j.lithos.2011.06.005","http://dx.doi.org/10.1016/j.lithos.2011.06.005")</f>
        <v>http://dx.doi.org/10.1016/j.lithos.2011.06.005</v>
      </c>
      <c r="BG899" t="s">
        <v>74</v>
      </c>
      <c r="BH899" t="s">
        <v>74</v>
      </c>
      <c r="BI899">
        <v>16</v>
      </c>
      <c r="BJ899" t="s">
        <v>2083</v>
      </c>
      <c r="BK899" t="s">
        <v>100</v>
      </c>
      <c r="BL899" t="s">
        <v>2083</v>
      </c>
      <c r="BM899" t="s">
        <v>16498</v>
      </c>
      <c r="BN899" t="s">
        <v>74</v>
      </c>
      <c r="BO899" t="s">
        <v>1796</v>
      </c>
      <c r="BP899" t="s">
        <v>74</v>
      </c>
      <c r="BQ899" t="s">
        <v>74</v>
      </c>
      <c r="BR899" t="s">
        <v>102</v>
      </c>
      <c r="BS899" t="s">
        <v>16499</v>
      </c>
      <c r="BT899" t="str">
        <f>HYPERLINK("https%3A%2F%2Fwww.webofscience.com%2Fwos%2Fwoscc%2Ffull-record%2FWOS:000295064200005","View Full Record in Web of Science")</f>
        <v>View Full Record in Web of Science</v>
      </c>
    </row>
    <row r="900" spans="1:72" x14ac:dyDescent="0.15">
      <c r="A900" t="s">
        <v>72</v>
      </c>
      <c r="B900" t="s">
        <v>16500</v>
      </c>
      <c r="C900" t="s">
        <v>74</v>
      </c>
      <c r="D900" t="s">
        <v>74</v>
      </c>
      <c r="E900" t="s">
        <v>74</v>
      </c>
      <c r="F900" t="s">
        <v>16501</v>
      </c>
      <c r="G900" t="s">
        <v>74</v>
      </c>
      <c r="H900" t="s">
        <v>74</v>
      </c>
      <c r="I900" t="s">
        <v>16502</v>
      </c>
      <c r="J900" t="s">
        <v>16503</v>
      </c>
      <c r="K900" t="s">
        <v>74</v>
      </c>
      <c r="L900" t="s">
        <v>74</v>
      </c>
      <c r="M900" t="s">
        <v>78</v>
      </c>
      <c r="N900" t="s">
        <v>79</v>
      </c>
      <c r="O900" t="s">
        <v>74</v>
      </c>
      <c r="P900" t="s">
        <v>74</v>
      </c>
      <c r="Q900" t="s">
        <v>74</v>
      </c>
      <c r="R900" t="s">
        <v>74</v>
      </c>
      <c r="S900" t="s">
        <v>74</v>
      </c>
      <c r="T900" t="s">
        <v>16504</v>
      </c>
      <c r="U900" t="s">
        <v>16505</v>
      </c>
      <c r="V900" t="s">
        <v>16506</v>
      </c>
      <c r="W900" t="s">
        <v>16507</v>
      </c>
      <c r="X900" t="s">
        <v>16508</v>
      </c>
      <c r="Y900" t="s">
        <v>16509</v>
      </c>
      <c r="Z900" t="s">
        <v>16510</v>
      </c>
      <c r="AA900" t="s">
        <v>16511</v>
      </c>
      <c r="AB900" t="s">
        <v>16512</v>
      </c>
      <c r="AC900" t="s">
        <v>16513</v>
      </c>
      <c r="AD900" t="s">
        <v>16514</v>
      </c>
      <c r="AE900" t="s">
        <v>16515</v>
      </c>
      <c r="AF900" t="s">
        <v>74</v>
      </c>
      <c r="AG900">
        <v>55</v>
      </c>
      <c r="AH900">
        <v>17</v>
      </c>
      <c r="AI900">
        <v>19</v>
      </c>
      <c r="AJ900">
        <v>1</v>
      </c>
      <c r="AK900">
        <v>12</v>
      </c>
      <c r="AL900" t="s">
        <v>16516</v>
      </c>
      <c r="AM900" t="s">
        <v>16517</v>
      </c>
      <c r="AN900" t="s">
        <v>16518</v>
      </c>
      <c r="AO900" t="s">
        <v>16519</v>
      </c>
      <c r="AP900" t="s">
        <v>74</v>
      </c>
      <c r="AQ900" t="s">
        <v>74</v>
      </c>
      <c r="AR900" t="s">
        <v>16520</v>
      </c>
      <c r="AS900" t="s">
        <v>16521</v>
      </c>
      <c r="AT900" t="s">
        <v>15792</v>
      </c>
      <c r="AU900">
        <v>2011</v>
      </c>
      <c r="AV900">
        <v>37</v>
      </c>
      <c r="AW900">
        <v>3</v>
      </c>
      <c r="AX900" t="s">
        <v>74</v>
      </c>
      <c r="AY900" t="s">
        <v>74</v>
      </c>
      <c r="AZ900" t="s">
        <v>74</v>
      </c>
      <c r="BA900" t="s">
        <v>74</v>
      </c>
      <c r="BB900">
        <v>349</v>
      </c>
      <c r="BC900">
        <v>368</v>
      </c>
      <c r="BD900" t="s">
        <v>74</v>
      </c>
      <c r="BE900" t="s">
        <v>16522</v>
      </c>
      <c r="BF900" t="str">
        <f>HYPERLINK("http://dx.doi.org/10.7773/cm.v37i3.1818","http://dx.doi.org/10.7773/cm.v37i3.1818")</f>
        <v>http://dx.doi.org/10.7773/cm.v37i3.1818</v>
      </c>
      <c r="BG900" t="s">
        <v>74</v>
      </c>
      <c r="BH900" t="s">
        <v>74</v>
      </c>
      <c r="BI900">
        <v>20</v>
      </c>
      <c r="BJ900" t="s">
        <v>1015</v>
      </c>
      <c r="BK900" t="s">
        <v>100</v>
      </c>
      <c r="BL900" t="s">
        <v>1015</v>
      </c>
      <c r="BM900" t="s">
        <v>16523</v>
      </c>
      <c r="BN900" t="s">
        <v>74</v>
      </c>
      <c r="BO900" t="s">
        <v>3175</v>
      </c>
      <c r="BP900" t="s">
        <v>74</v>
      </c>
      <c r="BQ900" t="s">
        <v>74</v>
      </c>
      <c r="BR900" t="s">
        <v>102</v>
      </c>
      <c r="BS900" t="s">
        <v>16524</v>
      </c>
      <c r="BT900" t="str">
        <f>HYPERLINK("https%3A%2F%2Fwww.webofscience.com%2Fwos%2Fwoscc%2Ffull-record%2FWOS:000294934400009","View Full Record in Web of Science")</f>
        <v>View Full Record in Web of Science</v>
      </c>
    </row>
    <row r="901" spans="1:72" x14ac:dyDescent="0.15">
      <c r="A901" t="s">
        <v>72</v>
      </c>
      <c r="B901" t="s">
        <v>16525</v>
      </c>
      <c r="C901" t="s">
        <v>74</v>
      </c>
      <c r="D901" t="s">
        <v>74</v>
      </c>
      <c r="E901" t="s">
        <v>74</v>
      </c>
      <c r="F901" t="s">
        <v>16526</v>
      </c>
      <c r="G901" t="s">
        <v>74</v>
      </c>
      <c r="H901" t="s">
        <v>74</v>
      </c>
      <c r="I901" t="s">
        <v>16527</v>
      </c>
      <c r="J901" t="s">
        <v>16528</v>
      </c>
      <c r="K901" t="s">
        <v>74</v>
      </c>
      <c r="L901" t="s">
        <v>74</v>
      </c>
      <c r="M901" t="s">
        <v>78</v>
      </c>
      <c r="N901" t="s">
        <v>79</v>
      </c>
      <c r="O901" t="s">
        <v>74</v>
      </c>
      <c r="P901" t="s">
        <v>74</v>
      </c>
      <c r="Q901" t="s">
        <v>74</v>
      </c>
      <c r="R901" t="s">
        <v>74</v>
      </c>
      <c r="S901" t="s">
        <v>74</v>
      </c>
      <c r="T901" t="s">
        <v>74</v>
      </c>
      <c r="U901" t="s">
        <v>16529</v>
      </c>
      <c r="V901" t="s">
        <v>16530</v>
      </c>
      <c r="W901" t="s">
        <v>16531</v>
      </c>
      <c r="X901" t="s">
        <v>16532</v>
      </c>
      <c r="Y901" t="s">
        <v>16533</v>
      </c>
      <c r="Z901" t="s">
        <v>16534</v>
      </c>
      <c r="AA901" t="s">
        <v>16535</v>
      </c>
      <c r="AB901" t="s">
        <v>16536</v>
      </c>
      <c r="AC901" t="s">
        <v>16537</v>
      </c>
      <c r="AD901" t="s">
        <v>16537</v>
      </c>
      <c r="AE901" t="s">
        <v>16538</v>
      </c>
      <c r="AF901" t="s">
        <v>74</v>
      </c>
      <c r="AG901">
        <v>100</v>
      </c>
      <c r="AH901">
        <v>7</v>
      </c>
      <c r="AI901">
        <v>7</v>
      </c>
      <c r="AJ901">
        <v>0</v>
      </c>
      <c r="AK901">
        <v>5</v>
      </c>
      <c r="AL901" t="s">
        <v>16539</v>
      </c>
      <c r="AM901" t="s">
        <v>8809</v>
      </c>
      <c r="AN901" t="s">
        <v>16540</v>
      </c>
      <c r="AO901" t="s">
        <v>16541</v>
      </c>
      <c r="AP901" t="s">
        <v>74</v>
      </c>
      <c r="AQ901" t="s">
        <v>74</v>
      </c>
      <c r="AR901" t="s">
        <v>16542</v>
      </c>
      <c r="AS901" t="s">
        <v>16543</v>
      </c>
      <c r="AT901" t="s">
        <v>15792</v>
      </c>
      <c r="AU901">
        <v>2011</v>
      </c>
      <c r="AV901">
        <v>85</v>
      </c>
      <c r="AW901">
        <v>5</v>
      </c>
      <c r="AX901" t="s">
        <v>74</v>
      </c>
      <c r="AY901" t="s">
        <v>74</v>
      </c>
      <c r="AZ901" t="s">
        <v>74</v>
      </c>
      <c r="BA901" t="s">
        <v>74</v>
      </c>
      <c r="BB901">
        <v>853</v>
      </c>
      <c r="BC901">
        <v>870</v>
      </c>
      <c r="BD901" t="s">
        <v>74</v>
      </c>
      <c r="BE901" t="s">
        <v>16544</v>
      </c>
      <c r="BF901" t="str">
        <f>HYPERLINK("http://dx.doi.org/10.1666/10-132.1","http://dx.doi.org/10.1666/10-132.1")</f>
        <v>http://dx.doi.org/10.1666/10-132.1</v>
      </c>
      <c r="BG901" t="s">
        <v>74</v>
      </c>
      <c r="BH901" t="s">
        <v>74</v>
      </c>
      <c r="BI901">
        <v>18</v>
      </c>
      <c r="BJ901" t="s">
        <v>4186</v>
      </c>
      <c r="BK901" t="s">
        <v>100</v>
      </c>
      <c r="BL901" t="s">
        <v>4186</v>
      </c>
      <c r="BM901" t="s">
        <v>16545</v>
      </c>
      <c r="BN901" t="s">
        <v>74</v>
      </c>
      <c r="BO901" t="s">
        <v>342</v>
      </c>
      <c r="BP901" t="s">
        <v>74</v>
      </c>
      <c r="BQ901" t="s">
        <v>74</v>
      </c>
      <c r="BR901" t="s">
        <v>102</v>
      </c>
      <c r="BS901" t="s">
        <v>16546</v>
      </c>
      <c r="BT901" t="str">
        <f>HYPERLINK("https%3A%2F%2Fwww.webofscience.com%2Fwos%2Fwoscc%2Ffull-record%2FWOS:000294885100003","View Full Record in Web of Science")</f>
        <v>View Full Record in Web of Science</v>
      </c>
    </row>
    <row r="902" spans="1:72" x14ac:dyDescent="0.15">
      <c r="A902" t="s">
        <v>72</v>
      </c>
      <c r="B902" t="s">
        <v>16547</v>
      </c>
      <c r="C902" t="s">
        <v>74</v>
      </c>
      <c r="D902" t="s">
        <v>74</v>
      </c>
      <c r="E902" t="s">
        <v>74</v>
      </c>
      <c r="F902" t="s">
        <v>16548</v>
      </c>
      <c r="G902" t="s">
        <v>74</v>
      </c>
      <c r="H902" t="s">
        <v>74</v>
      </c>
      <c r="I902" t="s">
        <v>16549</v>
      </c>
      <c r="J902" t="s">
        <v>16550</v>
      </c>
      <c r="K902" t="s">
        <v>74</v>
      </c>
      <c r="L902" t="s">
        <v>74</v>
      </c>
      <c r="M902" t="s">
        <v>78</v>
      </c>
      <c r="N902" t="s">
        <v>79</v>
      </c>
      <c r="O902" t="s">
        <v>74</v>
      </c>
      <c r="P902" t="s">
        <v>74</v>
      </c>
      <c r="Q902" t="s">
        <v>74</v>
      </c>
      <c r="R902" t="s">
        <v>74</v>
      </c>
      <c r="S902" t="s">
        <v>74</v>
      </c>
      <c r="T902" t="s">
        <v>16551</v>
      </c>
      <c r="U902" t="s">
        <v>16552</v>
      </c>
      <c r="V902" t="s">
        <v>16553</v>
      </c>
      <c r="W902" t="s">
        <v>16554</v>
      </c>
      <c r="X902" t="s">
        <v>16555</v>
      </c>
      <c r="Y902" t="s">
        <v>16556</v>
      </c>
      <c r="Z902" t="s">
        <v>16557</v>
      </c>
      <c r="AA902" t="s">
        <v>16558</v>
      </c>
      <c r="AB902" t="s">
        <v>16559</v>
      </c>
      <c r="AC902" t="s">
        <v>16560</v>
      </c>
      <c r="AD902" t="s">
        <v>10095</v>
      </c>
      <c r="AE902" t="s">
        <v>16561</v>
      </c>
      <c r="AF902" t="s">
        <v>74</v>
      </c>
      <c r="AG902">
        <v>32</v>
      </c>
      <c r="AH902">
        <v>20</v>
      </c>
      <c r="AI902">
        <v>23</v>
      </c>
      <c r="AJ902">
        <v>1</v>
      </c>
      <c r="AK902">
        <v>34</v>
      </c>
      <c r="AL902" t="s">
        <v>3235</v>
      </c>
      <c r="AM902" t="s">
        <v>588</v>
      </c>
      <c r="AN902" t="s">
        <v>3236</v>
      </c>
      <c r="AO902" t="s">
        <v>16562</v>
      </c>
      <c r="AP902" t="s">
        <v>16563</v>
      </c>
      <c r="AQ902" t="s">
        <v>74</v>
      </c>
      <c r="AR902" t="s">
        <v>16550</v>
      </c>
      <c r="AS902" t="s">
        <v>16564</v>
      </c>
      <c r="AT902" t="s">
        <v>15792</v>
      </c>
      <c r="AU902">
        <v>2011</v>
      </c>
      <c r="AV902">
        <v>98</v>
      </c>
      <c r="AW902">
        <v>3</v>
      </c>
      <c r="AX902" t="s">
        <v>74</v>
      </c>
      <c r="AY902" t="s">
        <v>74</v>
      </c>
      <c r="AZ902" t="s">
        <v>74</v>
      </c>
      <c r="BA902" t="s">
        <v>74</v>
      </c>
      <c r="BB902">
        <v>194</v>
      </c>
      <c r="BC902">
        <v>201</v>
      </c>
      <c r="BD902" t="s">
        <v>74</v>
      </c>
      <c r="BE902" t="s">
        <v>16565</v>
      </c>
      <c r="BF902" t="str">
        <f>HYPERLINK("http://dx.doi.org/10.1016/j.ygeno.2011.06.002","http://dx.doi.org/10.1016/j.ygeno.2011.06.002")</f>
        <v>http://dx.doi.org/10.1016/j.ygeno.2011.06.002</v>
      </c>
      <c r="BG902" t="s">
        <v>74</v>
      </c>
      <c r="BH902" t="s">
        <v>74</v>
      </c>
      <c r="BI902">
        <v>8</v>
      </c>
      <c r="BJ902" t="s">
        <v>12929</v>
      </c>
      <c r="BK902" t="s">
        <v>100</v>
      </c>
      <c r="BL902" t="s">
        <v>12929</v>
      </c>
      <c r="BM902" t="s">
        <v>16566</v>
      </c>
      <c r="BN902">
        <v>21684327</v>
      </c>
      <c r="BO902" t="s">
        <v>74</v>
      </c>
      <c r="BP902" t="s">
        <v>74</v>
      </c>
      <c r="BQ902" t="s">
        <v>74</v>
      </c>
      <c r="BR902" t="s">
        <v>102</v>
      </c>
      <c r="BS902" t="s">
        <v>16567</v>
      </c>
      <c r="BT902" t="str">
        <f>HYPERLINK("https%3A%2F%2Fwww.webofscience.com%2Fwos%2Fwoscc%2Ffull-record%2FWOS:000294836100006","View Full Record in Web of Science")</f>
        <v>View Full Record in Web of Science</v>
      </c>
    </row>
    <row r="903" spans="1:72" x14ac:dyDescent="0.15">
      <c r="A903" t="s">
        <v>72</v>
      </c>
      <c r="B903" t="s">
        <v>16568</v>
      </c>
      <c r="C903" t="s">
        <v>74</v>
      </c>
      <c r="D903" t="s">
        <v>74</v>
      </c>
      <c r="E903" t="s">
        <v>74</v>
      </c>
      <c r="F903" t="s">
        <v>16569</v>
      </c>
      <c r="G903" t="s">
        <v>74</v>
      </c>
      <c r="H903" t="s">
        <v>74</v>
      </c>
      <c r="I903" t="s">
        <v>16570</v>
      </c>
      <c r="J903" t="s">
        <v>6055</v>
      </c>
      <c r="K903" t="s">
        <v>74</v>
      </c>
      <c r="L903" t="s">
        <v>74</v>
      </c>
      <c r="M903" t="s">
        <v>78</v>
      </c>
      <c r="N903" t="s">
        <v>79</v>
      </c>
      <c r="O903" t="s">
        <v>74</v>
      </c>
      <c r="P903" t="s">
        <v>74</v>
      </c>
      <c r="Q903" t="s">
        <v>74</v>
      </c>
      <c r="R903" t="s">
        <v>74</v>
      </c>
      <c r="S903" t="s">
        <v>74</v>
      </c>
      <c r="T903" t="s">
        <v>74</v>
      </c>
      <c r="U903" t="s">
        <v>16571</v>
      </c>
      <c r="V903" t="s">
        <v>16572</v>
      </c>
      <c r="W903" t="s">
        <v>16573</v>
      </c>
      <c r="X903" t="s">
        <v>16574</v>
      </c>
      <c r="Y903" t="s">
        <v>16575</v>
      </c>
      <c r="Z903" t="s">
        <v>16576</v>
      </c>
      <c r="AA903" t="s">
        <v>16577</v>
      </c>
      <c r="AB903" t="s">
        <v>16578</v>
      </c>
      <c r="AC903" t="s">
        <v>16579</v>
      </c>
      <c r="AD903" t="s">
        <v>16579</v>
      </c>
      <c r="AE903" t="s">
        <v>16580</v>
      </c>
      <c r="AF903" t="s">
        <v>74</v>
      </c>
      <c r="AG903">
        <v>25</v>
      </c>
      <c r="AH903">
        <v>46</v>
      </c>
      <c r="AI903">
        <v>52</v>
      </c>
      <c r="AJ903">
        <v>0</v>
      </c>
      <c r="AK903">
        <v>8</v>
      </c>
      <c r="AL903" t="s">
        <v>1498</v>
      </c>
      <c r="AM903" t="s">
        <v>985</v>
      </c>
      <c r="AN903" t="s">
        <v>1499</v>
      </c>
      <c r="AO903" t="s">
        <v>6066</v>
      </c>
      <c r="AP903" t="s">
        <v>74</v>
      </c>
      <c r="AQ903" t="s">
        <v>74</v>
      </c>
      <c r="AR903" t="s">
        <v>6068</v>
      </c>
      <c r="AS903" t="s">
        <v>6069</v>
      </c>
      <c r="AT903" t="s">
        <v>16374</v>
      </c>
      <c r="AU903">
        <v>2011</v>
      </c>
      <c r="AV903">
        <v>38</v>
      </c>
      <c r="AW903" t="s">
        <v>74</v>
      </c>
      <c r="AX903" t="s">
        <v>74</v>
      </c>
      <c r="AY903" t="s">
        <v>74</v>
      </c>
      <c r="AZ903" t="s">
        <v>74</v>
      </c>
      <c r="BA903" t="s">
        <v>74</v>
      </c>
      <c r="BB903" t="s">
        <v>74</v>
      </c>
      <c r="BC903" t="s">
        <v>74</v>
      </c>
      <c r="BD903" t="s">
        <v>16581</v>
      </c>
      <c r="BE903" t="s">
        <v>16582</v>
      </c>
      <c r="BF903" t="str">
        <f>HYPERLINK("http://dx.doi.org/10.1029/2011GL048498","http://dx.doi.org/10.1029/2011GL048498")</f>
        <v>http://dx.doi.org/10.1029/2011GL048498</v>
      </c>
      <c r="BG903" t="s">
        <v>74</v>
      </c>
      <c r="BH903" t="s">
        <v>74</v>
      </c>
      <c r="BI903">
        <v>6</v>
      </c>
      <c r="BJ903" t="s">
        <v>287</v>
      </c>
      <c r="BK903" t="s">
        <v>100</v>
      </c>
      <c r="BL903" t="s">
        <v>288</v>
      </c>
      <c r="BM903" t="s">
        <v>16583</v>
      </c>
      <c r="BN903" t="s">
        <v>74</v>
      </c>
      <c r="BO903" t="s">
        <v>6160</v>
      </c>
      <c r="BP903" t="s">
        <v>74</v>
      </c>
      <c r="BQ903" t="s">
        <v>74</v>
      </c>
      <c r="BR903" t="s">
        <v>102</v>
      </c>
      <c r="BS903" t="s">
        <v>16584</v>
      </c>
      <c r="BT903" t="str">
        <f>HYPERLINK("https%3A%2F%2Fwww.webofscience.com%2Fwos%2Fwoscc%2Ffull-record%2FWOS:000294615900001","View Full Record in Web of Science")</f>
        <v>View Full Record in Web of Science</v>
      </c>
    </row>
    <row r="904" spans="1:72" x14ac:dyDescent="0.15">
      <c r="A904" t="s">
        <v>72</v>
      </c>
      <c r="B904" t="s">
        <v>16585</v>
      </c>
      <c r="C904" t="s">
        <v>74</v>
      </c>
      <c r="D904" t="s">
        <v>74</v>
      </c>
      <c r="E904" t="s">
        <v>74</v>
      </c>
      <c r="F904" t="s">
        <v>16586</v>
      </c>
      <c r="G904" t="s">
        <v>74</v>
      </c>
      <c r="H904" t="s">
        <v>74</v>
      </c>
      <c r="I904" t="s">
        <v>16587</v>
      </c>
      <c r="J904" t="s">
        <v>10536</v>
      </c>
      <c r="K904" t="s">
        <v>74</v>
      </c>
      <c r="L904" t="s">
        <v>74</v>
      </c>
      <c r="M904" t="s">
        <v>78</v>
      </c>
      <c r="N904" t="s">
        <v>234</v>
      </c>
      <c r="O904" t="s">
        <v>16588</v>
      </c>
      <c r="P904" t="s">
        <v>16589</v>
      </c>
      <c r="Q904" t="s">
        <v>16590</v>
      </c>
      <c r="R904" t="s">
        <v>74</v>
      </c>
      <c r="S904" t="s">
        <v>74</v>
      </c>
      <c r="T904" t="s">
        <v>16591</v>
      </c>
      <c r="U904" t="s">
        <v>16592</v>
      </c>
      <c r="V904" t="s">
        <v>16593</v>
      </c>
      <c r="W904" t="s">
        <v>16594</v>
      </c>
      <c r="X904" t="s">
        <v>3573</v>
      </c>
      <c r="Y904" t="s">
        <v>16595</v>
      </c>
      <c r="Z904" t="s">
        <v>74</v>
      </c>
      <c r="AA904" t="s">
        <v>16596</v>
      </c>
      <c r="AB904" t="s">
        <v>74</v>
      </c>
      <c r="AC904" t="s">
        <v>74</v>
      </c>
      <c r="AD904" t="s">
        <v>74</v>
      </c>
      <c r="AE904" t="s">
        <v>74</v>
      </c>
      <c r="AF904" t="s">
        <v>74</v>
      </c>
      <c r="AG904">
        <v>26</v>
      </c>
      <c r="AH904">
        <v>10</v>
      </c>
      <c r="AI904">
        <v>12</v>
      </c>
      <c r="AJ904">
        <v>0</v>
      </c>
      <c r="AK904">
        <v>9</v>
      </c>
      <c r="AL904" t="s">
        <v>10548</v>
      </c>
      <c r="AM904" t="s">
        <v>10549</v>
      </c>
      <c r="AN904" t="s">
        <v>10550</v>
      </c>
      <c r="AO904" t="s">
        <v>10551</v>
      </c>
      <c r="AP904" t="s">
        <v>74</v>
      </c>
      <c r="AQ904" t="s">
        <v>74</v>
      </c>
      <c r="AR904" t="s">
        <v>10552</v>
      </c>
      <c r="AS904" t="s">
        <v>10553</v>
      </c>
      <c r="AT904" t="s">
        <v>15792</v>
      </c>
      <c r="AU904">
        <v>2011</v>
      </c>
      <c r="AV904">
        <v>49</v>
      </c>
      <c r="AW904">
        <v>9</v>
      </c>
      <c r="AX904" t="s">
        <v>74</v>
      </c>
      <c r="AY904" t="s">
        <v>74</v>
      </c>
      <c r="AZ904" t="s">
        <v>339</v>
      </c>
      <c r="BA904" t="s">
        <v>74</v>
      </c>
      <c r="BB904">
        <v>3334</v>
      </c>
      <c r="BC904">
        <v>3342</v>
      </c>
      <c r="BD904" t="s">
        <v>74</v>
      </c>
      <c r="BE904" t="s">
        <v>16597</v>
      </c>
      <c r="BF904" t="str">
        <f>HYPERLINK("http://dx.doi.org/10.1109/TGRS.2011.2104417","http://dx.doi.org/10.1109/TGRS.2011.2104417")</f>
        <v>http://dx.doi.org/10.1109/TGRS.2011.2104417</v>
      </c>
      <c r="BG904" t="s">
        <v>74</v>
      </c>
      <c r="BH904" t="s">
        <v>74</v>
      </c>
      <c r="BI904">
        <v>9</v>
      </c>
      <c r="BJ904" t="s">
        <v>10555</v>
      </c>
      <c r="BK904" t="s">
        <v>259</v>
      </c>
      <c r="BL904" t="s">
        <v>10556</v>
      </c>
      <c r="BM904" t="s">
        <v>16598</v>
      </c>
      <c r="BN904" t="s">
        <v>74</v>
      </c>
      <c r="BO904" t="s">
        <v>74</v>
      </c>
      <c r="BP904" t="s">
        <v>74</v>
      </c>
      <c r="BQ904" t="s">
        <v>74</v>
      </c>
      <c r="BR904" t="s">
        <v>102</v>
      </c>
      <c r="BS904" t="s">
        <v>16599</v>
      </c>
      <c r="BT904" t="str">
        <f>HYPERLINK("https%3A%2F%2Fwww.webofscience.com%2Fwos%2Fwoscc%2Ffull-record%2FWOS:000294536700017","View Full Record in Web of Science")</f>
        <v>View Full Record in Web of Science</v>
      </c>
    </row>
    <row r="905" spans="1:72" x14ac:dyDescent="0.15">
      <c r="A905" t="s">
        <v>72</v>
      </c>
      <c r="B905" t="s">
        <v>16600</v>
      </c>
      <c r="C905" t="s">
        <v>74</v>
      </c>
      <c r="D905" t="s">
        <v>74</v>
      </c>
      <c r="E905" t="s">
        <v>74</v>
      </c>
      <c r="F905" t="s">
        <v>16601</v>
      </c>
      <c r="G905" t="s">
        <v>74</v>
      </c>
      <c r="H905" t="s">
        <v>74</v>
      </c>
      <c r="I905" t="s">
        <v>16602</v>
      </c>
      <c r="J905" t="s">
        <v>4253</v>
      </c>
      <c r="K905" t="s">
        <v>74</v>
      </c>
      <c r="L905" t="s">
        <v>74</v>
      </c>
      <c r="M905" t="s">
        <v>78</v>
      </c>
      <c r="N905" t="s">
        <v>79</v>
      </c>
      <c r="O905" t="s">
        <v>74</v>
      </c>
      <c r="P905" t="s">
        <v>74</v>
      </c>
      <c r="Q905" t="s">
        <v>74</v>
      </c>
      <c r="R905" t="s">
        <v>74</v>
      </c>
      <c r="S905" t="s">
        <v>74</v>
      </c>
      <c r="T905" t="s">
        <v>74</v>
      </c>
      <c r="U905" t="s">
        <v>16603</v>
      </c>
      <c r="V905" t="s">
        <v>16604</v>
      </c>
      <c r="W905" t="s">
        <v>16605</v>
      </c>
      <c r="X905" t="s">
        <v>16606</v>
      </c>
      <c r="Y905" t="s">
        <v>16607</v>
      </c>
      <c r="Z905" t="s">
        <v>16608</v>
      </c>
      <c r="AA905" t="s">
        <v>16609</v>
      </c>
      <c r="AB905" t="s">
        <v>16610</v>
      </c>
      <c r="AC905" t="s">
        <v>16606</v>
      </c>
      <c r="AD905" t="s">
        <v>16606</v>
      </c>
      <c r="AE905" t="s">
        <v>16611</v>
      </c>
      <c r="AF905" t="s">
        <v>74</v>
      </c>
      <c r="AG905">
        <v>50</v>
      </c>
      <c r="AH905">
        <v>17</v>
      </c>
      <c r="AI905">
        <v>18</v>
      </c>
      <c r="AJ905">
        <v>0</v>
      </c>
      <c r="AK905">
        <v>25</v>
      </c>
      <c r="AL905" t="s">
        <v>16612</v>
      </c>
      <c r="AM905" t="s">
        <v>16613</v>
      </c>
      <c r="AN905" t="s">
        <v>16614</v>
      </c>
      <c r="AO905" t="s">
        <v>4263</v>
      </c>
      <c r="AP905" t="s">
        <v>74</v>
      </c>
      <c r="AQ905" t="s">
        <v>74</v>
      </c>
      <c r="AR905" t="s">
        <v>4265</v>
      </c>
      <c r="AS905" t="s">
        <v>4266</v>
      </c>
      <c r="AT905" t="s">
        <v>15792</v>
      </c>
      <c r="AU905">
        <v>2011</v>
      </c>
      <c r="AV905">
        <v>56</v>
      </c>
      <c r="AW905">
        <v>5</v>
      </c>
      <c r="AX905" t="s">
        <v>74</v>
      </c>
      <c r="AY905" t="s">
        <v>74</v>
      </c>
      <c r="AZ905" t="s">
        <v>74</v>
      </c>
      <c r="BA905" t="s">
        <v>74</v>
      </c>
      <c r="BB905">
        <v>1667</v>
      </c>
      <c r="BC905">
        <v>1681</v>
      </c>
      <c r="BD905" t="s">
        <v>74</v>
      </c>
      <c r="BE905" t="s">
        <v>16615</v>
      </c>
      <c r="BF905" t="str">
        <f>HYPERLINK("http://dx.doi.org/10.4319/lo.2011.56.5.1667","http://dx.doi.org/10.4319/lo.2011.56.5.1667")</f>
        <v>http://dx.doi.org/10.4319/lo.2011.56.5.1667</v>
      </c>
      <c r="BG905" t="s">
        <v>74</v>
      </c>
      <c r="BH905" t="s">
        <v>74</v>
      </c>
      <c r="BI905">
        <v>15</v>
      </c>
      <c r="BJ905" t="s">
        <v>4268</v>
      </c>
      <c r="BK905" t="s">
        <v>100</v>
      </c>
      <c r="BL905" t="s">
        <v>4141</v>
      </c>
      <c r="BM905" t="s">
        <v>16616</v>
      </c>
      <c r="BN905" t="s">
        <v>74</v>
      </c>
      <c r="BO905" t="s">
        <v>365</v>
      </c>
      <c r="BP905" t="s">
        <v>74</v>
      </c>
      <c r="BQ905" t="s">
        <v>74</v>
      </c>
      <c r="BR905" t="s">
        <v>102</v>
      </c>
      <c r="BS905" t="s">
        <v>16617</v>
      </c>
      <c r="BT905" t="str">
        <f>HYPERLINK("https%3A%2F%2Fwww.webofscience.com%2Fwos%2Fwoscc%2Ffull-record%2FWOS:000294603500009","View Full Record in Web of Science")</f>
        <v>View Full Record in Web of Science</v>
      </c>
    </row>
    <row r="906" spans="1:72" x14ac:dyDescent="0.15">
      <c r="A906" t="s">
        <v>72</v>
      </c>
      <c r="B906" t="s">
        <v>16618</v>
      </c>
      <c r="C906" t="s">
        <v>74</v>
      </c>
      <c r="D906" t="s">
        <v>74</v>
      </c>
      <c r="E906" t="s">
        <v>74</v>
      </c>
      <c r="F906" t="s">
        <v>16619</v>
      </c>
      <c r="G906" t="s">
        <v>74</v>
      </c>
      <c r="H906" t="s">
        <v>74</v>
      </c>
      <c r="I906" t="s">
        <v>16620</v>
      </c>
      <c r="J906" t="s">
        <v>16621</v>
      </c>
      <c r="K906" t="s">
        <v>74</v>
      </c>
      <c r="L906" t="s">
        <v>74</v>
      </c>
      <c r="M906" t="s">
        <v>78</v>
      </c>
      <c r="N906" t="s">
        <v>79</v>
      </c>
      <c r="O906" t="s">
        <v>74</v>
      </c>
      <c r="P906" t="s">
        <v>74</v>
      </c>
      <c r="Q906" t="s">
        <v>74</v>
      </c>
      <c r="R906" t="s">
        <v>74</v>
      </c>
      <c r="S906" t="s">
        <v>74</v>
      </c>
      <c r="T906" t="s">
        <v>16622</v>
      </c>
      <c r="U906" t="s">
        <v>16623</v>
      </c>
      <c r="V906" t="s">
        <v>16624</v>
      </c>
      <c r="W906" t="s">
        <v>16625</v>
      </c>
      <c r="X906" t="s">
        <v>16626</v>
      </c>
      <c r="Y906" t="s">
        <v>16627</v>
      </c>
      <c r="Z906" t="s">
        <v>16628</v>
      </c>
      <c r="AA906" t="s">
        <v>74</v>
      </c>
      <c r="AB906" t="s">
        <v>16629</v>
      </c>
      <c r="AC906" t="s">
        <v>16630</v>
      </c>
      <c r="AD906" t="s">
        <v>16631</v>
      </c>
      <c r="AE906" t="s">
        <v>16632</v>
      </c>
      <c r="AF906" t="s">
        <v>74</v>
      </c>
      <c r="AG906">
        <v>62</v>
      </c>
      <c r="AH906">
        <v>17</v>
      </c>
      <c r="AI906">
        <v>23</v>
      </c>
      <c r="AJ906">
        <v>1</v>
      </c>
      <c r="AK906">
        <v>25</v>
      </c>
      <c r="AL906" t="s">
        <v>333</v>
      </c>
      <c r="AM906" t="s">
        <v>334</v>
      </c>
      <c r="AN906" t="s">
        <v>335</v>
      </c>
      <c r="AO906" t="s">
        <v>16633</v>
      </c>
      <c r="AP906" t="s">
        <v>16634</v>
      </c>
      <c r="AQ906" t="s">
        <v>74</v>
      </c>
      <c r="AR906" t="s">
        <v>16635</v>
      </c>
      <c r="AS906" t="s">
        <v>16636</v>
      </c>
      <c r="AT906" t="s">
        <v>15792</v>
      </c>
      <c r="AU906">
        <v>2011</v>
      </c>
      <c r="AV906">
        <v>80</v>
      </c>
      <c r="AW906" t="s">
        <v>6679</v>
      </c>
      <c r="AX906" t="s">
        <v>74</v>
      </c>
      <c r="AY906" t="s">
        <v>74</v>
      </c>
      <c r="AZ906" t="s">
        <v>74</v>
      </c>
      <c r="BA906" t="s">
        <v>74</v>
      </c>
      <c r="BB906">
        <v>114</v>
      </c>
      <c r="BC906">
        <v>124</v>
      </c>
      <c r="BD906" t="s">
        <v>74</v>
      </c>
      <c r="BE906" t="s">
        <v>16637</v>
      </c>
      <c r="BF906" t="str">
        <f>HYPERLINK("http://dx.doi.org/10.1016/j.marmicro.2011.06.005","http://dx.doi.org/10.1016/j.marmicro.2011.06.005")</f>
        <v>http://dx.doi.org/10.1016/j.marmicro.2011.06.005</v>
      </c>
      <c r="BG906" t="s">
        <v>74</v>
      </c>
      <c r="BH906" t="s">
        <v>74</v>
      </c>
      <c r="BI906">
        <v>11</v>
      </c>
      <c r="BJ906" t="s">
        <v>4186</v>
      </c>
      <c r="BK906" t="s">
        <v>100</v>
      </c>
      <c r="BL906" t="s">
        <v>4186</v>
      </c>
      <c r="BM906" t="s">
        <v>16638</v>
      </c>
      <c r="BN906" t="s">
        <v>74</v>
      </c>
      <c r="BO906" t="s">
        <v>74</v>
      </c>
      <c r="BP906" t="s">
        <v>74</v>
      </c>
      <c r="BQ906" t="s">
        <v>74</v>
      </c>
      <c r="BR906" t="s">
        <v>102</v>
      </c>
      <c r="BS906" t="s">
        <v>16639</v>
      </c>
      <c r="BT906" t="str">
        <f>HYPERLINK("https%3A%2F%2Fwww.webofscience.com%2Fwos%2Fwoscc%2Ffull-record%2FWOS:000294586600006","View Full Record in Web of Science")</f>
        <v>View Full Record in Web of Science</v>
      </c>
    </row>
    <row r="907" spans="1:72" x14ac:dyDescent="0.15">
      <c r="A907" t="s">
        <v>72</v>
      </c>
      <c r="B907" t="s">
        <v>16640</v>
      </c>
      <c r="C907" t="s">
        <v>74</v>
      </c>
      <c r="D907" t="s">
        <v>74</v>
      </c>
      <c r="E907" t="s">
        <v>74</v>
      </c>
      <c r="F907" t="s">
        <v>16641</v>
      </c>
      <c r="G907" t="s">
        <v>74</v>
      </c>
      <c r="H907" t="s">
        <v>74</v>
      </c>
      <c r="I907" t="s">
        <v>16642</v>
      </c>
      <c r="J907" t="s">
        <v>1413</v>
      </c>
      <c r="K907" t="s">
        <v>74</v>
      </c>
      <c r="L907" t="s">
        <v>74</v>
      </c>
      <c r="M907" t="s">
        <v>78</v>
      </c>
      <c r="N907" t="s">
        <v>79</v>
      </c>
      <c r="O907" t="s">
        <v>74</v>
      </c>
      <c r="P907" t="s">
        <v>74</v>
      </c>
      <c r="Q907" t="s">
        <v>74</v>
      </c>
      <c r="R907" t="s">
        <v>74</v>
      </c>
      <c r="S907" t="s">
        <v>74</v>
      </c>
      <c r="T907" t="s">
        <v>16643</v>
      </c>
      <c r="U907" t="s">
        <v>16644</v>
      </c>
      <c r="V907" t="s">
        <v>16645</v>
      </c>
      <c r="W907" t="s">
        <v>16646</v>
      </c>
      <c r="X907" t="s">
        <v>13413</v>
      </c>
      <c r="Y907" t="s">
        <v>16647</v>
      </c>
      <c r="Z907" t="s">
        <v>16648</v>
      </c>
      <c r="AA907" t="s">
        <v>16649</v>
      </c>
      <c r="AB907" t="s">
        <v>16650</v>
      </c>
      <c r="AC907" t="s">
        <v>16651</v>
      </c>
      <c r="AD907" t="s">
        <v>16651</v>
      </c>
      <c r="AE907" t="s">
        <v>16652</v>
      </c>
      <c r="AF907" t="s">
        <v>74</v>
      </c>
      <c r="AG907">
        <v>69</v>
      </c>
      <c r="AH907">
        <v>18</v>
      </c>
      <c r="AI907">
        <v>21</v>
      </c>
      <c r="AJ907">
        <v>1</v>
      </c>
      <c r="AK907">
        <v>27</v>
      </c>
      <c r="AL907" t="s">
        <v>155</v>
      </c>
      <c r="AM907" t="s">
        <v>156</v>
      </c>
      <c r="AN907" t="s">
        <v>157</v>
      </c>
      <c r="AO907" t="s">
        <v>1426</v>
      </c>
      <c r="AP907" t="s">
        <v>1427</v>
      </c>
      <c r="AQ907" t="s">
        <v>74</v>
      </c>
      <c r="AR907" t="s">
        <v>1428</v>
      </c>
      <c r="AS907" t="s">
        <v>1429</v>
      </c>
      <c r="AT907" t="s">
        <v>15792</v>
      </c>
      <c r="AU907">
        <v>2011</v>
      </c>
      <c r="AV907">
        <v>45</v>
      </c>
      <c r="AW907">
        <v>29</v>
      </c>
      <c r="AX907" t="s">
        <v>74</v>
      </c>
      <c r="AY907" t="s">
        <v>74</v>
      </c>
      <c r="AZ907" t="s">
        <v>74</v>
      </c>
      <c r="BA907" t="s">
        <v>74</v>
      </c>
      <c r="BB907">
        <v>5138</v>
      </c>
      <c r="BC907">
        <v>5149</v>
      </c>
      <c r="BD907" t="s">
        <v>74</v>
      </c>
      <c r="BE907" t="s">
        <v>16653</v>
      </c>
      <c r="BF907" t="str">
        <f>HYPERLINK("http://dx.doi.org/10.1016/j.atmosenv.2011.06.028","http://dx.doi.org/10.1016/j.atmosenv.2011.06.028")</f>
        <v>http://dx.doi.org/10.1016/j.atmosenv.2011.06.028</v>
      </c>
      <c r="BG907" t="s">
        <v>74</v>
      </c>
      <c r="BH907" t="s">
        <v>74</v>
      </c>
      <c r="BI907">
        <v>12</v>
      </c>
      <c r="BJ907" t="s">
        <v>1181</v>
      </c>
      <c r="BK907" t="s">
        <v>100</v>
      </c>
      <c r="BL907" t="s">
        <v>1182</v>
      </c>
      <c r="BM907" t="s">
        <v>16654</v>
      </c>
      <c r="BN907" t="s">
        <v>74</v>
      </c>
      <c r="BO907" t="s">
        <v>74</v>
      </c>
      <c r="BP907" t="s">
        <v>74</v>
      </c>
      <c r="BQ907" t="s">
        <v>74</v>
      </c>
      <c r="BR907" t="s">
        <v>102</v>
      </c>
      <c r="BS907" t="s">
        <v>16655</v>
      </c>
      <c r="BT907" t="str">
        <f>HYPERLINK("https%3A%2F%2Fwww.webofscience.com%2Fwos%2Fwoscc%2Ffull-record%2FWOS:000294091200008","View Full Record in Web of Science")</f>
        <v>View Full Record in Web of Science</v>
      </c>
    </row>
    <row r="908" spans="1:72" x14ac:dyDescent="0.15">
      <c r="A908" t="s">
        <v>72</v>
      </c>
      <c r="B908" t="s">
        <v>16656</v>
      </c>
      <c r="C908" t="s">
        <v>74</v>
      </c>
      <c r="D908" t="s">
        <v>74</v>
      </c>
      <c r="E908" t="s">
        <v>74</v>
      </c>
      <c r="F908" t="s">
        <v>16657</v>
      </c>
      <c r="G908" t="s">
        <v>74</v>
      </c>
      <c r="H908" t="s">
        <v>74</v>
      </c>
      <c r="I908" t="s">
        <v>16658</v>
      </c>
      <c r="J908" t="s">
        <v>1759</v>
      </c>
      <c r="K908" t="s">
        <v>74</v>
      </c>
      <c r="L908" t="s">
        <v>74</v>
      </c>
      <c r="M908" t="s">
        <v>78</v>
      </c>
      <c r="N908" t="s">
        <v>79</v>
      </c>
      <c r="O908" t="s">
        <v>74</v>
      </c>
      <c r="P908" t="s">
        <v>74</v>
      </c>
      <c r="Q908" t="s">
        <v>74</v>
      </c>
      <c r="R908" t="s">
        <v>74</v>
      </c>
      <c r="S908" t="s">
        <v>74</v>
      </c>
      <c r="T908" t="s">
        <v>16659</v>
      </c>
      <c r="U908" t="s">
        <v>16660</v>
      </c>
      <c r="V908" t="s">
        <v>16661</v>
      </c>
      <c r="W908" t="s">
        <v>16662</v>
      </c>
      <c r="X908" t="s">
        <v>16663</v>
      </c>
      <c r="Y908" t="s">
        <v>16664</v>
      </c>
      <c r="Z908" t="s">
        <v>16665</v>
      </c>
      <c r="AA908" t="s">
        <v>16666</v>
      </c>
      <c r="AB908" t="s">
        <v>16667</v>
      </c>
      <c r="AC908" t="s">
        <v>16668</v>
      </c>
      <c r="AD908" t="s">
        <v>16669</v>
      </c>
      <c r="AE908" t="s">
        <v>16670</v>
      </c>
      <c r="AF908" t="s">
        <v>74</v>
      </c>
      <c r="AG908">
        <v>50</v>
      </c>
      <c r="AH908">
        <v>22</v>
      </c>
      <c r="AI908">
        <v>23</v>
      </c>
      <c r="AJ908">
        <v>6</v>
      </c>
      <c r="AK908">
        <v>27</v>
      </c>
      <c r="AL908" t="s">
        <v>250</v>
      </c>
      <c r="AM908" t="s">
        <v>413</v>
      </c>
      <c r="AN908" t="s">
        <v>514</v>
      </c>
      <c r="AO908" t="s">
        <v>1772</v>
      </c>
      <c r="AP908" t="s">
        <v>1773</v>
      </c>
      <c r="AQ908" t="s">
        <v>74</v>
      </c>
      <c r="AR908" t="s">
        <v>1774</v>
      </c>
      <c r="AS908" t="s">
        <v>1775</v>
      </c>
      <c r="AT908" t="s">
        <v>15792</v>
      </c>
      <c r="AU908">
        <v>2011</v>
      </c>
      <c r="AV908">
        <v>37</v>
      </c>
      <c r="AW908" t="s">
        <v>3734</v>
      </c>
      <c r="AX908" t="s">
        <v>74</v>
      </c>
      <c r="AY908" t="s">
        <v>74</v>
      </c>
      <c r="AZ908" t="s">
        <v>74</v>
      </c>
      <c r="BA908" t="s">
        <v>74</v>
      </c>
      <c r="BB908">
        <v>1005</v>
      </c>
      <c r="BC908">
        <v>1018</v>
      </c>
      <c r="BD908" t="s">
        <v>74</v>
      </c>
      <c r="BE908" t="s">
        <v>16671</v>
      </c>
      <c r="BF908" t="str">
        <f>HYPERLINK("http://dx.doi.org/10.1007/s00382-010-0885-0","http://dx.doi.org/10.1007/s00382-010-0885-0")</f>
        <v>http://dx.doi.org/10.1007/s00382-010-0885-0</v>
      </c>
      <c r="BG908" t="s">
        <v>74</v>
      </c>
      <c r="BH908" t="s">
        <v>74</v>
      </c>
      <c r="BI908">
        <v>14</v>
      </c>
      <c r="BJ908" t="s">
        <v>463</v>
      </c>
      <c r="BK908" t="s">
        <v>100</v>
      </c>
      <c r="BL908" t="s">
        <v>463</v>
      </c>
      <c r="BM908" t="s">
        <v>16672</v>
      </c>
      <c r="BN908" t="s">
        <v>74</v>
      </c>
      <c r="BO908" t="s">
        <v>74</v>
      </c>
      <c r="BP908" t="s">
        <v>74</v>
      </c>
      <c r="BQ908" t="s">
        <v>74</v>
      </c>
      <c r="BR908" t="s">
        <v>102</v>
      </c>
      <c r="BS908" t="s">
        <v>16673</v>
      </c>
      <c r="BT908" t="str">
        <f>HYPERLINK("https%3A%2F%2Fwww.webofscience.com%2Fwos%2Fwoscc%2Ffull-record%2FWOS:000294496700011","View Full Record in Web of Science")</f>
        <v>View Full Record in Web of Science</v>
      </c>
    </row>
    <row r="909" spans="1:72" x14ac:dyDescent="0.15">
      <c r="A909" t="s">
        <v>72</v>
      </c>
      <c r="B909" t="s">
        <v>16674</v>
      </c>
      <c r="C909" t="s">
        <v>74</v>
      </c>
      <c r="D909" t="s">
        <v>74</v>
      </c>
      <c r="E909" t="s">
        <v>74</v>
      </c>
      <c r="F909" t="s">
        <v>16675</v>
      </c>
      <c r="G909" t="s">
        <v>74</v>
      </c>
      <c r="H909" t="s">
        <v>74</v>
      </c>
      <c r="I909" t="s">
        <v>16676</v>
      </c>
      <c r="J909" t="s">
        <v>16677</v>
      </c>
      <c r="K909" t="s">
        <v>74</v>
      </c>
      <c r="L909" t="s">
        <v>74</v>
      </c>
      <c r="M909" t="s">
        <v>78</v>
      </c>
      <c r="N909" t="s">
        <v>79</v>
      </c>
      <c r="O909" t="s">
        <v>74</v>
      </c>
      <c r="P909" t="s">
        <v>74</v>
      </c>
      <c r="Q909" t="s">
        <v>74</v>
      </c>
      <c r="R909" t="s">
        <v>74</v>
      </c>
      <c r="S909" t="s">
        <v>74</v>
      </c>
      <c r="T909" t="s">
        <v>16678</v>
      </c>
      <c r="U909" t="s">
        <v>16679</v>
      </c>
      <c r="V909" t="s">
        <v>16680</v>
      </c>
      <c r="W909" t="s">
        <v>16681</v>
      </c>
      <c r="X909" t="s">
        <v>16682</v>
      </c>
      <c r="Y909" t="s">
        <v>16683</v>
      </c>
      <c r="Z909" t="s">
        <v>16684</v>
      </c>
      <c r="AA909" t="s">
        <v>74</v>
      </c>
      <c r="AB909" t="s">
        <v>74</v>
      </c>
      <c r="AC909" t="s">
        <v>74</v>
      </c>
      <c r="AD909" t="s">
        <v>74</v>
      </c>
      <c r="AE909" t="s">
        <v>74</v>
      </c>
      <c r="AF909" t="s">
        <v>74</v>
      </c>
      <c r="AG909">
        <v>15</v>
      </c>
      <c r="AH909">
        <v>3</v>
      </c>
      <c r="AI909">
        <v>5</v>
      </c>
      <c r="AJ909">
        <v>2</v>
      </c>
      <c r="AK909">
        <v>14</v>
      </c>
      <c r="AL909" t="s">
        <v>10548</v>
      </c>
      <c r="AM909" t="s">
        <v>10549</v>
      </c>
      <c r="AN909" t="s">
        <v>10550</v>
      </c>
      <c r="AO909" t="s">
        <v>16685</v>
      </c>
      <c r="AP909" t="s">
        <v>16686</v>
      </c>
      <c r="AQ909" t="s">
        <v>74</v>
      </c>
      <c r="AR909" t="s">
        <v>16687</v>
      </c>
      <c r="AS909" t="s">
        <v>16688</v>
      </c>
      <c r="AT909" t="s">
        <v>15792</v>
      </c>
      <c r="AU909">
        <v>2011</v>
      </c>
      <c r="AV909">
        <v>8</v>
      </c>
      <c r="AW909">
        <v>5</v>
      </c>
      <c r="AX909" t="s">
        <v>74</v>
      </c>
      <c r="AY909" t="s">
        <v>74</v>
      </c>
      <c r="AZ909" t="s">
        <v>74</v>
      </c>
      <c r="BA909" t="s">
        <v>74</v>
      </c>
      <c r="BB909">
        <v>909</v>
      </c>
      <c r="BC909">
        <v>913</v>
      </c>
      <c r="BD909" t="s">
        <v>74</v>
      </c>
      <c r="BE909" t="s">
        <v>16689</v>
      </c>
      <c r="BF909" t="str">
        <f>HYPERLINK("http://dx.doi.org/10.1109/LGRS.2011.2140312","http://dx.doi.org/10.1109/LGRS.2011.2140312")</f>
        <v>http://dx.doi.org/10.1109/LGRS.2011.2140312</v>
      </c>
      <c r="BG909" t="s">
        <v>74</v>
      </c>
      <c r="BH909" t="s">
        <v>74</v>
      </c>
      <c r="BI909">
        <v>5</v>
      </c>
      <c r="BJ909" t="s">
        <v>10555</v>
      </c>
      <c r="BK909" t="s">
        <v>100</v>
      </c>
      <c r="BL909" t="s">
        <v>10556</v>
      </c>
      <c r="BM909" t="s">
        <v>16690</v>
      </c>
      <c r="BN909" t="s">
        <v>74</v>
      </c>
      <c r="BO909" t="s">
        <v>74</v>
      </c>
      <c r="BP909" t="s">
        <v>74</v>
      </c>
      <c r="BQ909" t="s">
        <v>74</v>
      </c>
      <c r="BR909" t="s">
        <v>102</v>
      </c>
      <c r="BS909" t="s">
        <v>16691</v>
      </c>
      <c r="BT909" t="str">
        <f>HYPERLINK("https%3A%2F%2Fwww.webofscience.com%2Fwos%2Fwoscc%2Ffull-record%2FWOS:000294546900015","View Full Record in Web of Science")</f>
        <v>View Full Record in Web of Science</v>
      </c>
    </row>
    <row r="910" spans="1:72" x14ac:dyDescent="0.15">
      <c r="A910" t="s">
        <v>72</v>
      </c>
      <c r="B910" t="s">
        <v>16692</v>
      </c>
      <c r="C910" t="s">
        <v>74</v>
      </c>
      <c r="D910" t="s">
        <v>74</v>
      </c>
      <c r="E910" t="s">
        <v>74</v>
      </c>
      <c r="F910" t="s">
        <v>16693</v>
      </c>
      <c r="G910" t="s">
        <v>74</v>
      </c>
      <c r="H910" t="s">
        <v>74</v>
      </c>
      <c r="I910" t="s">
        <v>16694</v>
      </c>
      <c r="J910" t="s">
        <v>16695</v>
      </c>
      <c r="K910" t="s">
        <v>74</v>
      </c>
      <c r="L910" t="s">
        <v>74</v>
      </c>
      <c r="M910" t="s">
        <v>78</v>
      </c>
      <c r="N910" t="s">
        <v>1513</v>
      </c>
      <c r="O910" t="s">
        <v>74</v>
      </c>
      <c r="P910" t="s">
        <v>74</v>
      </c>
      <c r="Q910" t="s">
        <v>74</v>
      </c>
      <c r="R910" t="s">
        <v>74</v>
      </c>
      <c r="S910" t="s">
        <v>74</v>
      </c>
      <c r="T910" t="s">
        <v>16696</v>
      </c>
      <c r="U910" t="s">
        <v>16697</v>
      </c>
      <c r="V910" t="s">
        <v>16698</v>
      </c>
      <c r="W910" t="s">
        <v>16699</v>
      </c>
      <c r="X910" t="s">
        <v>16700</v>
      </c>
      <c r="Y910" t="s">
        <v>16701</v>
      </c>
      <c r="Z910" t="s">
        <v>16702</v>
      </c>
      <c r="AA910" t="s">
        <v>74</v>
      </c>
      <c r="AB910" t="s">
        <v>74</v>
      </c>
      <c r="AC910" t="s">
        <v>16703</v>
      </c>
      <c r="AD910" t="s">
        <v>16704</v>
      </c>
      <c r="AE910" t="s">
        <v>16705</v>
      </c>
      <c r="AF910" t="s">
        <v>74</v>
      </c>
      <c r="AG910">
        <v>104</v>
      </c>
      <c r="AH910">
        <v>5</v>
      </c>
      <c r="AI910">
        <v>6</v>
      </c>
      <c r="AJ910">
        <v>1</v>
      </c>
      <c r="AK910">
        <v>24</v>
      </c>
      <c r="AL910" t="s">
        <v>2832</v>
      </c>
      <c r="AM910" t="s">
        <v>796</v>
      </c>
      <c r="AN910" t="s">
        <v>797</v>
      </c>
      <c r="AO910" t="s">
        <v>16706</v>
      </c>
      <c r="AP910" t="s">
        <v>16707</v>
      </c>
      <c r="AQ910" t="s">
        <v>74</v>
      </c>
      <c r="AR910" t="s">
        <v>16708</v>
      </c>
      <c r="AS910" t="s">
        <v>16709</v>
      </c>
      <c r="AT910" t="s">
        <v>15929</v>
      </c>
      <c r="AU910">
        <v>2011</v>
      </c>
      <c r="AV910">
        <v>30</v>
      </c>
      <c r="AW910">
        <v>5</v>
      </c>
      <c r="AX910" t="s">
        <v>74</v>
      </c>
      <c r="AY910" t="s">
        <v>74</v>
      </c>
      <c r="AZ910" t="s">
        <v>74</v>
      </c>
      <c r="BA910" t="s">
        <v>74</v>
      </c>
      <c r="BB910">
        <v>757</v>
      </c>
      <c r="BC910">
        <v>771</v>
      </c>
      <c r="BD910" t="s">
        <v>74</v>
      </c>
      <c r="BE910" t="s">
        <v>16710</v>
      </c>
      <c r="BF910" t="str">
        <f>HYPERLINK("http://dx.doi.org/10.1002/mas.20300","http://dx.doi.org/10.1002/mas.20300")</f>
        <v>http://dx.doi.org/10.1002/mas.20300</v>
      </c>
      <c r="BG910" t="s">
        <v>74</v>
      </c>
      <c r="BH910" t="s">
        <v>74</v>
      </c>
      <c r="BI910">
        <v>15</v>
      </c>
      <c r="BJ910" t="s">
        <v>13840</v>
      </c>
      <c r="BK910" t="s">
        <v>100</v>
      </c>
      <c r="BL910" t="s">
        <v>13840</v>
      </c>
      <c r="BM910" t="s">
        <v>16711</v>
      </c>
      <c r="BN910">
        <v>24737630</v>
      </c>
      <c r="BO910" t="s">
        <v>74</v>
      </c>
      <c r="BP910" t="s">
        <v>74</v>
      </c>
      <c r="BQ910" t="s">
        <v>74</v>
      </c>
      <c r="BR910" t="s">
        <v>102</v>
      </c>
      <c r="BS910" t="s">
        <v>16712</v>
      </c>
      <c r="BT910" t="str">
        <f>HYPERLINK("https%3A%2F%2Fwww.webofscience.com%2Fwos%2Fwoscc%2Ffull-record%2FWOS:000294269000003","View Full Record in Web of Science")</f>
        <v>View Full Record in Web of Science</v>
      </c>
    </row>
    <row r="911" spans="1:72" x14ac:dyDescent="0.15">
      <c r="A911" t="s">
        <v>72</v>
      </c>
      <c r="B911" t="s">
        <v>16713</v>
      </c>
      <c r="C911" t="s">
        <v>74</v>
      </c>
      <c r="D911" t="s">
        <v>74</v>
      </c>
      <c r="E911" t="s">
        <v>74</v>
      </c>
      <c r="F911" t="s">
        <v>16714</v>
      </c>
      <c r="G911" t="s">
        <v>74</v>
      </c>
      <c r="H911" t="s">
        <v>74</v>
      </c>
      <c r="I911" t="s">
        <v>16715</v>
      </c>
      <c r="J911" t="s">
        <v>16716</v>
      </c>
      <c r="K911" t="s">
        <v>74</v>
      </c>
      <c r="L911" t="s">
        <v>74</v>
      </c>
      <c r="M911" t="s">
        <v>78</v>
      </c>
      <c r="N911" t="s">
        <v>1513</v>
      </c>
      <c r="O911" t="s">
        <v>74</v>
      </c>
      <c r="P911" t="s">
        <v>74</v>
      </c>
      <c r="Q911" t="s">
        <v>74</v>
      </c>
      <c r="R911" t="s">
        <v>74</v>
      </c>
      <c r="S911" t="s">
        <v>74</v>
      </c>
      <c r="T911" t="s">
        <v>16717</v>
      </c>
      <c r="U911" t="s">
        <v>16718</v>
      </c>
      <c r="V911" t="s">
        <v>16719</v>
      </c>
      <c r="W911" t="s">
        <v>16720</v>
      </c>
      <c r="X911" t="s">
        <v>16721</v>
      </c>
      <c r="Y911" t="s">
        <v>16722</v>
      </c>
      <c r="Z911" t="s">
        <v>16723</v>
      </c>
      <c r="AA911" t="s">
        <v>74</v>
      </c>
      <c r="AB911" t="s">
        <v>74</v>
      </c>
      <c r="AC911" t="s">
        <v>16724</v>
      </c>
      <c r="AD911" t="s">
        <v>16724</v>
      </c>
      <c r="AE911" t="s">
        <v>16725</v>
      </c>
      <c r="AF911" t="s">
        <v>74</v>
      </c>
      <c r="AG911">
        <v>156</v>
      </c>
      <c r="AH911">
        <v>17</v>
      </c>
      <c r="AI911">
        <v>18</v>
      </c>
      <c r="AJ911">
        <v>0</v>
      </c>
      <c r="AK911">
        <v>23</v>
      </c>
      <c r="AL911" t="s">
        <v>2832</v>
      </c>
      <c r="AM911" t="s">
        <v>796</v>
      </c>
      <c r="AN911" t="s">
        <v>797</v>
      </c>
      <c r="AO911" t="s">
        <v>16726</v>
      </c>
      <c r="AP911" t="s">
        <v>16727</v>
      </c>
      <c r="AQ911" t="s">
        <v>74</v>
      </c>
      <c r="AR911" t="s">
        <v>16728</v>
      </c>
      <c r="AS911" t="s">
        <v>16729</v>
      </c>
      <c r="AT911" t="s">
        <v>15792</v>
      </c>
      <c r="AU911">
        <v>2011</v>
      </c>
      <c r="AV911">
        <v>18</v>
      </c>
      <c r="AW911">
        <v>3</v>
      </c>
      <c r="AX911" t="s">
        <v>74</v>
      </c>
      <c r="AY911" t="s">
        <v>74</v>
      </c>
      <c r="AZ911" t="s">
        <v>339</v>
      </c>
      <c r="BA911" t="s">
        <v>74</v>
      </c>
      <c r="BB911">
        <v>383</v>
      </c>
      <c r="BC911">
        <v>405</v>
      </c>
      <c r="BD911" t="s">
        <v>74</v>
      </c>
      <c r="BE911" t="s">
        <v>16730</v>
      </c>
      <c r="BF911" t="str">
        <f>HYPERLINK("http://dx.doi.org/10.1002/met.289","http://dx.doi.org/10.1002/met.289")</f>
        <v>http://dx.doi.org/10.1002/met.289</v>
      </c>
      <c r="BG911" t="s">
        <v>74</v>
      </c>
      <c r="BH911" t="s">
        <v>74</v>
      </c>
      <c r="BI911">
        <v>23</v>
      </c>
      <c r="BJ911" t="s">
        <v>463</v>
      </c>
      <c r="BK911" t="s">
        <v>100</v>
      </c>
      <c r="BL911" t="s">
        <v>463</v>
      </c>
      <c r="BM911" t="s">
        <v>16731</v>
      </c>
      <c r="BN911" t="s">
        <v>74</v>
      </c>
      <c r="BO911" t="s">
        <v>365</v>
      </c>
      <c r="BP911" t="s">
        <v>74</v>
      </c>
      <c r="BQ911" t="s">
        <v>74</v>
      </c>
      <c r="BR911" t="s">
        <v>102</v>
      </c>
      <c r="BS911" t="s">
        <v>16732</v>
      </c>
      <c r="BT911" t="str">
        <f>HYPERLINK("https%3A%2F%2Fwww.webofscience.com%2Fwos%2Fwoscc%2Ffull-record%2FWOS:000294401000011","View Full Record in Web of Science")</f>
        <v>View Full Record in Web of Science</v>
      </c>
    </row>
    <row r="912" spans="1:72" x14ac:dyDescent="0.15">
      <c r="A912" t="s">
        <v>72</v>
      </c>
      <c r="B912" t="s">
        <v>16733</v>
      </c>
      <c r="C912" t="s">
        <v>74</v>
      </c>
      <c r="D912" t="s">
        <v>74</v>
      </c>
      <c r="E912" t="s">
        <v>74</v>
      </c>
      <c r="F912" t="s">
        <v>16734</v>
      </c>
      <c r="G912" t="s">
        <v>74</v>
      </c>
      <c r="H912" t="s">
        <v>74</v>
      </c>
      <c r="I912" t="s">
        <v>16735</v>
      </c>
      <c r="J912" t="s">
        <v>16736</v>
      </c>
      <c r="K912" t="s">
        <v>74</v>
      </c>
      <c r="L912" t="s">
        <v>74</v>
      </c>
      <c r="M912" t="s">
        <v>78</v>
      </c>
      <c r="N912" t="s">
        <v>79</v>
      </c>
      <c r="O912" t="s">
        <v>74</v>
      </c>
      <c r="P912" t="s">
        <v>74</v>
      </c>
      <c r="Q912" t="s">
        <v>74</v>
      </c>
      <c r="R912" t="s">
        <v>74</v>
      </c>
      <c r="S912" t="s">
        <v>74</v>
      </c>
      <c r="T912" t="s">
        <v>16737</v>
      </c>
      <c r="U912" t="s">
        <v>16738</v>
      </c>
      <c r="V912" t="s">
        <v>16739</v>
      </c>
      <c r="W912" t="s">
        <v>16740</v>
      </c>
      <c r="X912" t="s">
        <v>16741</v>
      </c>
      <c r="Y912" t="s">
        <v>16742</v>
      </c>
      <c r="Z912" t="s">
        <v>10661</v>
      </c>
      <c r="AA912" t="s">
        <v>16743</v>
      </c>
      <c r="AB912" t="s">
        <v>74</v>
      </c>
      <c r="AC912" t="s">
        <v>16744</v>
      </c>
      <c r="AD912" t="s">
        <v>16745</v>
      </c>
      <c r="AE912" t="s">
        <v>16746</v>
      </c>
      <c r="AF912" t="s">
        <v>74</v>
      </c>
      <c r="AG912">
        <v>36</v>
      </c>
      <c r="AH912">
        <v>40</v>
      </c>
      <c r="AI912">
        <v>43</v>
      </c>
      <c r="AJ912">
        <v>1</v>
      </c>
      <c r="AK912">
        <v>22</v>
      </c>
      <c r="AL912" t="s">
        <v>279</v>
      </c>
      <c r="AM912" t="s">
        <v>280</v>
      </c>
      <c r="AN912" t="s">
        <v>281</v>
      </c>
      <c r="AO912" t="s">
        <v>16747</v>
      </c>
      <c r="AP912" t="s">
        <v>16748</v>
      </c>
      <c r="AQ912" t="s">
        <v>74</v>
      </c>
      <c r="AR912" t="s">
        <v>16749</v>
      </c>
      <c r="AS912" t="s">
        <v>16750</v>
      </c>
      <c r="AT912" t="s">
        <v>15792</v>
      </c>
      <c r="AU912">
        <v>2011</v>
      </c>
      <c r="AV912">
        <v>28</v>
      </c>
      <c r="AW912">
        <v>5</v>
      </c>
      <c r="AX912" t="s">
        <v>74</v>
      </c>
      <c r="AY912" t="s">
        <v>74</v>
      </c>
      <c r="AZ912" t="s">
        <v>74</v>
      </c>
      <c r="BA912" t="s">
        <v>74</v>
      </c>
      <c r="BB912">
        <v>1049</v>
      </c>
      <c r="BC912">
        <v>1055</v>
      </c>
      <c r="BD912" t="s">
        <v>74</v>
      </c>
      <c r="BE912" t="s">
        <v>16751</v>
      </c>
      <c r="BF912" t="str">
        <f>HYPERLINK("http://dx.doi.org/10.1007/s00376-011-0122-8","http://dx.doi.org/10.1007/s00376-011-0122-8")</f>
        <v>http://dx.doi.org/10.1007/s00376-011-0122-8</v>
      </c>
      <c r="BG912" t="s">
        <v>74</v>
      </c>
      <c r="BH912" t="s">
        <v>74</v>
      </c>
      <c r="BI912">
        <v>7</v>
      </c>
      <c r="BJ912" t="s">
        <v>463</v>
      </c>
      <c r="BK912" t="s">
        <v>100</v>
      </c>
      <c r="BL912" t="s">
        <v>463</v>
      </c>
      <c r="BM912" t="s">
        <v>16752</v>
      </c>
      <c r="BN912" t="s">
        <v>74</v>
      </c>
      <c r="BO912" t="s">
        <v>74</v>
      </c>
      <c r="BP912" t="s">
        <v>74</v>
      </c>
      <c r="BQ912" t="s">
        <v>74</v>
      </c>
      <c r="BR912" t="s">
        <v>102</v>
      </c>
      <c r="BS912" t="s">
        <v>16753</v>
      </c>
      <c r="BT912" t="str">
        <f>HYPERLINK("https%3A%2F%2Fwww.webofscience.com%2Fwos%2Fwoscc%2Ffull-record%2FWOS:000294068800007","View Full Record in Web of Science")</f>
        <v>View Full Record in Web of Science</v>
      </c>
    </row>
    <row r="913" spans="1:72" x14ac:dyDescent="0.15">
      <c r="A913" t="s">
        <v>72</v>
      </c>
      <c r="B913" t="s">
        <v>16754</v>
      </c>
      <c r="C913" t="s">
        <v>74</v>
      </c>
      <c r="D913" t="s">
        <v>74</v>
      </c>
      <c r="E913" t="s">
        <v>74</v>
      </c>
      <c r="F913" t="s">
        <v>16755</v>
      </c>
      <c r="G913" t="s">
        <v>74</v>
      </c>
      <c r="H913" t="s">
        <v>74</v>
      </c>
      <c r="I913" t="s">
        <v>16756</v>
      </c>
      <c r="J913" t="s">
        <v>16757</v>
      </c>
      <c r="K913" t="s">
        <v>74</v>
      </c>
      <c r="L913" t="s">
        <v>74</v>
      </c>
      <c r="M913" t="s">
        <v>78</v>
      </c>
      <c r="N913" t="s">
        <v>79</v>
      </c>
      <c r="O913" t="s">
        <v>74</v>
      </c>
      <c r="P913" t="s">
        <v>74</v>
      </c>
      <c r="Q913" t="s">
        <v>74</v>
      </c>
      <c r="R913" t="s">
        <v>74</v>
      </c>
      <c r="S913" t="s">
        <v>74</v>
      </c>
      <c r="T913" t="s">
        <v>16758</v>
      </c>
      <c r="U913" t="s">
        <v>16759</v>
      </c>
      <c r="V913" t="s">
        <v>16760</v>
      </c>
      <c r="W913" t="s">
        <v>16761</v>
      </c>
      <c r="X913" t="s">
        <v>16762</v>
      </c>
      <c r="Y913" t="s">
        <v>16763</v>
      </c>
      <c r="Z913" t="s">
        <v>16764</v>
      </c>
      <c r="AA913" t="s">
        <v>16765</v>
      </c>
      <c r="AB913" t="s">
        <v>16766</v>
      </c>
      <c r="AC913" t="s">
        <v>16767</v>
      </c>
      <c r="AD913" t="s">
        <v>16768</v>
      </c>
      <c r="AE913" t="s">
        <v>16769</v>
      </c>
      <c r="AF913" t="s">
        <v>74</v>
      </c>
      <c r="AG913">
        <v>50</v>
      </c>
      <c r="AH913">
        <v>28</v>
      </c>
      <c r="AI913">
        <v>29</v>
      </c>
      <c r="AJ913">
        <v>1</v>
      </c>
      <c r="AK913">
        <v>54</v>
      </c>
      <c r="AL913" t="s">
        <v>307</v>
      </c>
      <c r="AM913" t="s">
        <v>156</v>
      </c>
      <c r="AN913" t="s">
        <v>308</v>
      </c>
      <c r="AO913" t="s">
        <v>16770</v>
      </c>
      <c r="AP913" t="s">
        <v>16771</v>
      </c>
      <c r="AQ913" t="s">
        <v>74</v>
      </c>
      <c r="AR913" t="s">
        <v>16772</v>
      </c>
      <c r="AS913" t="s">
        <v>16773</v>
      </c>
      <c r="AT913" t="s">
        <v>15792</v>
      </c>
      <c r="AU913">
        <v>2011</v>
      </c>
      <c r="AV913">
        <v>108</v>
      </c>
      <c r="AW913">
        <v>3</v>
      </c>
      <c r="AX913" t="s">
        <v>74</v>
      </c>
      <c r="AY913" t="s">
        <v>74</v>
      </c>
      <c r="AZ913" t="s">
        <v>74</v>
      </c>
      <c r="BA913" t="s">
        <v>74</v>
      </c>
      <c r="BB913">
        <v>557</v>
      </c>
      <c r="BC913">
        <v>565</v>
      </c>
      <c r="BD913" t="s">
        <v>74</v>
      </c>
      <c r="BE913" t="s">
        <v>16774</v>
      </c>
      <c r="BF913" t="str">
        <f>HYPERLINK("http://dx.doi.org/10.1093/aob/mcr178","http://dx.doi.org/10.1093/aob/mcr178")</f>
        <v>http://dx.doi.org/10.1093/aob/mcr178</v>
      </c>
      <c r="BG913" t="s">
        <v>74</v>
      </c>
      <c r="BH913" t="s">
        <v>74</v>
      </c>
      <c r="BI913">
        <v>9</v>
      </c>
      <c r="BJ913" t="s">
        <v>3216</v>
      </c>
      <c r="BK913" t="s">
        <v>100</v>
      </c>
      <c r="BL913" t="s">
        <v>3216</v>
      </c>
      <c r="BM913" t="s">
        <v>16775</v>
      </c>
      <c r="BN913">
        <v>21803739</v>
      </c>
      <c r="BO913" t="s">
        <v>6160</v>
      </c>
      <c r="BP913" t="s">
        <v>74</v>
      </c>
      <c r="BQ913" t="s">
        <v>74</v>
      </c>
      <c r="BR913" t="s">
        <v>102</v>
      </c>
      <c r="BS913" t="s">
        <v>16776</v>
      </c>
      <c r="BT913" t="str">
        <f>HYPERLINK("https%3A%2F%2Fwww.webofscience.com%2Fwos%2Fwoscc%2Ffull-record%2FWOS:000294067000015","View Full Record in Web of Science")</f>
        <v>View Full Record in Web of Science</v>
      </c>
    </row>
    <row r="914" spans="1:72" x14ac:dyDescent="0.15">
      <c r="A914" t="s">
        <v>72</v>
      </c>
      <c r="B914" t="s">
        <v>16777</v>
      </c>
      <c r="C914" t="s">
        <v>74</v>
      </c>
      <c r="D914" t="s">
        <v>74</v>
      </c>
      <c r="E914" t="s">
        <v>74</v>
      </c>
      <c r="F914" t="s">
        <v>16778</v>
      </c>
      <c r="G914" t="s">
        <v>74</v>
      </c>
      <c r="H914" t="s">
        <v>74</v>
      </c>
      <c r="I914" t="s">
        <v>16779</v>
      </c>
      <c r="J914" t="s">
        <v>10133</v>
      </c>
      <c r="K914" t="s">
        <v>74</v>
      </c>
      <c r="L914" t="s">
        <v>74</v>
      </c>
      <c r="M914" t="s">
        <v>78</v>
      </c>
      <c r="N914" t="s">
        <v>79</v>
      </c>
      <c r="O914" t="s">
        <v>74</v>
      </c>
      <c r="P914" t="s">
        <v>74</v>
      </c>
      <c r="Q914" t="s">
        <v>74</v>
      </c>
      <c r="R914" t="s">
        <v>74</v>
      </c>
      <c r="S914" t="s">
        <v>74</v>
      </c>
      <c r="T914" t="s">
        <v>16780</v>
      </c>
      <c r="U914" t="s">
        <v>16781</v>
      </c>
      <c r="V914" t="s">
        <v>16782</v>
      </c>
      <c r="W914" t="s">
        <v>16783</v>
      </c>
      <c r="X914" t="s">
        <v>16784</v>
      </c>
      <c r="Y914" t="s">
        <v>16785</v>
      </c>
      <c r="Z914" t="s">
        <v>16786</v>
      </c>
      <c r="AA914" t="s">
        <v>16787</v>
      </c>
      <c r="AB914" t="s">
        <v>16788</v>
      </c>
      <c r="AC914" t="s">
        <v>16789</v>
      </c>
      <c r="AD914" t="s">
        <v>16790</v>
      </c>
      <c r="AE914" t="s">
        <v>16791</v>
      </c>
      <c r="AF914" t="s">
        <v>74</v>
      </c>
      <c r="AG914">
        <v>37</v>
      </c>
      <c r="AH914">
        <v>3</v>
      </c>
      <c r="AI914">
        <v>5</v>
      </c>
      <c r="AJ914">
        <v>0</v>
      </c>
      <c r="AK914">
        <v>10</v>
      </c>
      <c r="AL914" t="s">
        <v>279</v>
      </c>
      <c r="AM914" t="s">
        <v>280</v>
      </c>
      <c r="AN914" t="s">
        <v>10146</v>
      </c>
      <c r="AO914" t="s">
        <v>10147</v>
      </c>
      <c r="AP914" t="s">
        <v>74</v>
      </c>
      <c r="AQ914" t="s">
        <v>74</v>
      </c>
      <c r="AR914" t="s">
        <v>10149</v>
      </c>
      <c r="AS914" t="s">
        <v>10150</v>
      </c>
      <c r="AT914" t="s">
        <v>15792</v>
      </c>
      <c r="AU914">
        <v>2011</v>
      </c>
      <c r="AV914">
        <v>29</v>
      </c>
      <c r="AW914">
        <v>5</v>
      </c>
      <c r="AX914" t="s">
        <v>74</v>
      </c>
      <c r="AY914" t="s">
        <v>74</v>
      </c>
      <c r="AZ914" t="s">
        <v>74</v>
      </c>
      <c r="BA914" t="s">
        <v>74</v>
      </c>
      <c r="BB914">
        <v>1065</v>
      </c>
      <c r="BC914">
        <v>1074</v>
      </c>
      <c r="BD914" t="s">
        <v>74</v>
      </c>
      <c r="BE914" t="s">
        <v>16792</v>
      </c>
      <c r="BF914" t="str">
        <f>HYPERLINK("http://dx.doi.org/10.1007/s00343-011-0230-4","http://dx.doi.org/10.1007/s00343-011-0230-4")</f>
        <v>http://dx.doi.org/10.1007/s00343-011-0230-4</v>
      </c>
      <c r="BG914" t="s">
        <v>74</v>
      </c>
      <c r="BH914" t="s">
        <v>74</v>
      </c>
      <c r="BI914">
        <v>10</v>
      </c>
      <c r="BJ914" t="s">
        <v>4268</v>
      </c>
      <c r="BK914" t="s">
        <v>100</v>
      </c>
      <c r="BL914" t="s">
        <v>4141</v>
      </c>
      <c r="BM914" t="s">
        <v>16793</v>
      </c>
      <c r="BN914" t="s">
        <v>74</v>
      </c>
      <c r="BO914" t="s">
        <v>74</v>
      </c>
      <c r="BP914" t="s">
        <v>74</v>
      </c>
      <c r="BQ914" t="s">
        <v>74</v>
      </c>
      <c r="BR914" t="s">
        <v>102</v>
      </c>
      <c r="BS914" t="s">
        <v>16794</v>
      </c>
      <c r="BT914" t="str">
        <f>HYPERLINK("https%3A%2F%2Fwww.webofscience.com%2Fwos%2Fwoscc%2Ffull-record%2FWOS:000293632500020","View Full Record in Web of Science")</f>
        <v>View Full Record in Web of Science</v>
      </c>
    </row>
    <row r="915" spans="1:72" x14ac:dyDescent="0.15">
      <c r="A915" t="s">
        <v>72</v>
      </c>
      <c r="B915" t="s">
        <v>16795</v>
      </c>
      <c r="C915" t="s">
        <v>74</v>
      </c>
      <c r="D915" t="s">
        <v>74</v>
      </c>
      <c r="E915" t="s">
        <v>74</v>
      </c>
      <c r="F915" t="s">
        <v>16796</v>
      </c>
      <c r="G915" t="s">
        <v>74</v>
      </c>
      <c r="H915" t="s">
        <v>74</v>
      </c>
      <c r="I915" t="s">
        <v>16797</v>
      </c>
      <c r="J915" t="s">
        <v>10133</v>
      </c>
      <c r="K915" t="s">
        <v>74</v>
      </c>
      <c r="L915" t="s">
        <v>74</v>
      </c>
      <c r="M915" t="s">
        <v>78</v>
      </c>
      <c r="N915" t="s">
        <v>79</v>
      </c>
      <c r="O915" t="s">
        <v>74</v>
      </c>
      <c r="P915" t="s">
        <v>74</v>
      </c>
      <c r="Q915" t="s">
        <v>74</v>
      </c>
      <c r="R915" t="s">
        <v>74</v>
      </c>
      <c r="S915" t="s">
        <v>74</v>
      </c>
      <c r="T915" t="s">
        <v>16798</v>
      </c>
      <c r="U915" t="s">
        <v>16799</v>
      </c>
      <c r="V915" t="s">
        <v>16800</v>
      </c>
      <c r="W915" t="s">
        <v>16801</v>
      </c>
      <c r="X915" t="s">
        <v>483</v>
      </c>
      <c r="Y915" t="s">
        <v>16802</v>
      </c>
      <c r="Z915" t="s">
        <v>485</v>
      </c>
      <c r="AA915" t="s">
        <v>486</v>
      </c>
      <c r="AB915" t="s">
        <v>74</v>
      </c>
      <c r="AC915" t="s">
        <v>16803</v>
      </c>
      <c r="AD915" t="s">
        <v>16804</v>
      </c>
      <c r="AE915" t="s">
        <v>16805</v>
      </c>
      <c r="AF915" t="s">
        <v>74</v>
      </c>
      <c r="AG915">
        <v>27</v>
      </c>
      <c r="AH915">
        <v>0</v>
      </c>
      <c r="AI915">
        <v>0</v>
      </c>
      <c r="AJ915">
        <v>0</v>
      </c>
      <c r="AK915">
        <v>10</v>
      </c>
      <c r="AL915" t="s">
        <v>279</v>
      </c>
      <c r="AM915" t="s">
        <v>280</v>
      </c>
      <c r="AN915" t="s">
        <v>10146</v>
      </c>
      <c r="AO915" t="s">
        <v>10147</v>
      </c>
      <c r="AP915" t="s">
        <v>10148</v>
      </c>
      <c r="AQ915" t="s">
        <v>74</v>
      </c>
      <c r="AR915" t="s">
        <v>10149</v>
      </c>
      <c r="AS915" t="s">
        <v>10150</v>
      </c>
      <c r="AT915" t="s">
        <v>15792</v>
      </c>
      <c r="AU915">
        <v>2011</v>
      </c>
      <c r="AV915">
        <v>29</v>
      </c>
      <c r="AW915">
        <v>5</v>
      </c>
      <c r="AX915" t="s">
        <v>74</v>
      </c>
      <c r="AY915" t="s">
        <v>74</v>
      </c>
      <c r="AZ915" t="s">
        <v>74</v>
      </c>
      <c r="BA915" t="s">
        <v>74</v>
      </c>
      <c r="BB915">
        <v>1086</v>
      </c>
      <c r="BC915">
        <v>1092</v>
      </c>
      <c r="BD915" t="s">
        <v>74</v>
      </c>
      <c r="BE915" t="s">
        <v>16806</v>
      </c>
      <c r="BF915" t="str">
        <f>HYPERLINK("http://dx.doi.org/10.1007/s00343-011-0311-4","http://dx.doi.org/10.1007/s00343-011-0311-4")</f>
        <v>http://dx.doi.org/10.1007/s00343-011-0311-4</v>
      </c>
      <c r="BG915" t="s">
        <v>74</v>
      </c>
      <c r="BH915" t="s">
        <v>74</v>
      </c>
      <c r="BI915">
        <v>7</v>
      </c>
      <c r="BJ915" t="s">
        <v>4268</v>
      </c>
      <c r="BK915" t="s">
        <v>100</v>
      </c>
      <c r="BL915" t="s">
        <v>4141</v>
      </c>
      <c r="BM915" t="s">
        <v>16793</v>
      </c>
      <c r="BN915" t="s">
        <v>74</v>
      </c>
      <c r="BO915" t="s">
        <v>74</v>
      </c>
      <c r="BP915" t="s">
        <v>74</v>
      </c>
      <c r="BQ915" t="s">
        <v>74</v>
      </c>
      <c r="BR915" t="s">
        <v>102</v>
      </c>
      <c r="BS915" t="s">
        <v>16807</v>
      </c>
      <c r="BT915" t="str">
        <f>HYPERLINK("https%3A%2F%2Fwww.webofscience.com%2Fwos%2Fwoscc%2Ffull-record%2FWOS:000293632500022","View Full Record in Web of Science")</f>
        <v>View Full Record in Web of Science</v>
      </c>
    </row>
    <row r="916" spans="1:72" x14ac:dyDescent="0.15">
      <c r="A916" t="s">
        <v>72</v>
      </c>
      <c r="B916" t="s">
        <v>16808</v>
      </c>
      <c r="C916" t="s">
        <v>74</v>
      </c>
      <c r="D916" t="s">
        <v>74</v>
      </c>
      <c r="E916" t="s">
        <v>74</v>
      </c>
      <c r="F916" t="s">
        <v>16809</v>
      </c>
      <c r="G916" t="s">
        <v>74</v>
      </c>
      <c r="H916" t="s">
        <v>74</v>
      </c>
      <c r="I916" t="s">
        <v>16810</v>
      </c>
      <c r="J916" t="s">
        <v>16811</v>
      </c>
      <c r="K916" t="s">
        <v>74</v>
      </c>
      <c r="L916" t="s">
        <v>74</v>
      </c>
      <c r="M916" t="s">
        <v>78</v>
      </c>
      <c r="N916" t="s">
        <v>79</v>
      </c>
      <c r="O916" t="s">
        <v>74</v>
      </c>
      <c r="P916" t="s">
        <v>74</v>
      </c>
      <c r="Q916" t="s">
        <v>74</v>
      </c>
      <c r="R916" t="s">
        <v>74</v>
      </c>
      <c r="S916" t="s">
        <v>74</v>
      </c>
      <c r="T916" t="s">
        <v>74</v>
      </c>
      <c r="U916" t="s">
        <v>16812</v>
      </c>
      <c r="V916" t="s">
        <v>16813</v>
      </c>
      <c r="W916" t="s">
        <v>16814</v>
      </c>
      <c r="X916" t="s">
        <v>16815</v>
      </c>
      <c r="Y916" t="s">
        <v>16816</v>
      </c>
      <c r="Z916" t="s">
        <v>74</v>
      </c>
      <c r="AA916" t="s">
        <v>16817</v>
      </c>
      <c r="AB916" t="s">
        <v>16818</v>
      </c>
      <c r="AC916" t="s">
        <v>16819</v>
      </c>
      <c r="AD916" t="s">
        <v>16820</v>
      </c>
      <c r="AE916" t="s">
        <v>16821</v>
      </c>
      <c r="AF916" t="s">
        <v>74</v>
      </c>
      <c r="AG916">
        <v>50</v>
      </c>
      <c r="AH916">
        <v>29</v>
      </c>
      <c r="AI916">
        <v>40</v>
      </c>
      <c r="AJ916">
        <v>0</v>
      </c>
      <c r="AK916">
        <v>25</v>
      </c>
      <c r="AL916" t="s">
        <v>2832</v>
      </c>
      <c r="AM916" t="s">
        <v>796</v>
      </c>
      <c r="AN916" t="s">
        <v>797</v>
      </c>
      <c r="AO916" t="s">
        <v>16822</v>
      </c>
      <c r="AP916" t="s">
        <v>16823</v>
      </c>
      <c r="AQ916" t="s">
        <v>74</v>
      </c>
      <c r="AR916" t="s">
        <v>16811</v>
      </c>
      <c r="AS916" t="s">
        <v>16824</v>
      </c>
      <c r="AT916" t="s">
        <v>15792</v>
      </c>
      <c r="AU916">
        <v>2011</v>
      </c>
      <c r="AV916">
        <v>9</v>
      </c>
      <c r="AW916">
        <v>5</v>
      </c>
      <c r="AX916" t="s">
        <v>74</v>
      </c>
      <c r="AY916" t="s">
        <v>74</v>
      </c>
      <c r="AZ916" t="s">
        <v>74</v>
      </c>
      <c r="BA916" t="s">
        <v>74</v>
      </c>
      <c r="BB916">
        <v>394</v>
      </c>
      <c r="BC916">
        <v>410</v>
      </c>
      <c r="BD916" t="s">
        <v>74</v>
      </c>
      <c r="BE916" t="s">
        <v>16825</v>
      </c>
      <c r="BF916" t="str">
        <f>HYPERLINK("http://dx.doi.org/10.1111/j.1472-4669.2011.00289.x","http://dx.doi.org/10.1111/j.1472-4669.2011.00289.x")</f>
        <v>http://dx.doi.org/10.1111/j.1472-4669.2011.00289.x</v>
      </c>
      <c r="BG916" t="s">
        <v>74</v>
      </c>
      <c r="BH916" t="s">
        <v>74</v>
      </c>
      <c r="BI916">
        <v>17</v>
      </c>
      <c r="BJ916" t="s">
        <v>16826</v>
      </c>
      <c r="BK916" t="s">
        <v>100</v>
      </c>
      <c r="BL916" t="s">
        <v>16827</v>
      </c>
      <c r="BM916" t="s">
        <v>16828</v>
      </c>
      <c r="BN916">
        <v>21884362</v>
      </c>
      <c r="BO916" t="s">
        <v>365</v>
      </c>
      <c r="BP916" t="s">
        <v>74</v>
      </c>
      <c r="BQ916" t="s">
        <v>74</v>
      </c>
      <c r="BR916" t="s">
        <v>102</v>
      </c>
      <c r="BS916" t="s">
        <v>16829</v>
      </c>
      <c r="BT916" t="str">
        <f>HYPERLINK("https%3A%2F%2Fwww.webofscience.com%2Fwos%2Fwoscc%2Ffull-record%2FWOS:000294172100002","View Full Record in Web of Science")</f>
        <v>View Full Record in Web of Science</v>
      </c>
    </row>
    <row r="917" spans="1:72" x14ac:dyDescent="0.15">
      <c r="A917" t="s">
        <v>72</v>
      </c>
      <c r="B917" t="s">
        <v>16830</v>
      </c>
      <c r="C917" t="s">
        <v>74</v>
      </c>
      <c r="D917" t="s">
        <v>74</v>
      </c>
      <c r="E917" t="s">
        <v>74</v>
      </c>
      <c r="F917" t="s">
        <v>16831</v>
      </c>
      <c r="G917" t="s">
        <v>74</v>
      </c>
      <c r="H917" t="s">
        <v>74</v>
      </c>
      <c r="I917" t="s">
        <v>16832</v>
      </c>
      <c r="J917" t="s">
        <v>10769</v>
      </c>
      <c r="K917" t="s">
        <v>74</v>
      </c>
      <c r="L917" t="s">
        <v>74</v>
      </c>
      <c r="M917" t="s">
        <v>78</v>
      </c>
      <c r="N917" t="s">
        <v>79</v>
      </c>
      <c r="O917" t="s">
        <v>74</v>
      </c>
      <c r="P917" t="s">
        <v>74</v>
      </c>
      <c r="Q917" t="s">
        <v>74</v>
      </c>
      <c r="R917" t="s">
        <v>74</v>
      </c>
      <c r="S917" t="s">
        <v>74</v>
      </c>
      <c r="T917" t="s">
        <v>74</v>
      </c>
      <c r="U917" t="s">
        <v>16833</v>
      </c>
      <c r="V917" t="s">
        <v>16834</v>
      </c>
      <c r="W917" t="s">
        <v>16835</v>
      </c>
      <c r="X917" t="s">
        <v>16836</v>
      </c>
      <c r="Y917" t="s">
        <v>16837</v>
      </c>
      <c r="Z917" t="s">
        <v>74</v>
      </c>
      <c r="AA917" t="s">
        <v>74</v>
      </c>
      <c r="AB917" t="s">
        <v>74</v>
      </c>
      <c r="AC917" t="s">
        <v>74</v>
      </c>
      <c r="AD917" t="s">
        <v>74</v>
      </c>
      <c r="AE917" t="s">
        <v>74</v>
      </c>
      <c r="AF917" t="s">
        <v>74</v>
      </c>
      <c r="AG917">
        <v>38</v>
      </c>
      <c r="AH917">
        <v>13</v>
      </c>
      <c r="AI917">
        <v>15</v>
      </c>
      <c r="AJ917">
        <v>0</v>
      </c>
      <c r="AK917">
        <v>9</v>
      </c>
      <c r="AL917" t="s">
        <v>7665</v>
      </c>
      <c r="AM917" t="s">
        <v>7666</v>
      </c>
      <c r="AN917" t="s">
        <v>7667</v>
      </c>
      <c r="AO917" t="s">
        <v>10777</v>
      </c>
      <c r="AP917" t="s">
        <v>74</v>
      </c>
      <c r="AQ917" t="s">
        <v>74</v>
      </c>
      <c r="AR917" t="s">
        <v>10769</v>
      </c>
      <c r="AS917" t="s">
        <v>288</v>
      </c>
      <c r="AT917" t="s">
        <v>15792</v>
      </c>
      <c r="AU917">
        <v>2011</v>
      </c>
      <c r="AV917">
        <v>39</v>
      </c>
      <c r="AW917">
        <v>9</v>
      </c>
      <c r="AX917" t="s">
        <v>74</v>
      </c>
      <c r="AY917" t="s">
        <v>74</v>
      </c>
      <c r="AZ917" t="s">
        <v>74</v>
      </c>
      <c r="BA917" t="s">
        <v>74</v>
      </c>
      <c r="BB917">
        <v>807</v>
      </c>
      <c r="BC917">
        <v>810</v>
      </c>
      <c r="BD917" t="s">
        <v>74</v>
      </c>
      <c r="BE917" t="s">
        <v>16838</v>
      </c>
      <c r="BF917" t="str">
        <f>HYPERLINK("http://dx.doi.org/10.1130/G31981.1","http://dx.doi.org/10.1130/G31981.1")</f>
        <v>http://dx.doi.org/10.1130/G31981.1</v>
      </c>
      <c r="BG917" t="s">
        <v>74</v>
      </c>
      <c r="BH917" t="s">
        <v>74</v>
      </c>
      <c r="BI917">
        <v>4</v>
      </c>
      <c r="BJ917" t="s">
        <v>288</v>
      </c>
      <c r="BK917" t="s">
        <v>100</v>
      </c>
      <c r="BL917" t="s">
        <v>288</v>
      </c>
      <c r="BM917" t="s">
        <v>16839</v>
      </c>
      <c r="BN917" t="s">
        <v>74</v>
      </c>
      <c r="BO917" t="s">
        <v>74</v>
      </c>
      <c r="BP917" t="s">
        <v>74</v>
      </c>
      <c r="BQ917" t="s">
        <v>74</v>
      </c>
      <c r="BR917" t="s">
        <v>102</v>
      </c>
      <c r="BS917" t="s">
        <v>16840</v>
      </c>
      <c r="BT917" t="str">
        <f>HYPERLINK("https%3A%2F%2Fwww.webofscience.com%2Fwos%2Fwoscc%2Ffull-record%2FWOS:000294053300008","View Full Record in Web of Science")</f>
        <v>View Full Record in Web of Science</v>
      </c>
    </row>
    <row r="918" spans="1:72" x14ac:dyDescent="0.15">
      <c r="A918" t="s">
        <v>72</v>
      </c>
      <c r="B918" t="s">
        <v>16841</v>
      </c>
      <c r="C918" t="s">
        <v>74</v>
      </c>
      <c r="D918" t="s">
        <v>74</v>
      </c>
      <c r="E918" t="s">
        <v>74</v>
      </c>
      <c r="F918" t="s">
        <v>16842</v>
      </c>
      <c r="G918" t="s">
        <v>74</v>
      </c>
      <c r="H918" t="s">
        <v>74</v>
      </c>
      <c r="I918" t="s">
        <v>16843</v>
      </c>
      <c r="J918" t="s">
        <v>347</v>
      </c>
      <c r="K918" t="s">
        <v>74</v>
      </c>
      <c r="L918" t="s">
        <v>74</v>
      </c>
      <c r="M918" t="s">
        <v>78</v>
      </c>
      <c r="N918" t="s">
        <v>79</v>
      </c>
      <c r="O918" t="s">
        <v>74</v>
      </c>
      <c r="P918" t="s">
        <v>74</v>
      </c>
      <c r="Q918" t="s">
        <v>74</v>
      </c>
      <c r="R918" t="s">
        <v>74</v>
      </c>
      <c r="S918" t="s">
        <v>74</v>
      </c>
      <c r="T918" t="s">
        <v>16844</v>
      </c>
      <c r="U918" t="s">
        <v>16845</v>
      </c>
      <c r="V918" t="s">
        <v>16846</v>
      </c>
      <c r="W918" t="s">
        <v>16847</v>
      </c>
      <c r="X918" t="s">
        <v>16848</v>
      </c>
      <c r="Y918" t="s">
        <v>16849</v>
      </c>
      <c r="Z918" t="s">
        <v>16850</v>
      </c>
      <c r="AA918" t="s">
        <v>6017</v>
      </c>
      <c r="AB918" t="s">
        <v>16851</v>
      </c>
      <c r="AC918" t="s">
        <v>16852</v>
      </c>
      <c r="AD918" t="s">
        <v>16853</v>
      </c>
      <c r="AE918" t="s">
        <v>16854</v>
      </c>
      <c r="AF918" t="s">
        <v>74</v>
      </c>
      <c r="AG918">
        <v>41</v>
      </c>
      <c r="AH918">
        <v>10</v>
      </c>
      <c r="AI918">
        <v>10</v>
      </c>
      <c r="AJ918">
        <v>0</v>
      </c>
      <c r="AK918">
        <v>9</v>
      </c>
      <c r="AL918" t="s">
        <v>307</v>
      </c>
      <c r="AM918" t="s">
        <v>156</v>
      </c>
      <c r="AN918" t="s">
        <v>308</v>
      </c>
      <c r="AO918" t="s">
        <v>359</v>
      </c>
      <c r="AP918" t="s">
        <v>74</v>
      </c>
      <c r="AQ918" t="s">
        <v>74</v>
      </c>
      <c r="AR918" t="s">
        <v>360</v>
      </c>
      <c r="AS918" t="s">
        <v>361</v>
      </c>
      <c r="AT918" t="s">
        <v>15792</v>
      </c>
      <c r="AU918">
        <v>2011</v>
      </c>
      <c r="AV918">
        <v>68</v>
      </c>
      <c r="AW918">
        <v>9</v>
      </c>
      <c r="AX918" t="s">
        <v>74</v>
      </c>
      <c r="AY918" t="s">
        <v>74</v>
      </c>
      <c r="AZ918" t="s">
        <v>74</v>
      </c>
      <c r="BA918" t="s">
        <v>74</v>
      </c>
      <c r="BB918">
        <v>1842</v>
      </c>
      <c r="BC918">
        <v>1851</v>
      </c>
      <c r="BD918" t="s">
        <v>74</v>
      </c>
      <c r="BE918" t="s">
        <v>16855</v>
      </c>
      <c r="BF918" t="str">
        <f>HYPERLINK("http://dx.doi.org/10.1093/icesjms/fsr128","http://dx.doi.org/10.1093/icesjms/fsr128")</f>
        <v>http://dx.doi.org/10.1093/icesjms/fsr128</v>
      </c>
      <c r="BG918" t="s">
        <v>74</v>
      </c>
      <c r="BH918" t="s">
        <v>74</v>
      </c>
      <c r="BI918">
        <v>10</v>
      </c>
      <c r="BJ918" t="s">
        <v>363</v>
      </c>
      <c r="BK918" t="s">
        <v>100</v>
      </c>
      <c r="BL918" t="s">
        <v>363</v>
      </c>
      <c r="BM918" t="s">
        <v>16856</v>
      </c>
      <c r="BN918" t="s">
        <v>74</v>
      </c>
      <c r="BO918" t="s">
        <v>365</v>
      </c>
      <c r="BP918" t="s">
        <v>74</v>
      </c>
      <c r="BQ918" t="s">
        <v>74</v>
      </c>
      <c r="BR918" t="s">
        <v>102</v>
      </c>
      <c r="BS918" t="s">
        <v>16857</v>
      </c>
      <c r="BT918" t="str">
        <f>HYPERLINK("https%3A%2F%2Fwww.webofscience.com%2Fwos%2Fwoscc%2Ffull-record%2FWOS:000294107800003","View Full Record in Web of Science")</f>
        <v>View Full Record in Web of Science</v>
      </c>
    </row>
    <row r="919" spans="1:72" x14ac:dyDescent="0.15">
      <c r="A919" t="s">
        <v>72</v>
      </c>
      <c r="B919" t="s">
        <v>16858</v>
      </c>
      <c r="C919" t="s">
        <v>74</v>
      </c>
      <c r="D919" t="s">
        <v>74</v>
      </c>
      <c r="E919" t="s">
        <v>74</v>
      </c>
      <c r="F919" t="s">
        <v>16859</v>
      </c>
      <c r="G919" t="s">
        <v>74</v>
      </c>
      <c r="H919" t="s">
        <v>74</v>
      </c>
      <c r="I919" t="s">
        <v>16860</v>
      </c>
      <c r="J919" t="s">
        <v>16861</v>
      </c>
      <c r="K919" t="s">
        <v>74</v>
      </c>
      <c r="L919" t="s">
        <v>74</v>
      </c>
      <c r="M919" t="s">
        <v>78</v>
      </c>
      <c r="N919" t="s">
        <v>79</v>
      </c>
      <c r="O919" t="s">
        <v>74</v>
      </c>
      <c r="P919" t="s">
        <v>74</v>
      </c>
      <c r="Q919" t="s">
        <v>74</v>
      </c>
      <c r="R919" t="s">
        <v>74</v>
      </c>
      <c r="S919" t="s">
        <v>74</v>
      </c>
      <c r="T919" t="s">
        <v>16862</v>
      </c>
      <c r="U919" t="s">
        <v>16863</v>
      </c>
      <c r="V919" t="s">
        <v>16864</v>
      </c>
      <c r="W919" t="s">
        <v>16865</v>
      </c>
      <c r="X919" t="s">
        <v>16866</v>
      </c>
      <c r="Y919" t="s">
        <v>16867</v>
      </c>
      <c r="Z919" t="s">
        <v>16868</v>
      </c>
      <c r="AA919" t="s">
        <v>16869</v>
      </c>
      <c r="AB919" t="s">
        <v>16870</v>
      </c>
      <c r="AC919" t="s">
        <v>74</v>
      </c>
      <c r="AD919" t="s">
        <v>74</v>
      </c>
      <c r="AE919" t="s">
        <v>74</v>
      </c>
      <c r="AF919" t="s">
        <v>74</v>
      </c>
      <c r="AG919">
        <v>42</v>
      </c>
      <c r="AH919">
        <v>46</v>
      </c>
      <c r="AI919">
        <v>51</v>
      </c>
      <c r="AJ919">
        <v>0</v>
      </c>
      <c r="AK919">
        <v>36</v>
      </c>
      <c r="AL919" t="s">
        <v>3864</v>
      </c>
      <c r="AM919" t="s">
        <v>221</v>
      </c>
      <c r="AN919" t="s">
        <v>3865</v>
      </c>
      <c r="AO919" t="s">
        <v>16871</v>
      </c>
      <c r="AP919" t="s">
        <v>74</v>
      </c>
      <c r="AQ919" t="s">
        <v>74</v>
      </c>
      <c r="AR919" t="s">
        <v>16872</v>
      </c>
      <c r="AS919" t="s">
        <v>16873</v>
      </c>
      <c r="AT919" t="s">
        <v>15792</v>
      </c>
      <c r="AU919">
        <v>2011</v>
      </c>
      <c r="AV919">
        <v>38</v>
      </c>
      <c r="AW919">
        <v>9</v>
      </c>
      <c r="AX919" t="s">
        <v>74</v>
      </c>
      <c r="AY919" t="s">
        <v>74</v>
      </c>
      <c r="AZ919" t="s">
        <v>74</v>
      </c>
      <c r="BA919" t="s">
        <v>74</v>
      </c>
      <c r="BB919">
        <v>2461</v>
      </c>
      <c r="BC919">
        <v>2474</v>
      </c>
      <c r="BD919" t="s">
        <v>74</v>
      </c>
      <c r="BE919" t="s">
        <v>16874</v>
      </c>
      <c r="BF919" t="str">
        <f>HYPERLINK("http://dx.doi.org/10.1016/j.jas.2011.05.017","http://dx.doi.org/10.1016/j.jas.2011.05.017")</f>
        <v>http://dx.doi.org/10.1016/j.jas.2011.05.017</v>
      </c>
      <c r="BG919" t="s">
        <v>74</v>
      </c>
      <c r="BH919" t="s">
        <v>74</v>
      </c>
      <c r="BI919">
        <v>14</v>
      </c>
      <c r="BJ919" t="s">
        <v>16875</v>
      </c>
      <c r="BK919" t="s">
        <v>16876</v>
      </c>
      <c r="BL919" t="s">
        <v>16877</v>
      </c>
      <c r="BM919" t="s">
        <v>16878</v>
      </c>
      <c r="BN919" t="s">
        <v>74</v>
      </c>
      <c r="BO919" t="s">
        <v>74</v>
      </c>
      <c r="BP919" t="s">
        <v>74</v>
      </c>
      <c r="BQ919" t="s">
        <v>74</v>
      </c>
      <c r="BR919" t="s">
        <v>102</v>
      </c>
      <c r="BS919" t="s">
        <v>16879</v>
      </c>
      <c r="BT919" t="str">
        <f>HYPERLINK("https%3A%2F%2Fwww.webofscience.com%2Fwos%2Fwoscc%2Ffull-record%2FWOS:000293551200044","View Full Record in Web of Science")</f>
        <v>View Full Record in Web of Science</v>
      </c>
    </row>
    <row r="920" spans="1:72" x14ac:dyDescent="0.15">
      <c r="A920" t="s">
        <v>72</v>
      </c>
      <c r="B920" t="s">
        <v>16880</v>
      </c>
      <c r="C920" t="s">
        <v>74</v>
      </c>
      <c r="D920" t="s">
        <v>74</v>
      </c>
      <c r="E920" t="s">
        <v>74</v>
      </c>
      <c r="F920" t="s">
        <v>16881</v>
      </c>
      <c r="G920" t="s">
        <v>74</v>
      </c>
      <c r="H920" t="s">
        <v>74</v>
      </c>
      <c r="I920" t="s">
        <v>16882</v>
      </c>
      <c r="J920" t="s">
        <v>16883</v>
      </c>
      <c r="K920" t="s">
        <v>74</v>
      </c>
      <c r="L920" t="s">
        <v>74</v>
      </c>
      <c r="M920" t="s">
        <v>78</v>
      </c>
      <c r="N920" t="s">
        <v>79</v>
      </c>
      <c r="O920" t="s">
        <v>74</v>
      </c>
      <c r="P920" t="s">
        <v>74</v>
      </c>
      <c r="Q920" t="s">
        <v>74</v>
      </c>
      <c r="R920" t="s">
        <v>74</v>
      </c>
      <c r="S920" t="s">
        <v>74</v>
      </c>
      <c r="T920" t="s">
        <v>16884</v>
      </c>
      <c r="U920" t="s">
        <v>16885</v>
      </c>
      <c r="V920" t="s">
        <v>16886</v>
      </c>
      <c r="W920" t="s">
        <v>16887</v>
      </c>
      <c r="X920" t="s">
        <v>12976</v>
      </c>
      <c r="Y920" t="s">
        <v>16888</v>
      </c>
      <c r="Z920" t="s">
        <v>16889</v>
      </c>
      <c r="AA920" t="s">
        <v>16890</v>
      </c>
      <c r="AB920" t="s">
        <v>16891</v>
      </c>
      <c r="AC920" t="s">
        <v>16892</v>
      </c>
      <c r="AD920" t="s">
        <v>16892</v>
      </c>
      <c r="AE920" t="s">
        <v>16893</v>
      </c>
      <c r="AF920" t="s">
        <v>74</v>
      </c>
      <c r="AG920">
        <v>24</v>
      </c>
      <c r="AH920">
        <v>1</v>
      </c>
      <c r="AI920">
        <v>3</v>
      </c>
      <c r="AJ920">
        <v>0</v>
      </c>
      <c r="AK920">
        <v>9</v>
      </c>
      <c r="AL920" t="s">
        <v>119</v>
      </c>
      <c r="AM920" t="s">
        <v>93</v>
      </c>
      <c r="AN920" t="s">
        <v>120</v>
      </c>
      <c r="AO920" t="s">
        <v>16894</v>
      </c>
      <c r="AP920" t="s">
        <v>16895</v>
      </c>
      <c r="AQ920" t="s">
        <v>74</v>
      </c>
      <c r="AR920" t="s">
        <v>16896</v>
      </c>
      <c r="AS920" t="s">
        <v>16897</v>
      </c>
      <c r="AT920" t="s">
        <v>15792</v>
      </c>
      <c r="AU920">
        <v>2011</v>
      </c>
      <c r="AV920">
        <v>29</v>
      </c>
      <c r="AW920">
        <v>3</v>
      </c>
      <c r="AX920" t="s">
        <v>74</v>
      </c>
      <c r="AY920" t="s">
        <v>74</v>
      </c>
      <c r="AZ920" t="s">
        <v>74</v>
      </c>
      <c r="BA920" t="s">
        <v>74</v>
      </c>
      <c r="BB920">
        <v>505</v>
      </c>
      <c r="BC920">
        <v>507</v>
      </c>
      <c r="BD920" t="s">
        <v>74</v>
      </c>
      <c r="BE920" t="s">
        <v>16898</v>
      </c>
      <c r="BF920" t="str">
        <f>HYPERLINK("http://dx.doi.org/10.1007/s10164-011-0273-1","http://dx.doi.org/10.1007/s10164-011-0273-1")</f>
        <v>http://dx.doi.org/10.1007/s10164-011-0273-1</v>
      </c>
      <c r="BG920" t="s">
        <v>74</v>
      </c>
      <c r="BH920" t="s">
        <v>74</v>
      </c>
      <c r="BI920">
        <v>3</v>
      </c>
      <c r="BJ920" t="s">
        <v>16899</v>
      </c>
      <c r="BK920" t="s">
        <v>100</v>
      </c>
      <c r="BL920" t="s">
        <v>16899</v>
      </c>
      <c r="BM920" t="s">
        <v>16900</v>
      </c>
      <c r="BN920" t="s">
        <v>74</v>
      </c>
      <c r="BO920" t="s">
        <v>1796</v>
      </c>
      <c r="BP920" t="s">
        <v>74</v>
      </c>
      <c r="BQ920" t="s">
        <v>74</v>
      </c>
      <c r="BR920" t="s">
        <v>102</v>
      </c>
      <c r="BS920" t="s">
        <v>16901</v>
      </c>
      <c r="BT920" t="str">
        <f>HYPERLINK("https%3A%2F%2Fwww.webofscience.com%2Fwos%2Fwoscc%2Ffull-record%2FWOS:000294179500015","View Full Record in Web of Science")</f>
        <v>View Full Record in Web of Science</v>
      </c>
    </row>
    <row r="921" spans="1:72" x14ac:dyDescent="0.15">
      <c r="A921" t="s">
        <v>72</v>
      </c>
      <c r="B921" t="s">
        <v>16902</v>
      </c>
      <c r="C921" t="s">
        <v>74</v>
      </c>
      <c r="D921" t="s">
        <v>74</v>
      </c>
      <c r="E921" t="s">
        <v>74</v>
      </c>
      <c r="F921" t="s">
        <v>16903</v>
      </c>
      <c r="G921" t="s">
        <v>74</v>
      </c>
      <c r="H921" t="s">
        <v>74</v>
      </c>
      <c r="I921" t="s">
        <v>16904</v>
      </c>
      <c r="J921" t="s">
        <v>16905</v>
      </c>
      <c r="K921" t="s">
        <v>74</v>
      </c>
      <c r="L921" t="s">
        <v>74</v>
      </c>
      <c r="M921" t="s">
        <v>78</v>
      </c>
      <c r="N921" t="s">
        <v>79</v>
      </c>
      <c r="O921" t="s">
        <v>74</v>
      </c>
      <c r="P921" t="s">
        <v>74</v>
      </c>
      <c r="Q921" t="s">
        <v>74</v>
      </c>
      <c r="R921" t="s">
        <v>74</v>
      </c>
      <c r="S921" t="s">
        <v>74</v>
      </c>
      <c r="T921" t="s">
        <v>16906</v>
      </c>
      <c r="U921" t="s">
        <v>16907</v>
      </c>
      <c r="V921" t="s">
        <v>16908</v>
      </c>
      <c r="W921" t="s">
        <v>16909</v>
      </c>
      <c r="X921" t="s">
        <v>12976</v>
      </c>
      <c r="Y921" t="s">
        <v>16910</v>
      </c>
      <c r="Z921" t="s">
        <v>16911</v>
      </c>
      <c r="AA921" t="s">
        <v>16912</v>
      </c>
      <c r="AB921" t="s">
        <v>16913</v>
      </c>
      <c r="AC921" t="s">
        <v>16914</v>
      </c>
      <c r="AD921" t="s">
        <v>16915</v>
      </c>
      <c r="AE921" t="s">
        <v>16916</v>
      </c>
      <c r="AF921" t="s">
        <v>74</v>
      </c>
      <c r="AG921">
        <v>57</v>
      </c>
      <c r="AH921">
        <v>23</v>
      </c>
      <c r="AI921">
        <v>25</v>
      </c>
      <c r="AJ921">
        <v>2</v>
      </c>
      <c r="AK921">
        <v>62</v>
      </c>
      <c r="AL921" t="s">
        <v>795</v>
      </c>
      <c r="AM921" t="s">
        <v>1468</v>
      </c>
      <c r="AN921" t="s">
        <v>1469</v>
      </c>
      <c r="AO921" t="s">
        <v>16917</v>
      </c>
      <c r="AP921" t="s">
        <v>74</v>
      </c>
      <c r="AQ921" t="s">
        <v>74</v>
      </c>
      <c r="AR921" t="s">
        <v>16918</v>
      </c>
      <c r="AS921" t="s">
        <v>16919</v>
      </c>
      <c r="AT921" t="s">
        <v>15792</v>
      </c>
      <c r="AU921">
        <v>2011</v>
      </c>
      <c r="AV921">
        <v>285</v>
      </c>
      <c r="AW921">
        <v>1</v>
      </c>
      <c r="AX921" t="s">
        <v>74</v>
      </c>
      <c r="AY921" t="s">
        <v>74</v>
      </c>
      <c r="AZ921" t="s">
        <v>74</v>
      </c>
      <c r="BA921" t="s">
        <v>74</v>
      </c>
      <c r="BB921">
        <v>1</v>
      </c>
      <c r="BC921">
        <v>10</v>
      </c>
      <c r="BD921" t="s">
        <v>74</v>
      </c>
      <c r="BE921" t="s">
        <v>16920</v>
      </c>
      <c r="BF921" t="str">
        <f>HYPERLINK("http://dx.doi.org/10.1111/j.1469-7998.2011.00815.x","http://dx.doi.org/10.1111/j.1469-7998.2011.00815.x")</f>
        <v>http://dx.doi.org/10.1111/j.1469-7998.2011.00815.x</v>
      </c>
      <c r="BG921" t="s">
        <v>74</v>
      </c>
      <c r="BH921" t="s">
        <v>74</v>
      </c>
      <c r="BI921">
        <v>10</v>
      </c>
      <c r="BJ921" t="s">
        <v>2881</v>
      </c>
      <c r="BK921" t="s">
        <v>100</v>
      </c>
      <c r="BL921" t="s">
        <v>2881</v>
      </c>
      <c r="BM921" t="s">
        <v>16921</v>
      </c>
      <c r="BN921" t="s">
        <v>74</v>
      </c>
      <c r="BO921" t="s">
        <v>1796</v>
      </c>
      <c r="BP921" t="s">
        <v>74</v>
      </c>
      <c r="BQ921" t="s">
        <v>74</v>
      </c>
      <c r="BR921" t="s">
        <v>102</v>
      </c>
      <c r="BS921" t="s">
        <v>16922</v>
      </c>
      <c r="BT921" t="str">
        <f>HYPERLINK("https%3A%2F%2Fwww.webofscience.com%2Fwos%2Fwoscc%2Ffull-record%2FWOS:000294170500001","View Full Record in Web of Science")</f>
        <v>View Full Record in Web of Science</v>
      </c>
    </row>
    <row r="922" spans="1:72" x14ac:dyDescent="0.15">
      <c r="A922" t="s">
        <v>72</v>
      </c>
      <c r="B922" t="s">
        <v>16923</v>
      </c>
      <c r="C922" t="s">
        <v>74</v>
      </c>
      <c r="D922" t="s">
        <v>74</v>
      </c>
      <c r="E922" t="s">
        <v>74</v>
      </c>
      <c r="F922" t="s">
        <v>16924</v>
      </c>
      <c r="G922" t="s">
        <v>74</v>
      </c>
      <c r="H922" t="s">
        <v>74</v>
      </c>
      <c r="I922" t="s">
        <v>16925</v>
      </c>
      <c r="J922" t="s">
        <v>7392</v>
      </c>
      <c r="K922" t="s">
        <v>74</v>
      </c>
      <c r="L922" t="s">
        <v>74</v>
      </c>
      <c r="M922" t="s">
        <v>78</v>
      </c>
      <c r="N922" t="s">
        <v>79</v>
      </c>
      <c r="O922" t="s">
        <v>74</v>
      </c>
      <c r="P922" t="s">
        <v>74</v>
      </c>
      <c r="Q922" t="s">
        <v>74</v>
      </c>
      <c r="R922" t="s">
        <v>74</v>
      </c>
      <c r="S922" t="s">
        <v>74</v>
      </c>
      <c r="T922" t="s">
        <v>74</v>
      </c>
      <c r="U922" t="s">
        <v>16926</v>
      </c>
      <c r="V922" t="s">
        <v>16927</v>
      </c>
      <c r="W922" t="s">
        <v>16928</v>
      </c>
      <c r="X922" t="s">
        <v>16929</v>
      </c>
      <c r="Y922" t="s">
        <v>16930</v>
      </c>
      <c r="Z922" t="s">
        <v>16931</v>
      </c>
      <c r="AA922" t="s">
        <v>74</v>
      </c>
      <c r="AB922" t="s">
        <v>16932</v>
      </c>
      <c r="AC922" t="s">
        <v>16933</v>
      </c>
      <c r="AD922" t="s">
        <v>16934</v>
      </c>
      <c r="AE922" t="s">
        <v>16935</v>
      </c>
      <c r="AF922" t="s">
        <v>74</v>
      </c>
      <c r="AG922">
        <v>83</v>
      </c>
      <c r="AH922">
        <v>34</v>
      </c>
      <c r="AI922">
        <v>37</v>
      </c>
      <c r="AJ922">
        <v>0</v>
      </c>
      <c r="AK922">
        <v>30</v>
      </c>
      <c r="AL922" t="s">
        <v>7404</v>
      </c>
      <c r="AM922" t="s">
        <v>7405</v>
      </c>
      <c r="AN922" t="s">
        <v>7406</v>
      </c>
      <c r="AO922" t="s">
        <v>7407</v>
      </c>
      <c r="AP922" t="s">
        <v>7408</v>
      </c>
      <c r="AQ922" t="s">
        <v>74</v>
      </c>
      <c r="AR922" t="s">
        <v>7409</v>
      </c>
      <c r="AS922" t="s">
        <v>7410</v>
      </c>
      <c r="AT922" t="s">
        <v>15792</v>
      </c>
      <c r="AU922">
        <v>2011</v>
      </c>
      <c r="AV922">
        <v>158</v>
      </c>
      <c r="AW922">
        <v>9</v>
      </c>
      <c r="AX922" t="s">
        <v>74</v>
      </c>
      <c r="AY922" t="s">
        <v>74</v>
      </c>
      <c r="AZ922" t="s">
        <v>74</v>
      </c>
      <c r="BA922" t="s">
        <v>74</v>
      </c>
      <c r="BB922">
        <v>2009</v>
      </c>
      <c r="BC922">
        <v>2026</v>
      </c>
      <c r="BD922" t="s">
        <v>74</v>
      </c>
      <c r="BE922" t="s">
        <v>16936</v>
      </c>
      <c r="BF922" t="str">
        <f>HYPERLINK("http://dx.doi.org/10.1007/s00227-011-1709-4","http://dx.doi.org/10.1007/s00227-011-1709-4")</f>
        <v>http://dx.doi.org/10.1007/s00227-011-1709-4</v>
      </c>
      <c r="BG922" t="s">
        <v>74</v>
      </c>
      <c r="BH922" t="s">
        <v>74</v>
      </c>
      <c r="BI922">
        <v>18</v>
      </c>
      <c r="BJ922" t="s">
        <v>1015</v>
      </c>
      <c r="BK922" t="s">
        <v>100</v>
      </c>
      <c r="BL922" t="s">
        <v>1015</v>
      </c>
      <c r="BM922" t="s">
        <v>16937</v>
      </c>
      <c r="BN922" t="s">
        <v>74</v>
      </c>
      <c r="BO922" t="s">
        <v>74</v>
      </c>
      <c r="BP922" t="s">
        <v>74</v>
      </c>
      <c r="BQ922" t="s">
        <v>74</v>
      </c>
      <c r="BR922" t="s">
        <v>102</v>
      </c>
      <c r="BS922" t="s">
        <v>16938</v>
      </c>
      <c r="BT922" t="str">
        <f>HYPERLINK("https%3A%2F%2Fwww.webofscience.com%2Fwos%2Fwoscc%2Ffull-record%2FWOS:000294230000007","View Full Record in Web of Science")</f>
        <v>View Full Record in Web of Science</v>
      </c>
    </row>
    <row r="923" spans="1:72" x14ac:dyDescent="0.15">
      <c r="A923" t="s">
        <v>72</v>
      </c>
      <c r="B923" t="s">
        <v>16939</v>
      </c>
      <c r="C923" t="s">
        <v>74</v>
      </c>
      <c r="D923" t="s">
        <v>74</v>
      </c>
      <c r="E923" t="s">
        <v>74</v>
      </c>
      <c r="F923" t="s">
        <v>16940</v>
      </c>
      <c r="G923" t="s">
        <v>74</v>
      </c>
      <c r="H923" t="s">
        <v>74</v>
      </c>
      <c r="I923" t="s">
        <v>16941</v>
      </c>
      <c r="J923" t="s">
        <v>16942</v>
      </c>
      <c r="K923" t="s">
        <v>74</v>
      </c>
      <c r="L923" t="s">
        <v>74</v>
      </c>
      <c r="M923" t="s">
        <v>78</v>
      </c>
      <c r="N923" t="s">
        <v>234</v>
      </c>
      <c r="O923" t="s">
        <v>16943</v>
      </c>
      <c r="P923" t="s">
        <v>16944</v>
      </c>
      <c r="Q923" t="s">
        <v>16945</v>
      </c>
      <c r="R923" t="s">
        <v>74</v>
      </c>
      <c r="S923" t="s">
        <v>74</v>
      </c>
      <c r="T923" t="s">
        <v>16946</v>
      </c>
      <c r="U923" t="s">
        <v>16947</v>
      </c>
      <c r="V923" t="s">
        <v>16948</v>
      </c>
      <c r="W923" t="s">
        <v>16949</v>
      </c>
      <c r="X923" t="s">
        <v>16950</v>
      </c>
      <c r="Y923" t="s">
        <v>16951</v>
      </c>
      <c r="Z923" t="s">
        <v>16952</v>
      </c>
      <c r="AA923" t="s">
        <v>16953</v>
      </c>
      <c r="AB923" t="s">
        <v>74</v>
      </c>
      <c r="AC923" t="s">
        <v>16954</v>
      </c>
      <c r="AD923" t="s">
        <v>2291</v>
      </c>
      <c r="AE923" t="s">
        <v>16955</v>
      </c>
      <c r="AF923" t="s">
        <v>74</v>
      </c>
      <c r="AG923">
        <v>15</v>
      </c>
      <c r="AH923">
        <v>2</v>
      </c>
      <c r="AI923">
        <v>2</v>
      </c>
      <c r="AJ923">
        <v>1</v>
      </c>
      <c r="AK923">
        <v>4</v>
      </c>
      <c r="AL923" t="s">
        <v>16956</v>
      </c>
      <c r="AM923" t="s">
        <v>413</v>
      </c>
      <c r="AN923" t="s">
        <v>16957</v>
      </c>
      <c r="AO923" t="s">
        <v>16958</v>
      </c>
      <c r="AP923" t="s">
        <v>16959</v>
      </c>
      <c r="AQ923" t="s">
        <v>74</v>
      </c>
      <c r="AR923" t="s">
        <v>16942</v>
      </c>
      <c r="AS923" t="s">
        <v>16960</v>
      </c>
      <c r="AT923" t="s">
        <v>15792</v>
      </c>
      <c r="AU923">
        <v>2011</v>
      </c>
      <c r="AV923">
        <v>46</v>
      </c>
      <c r="AW923">
        <v>9</v>
      </c>
      <c r="AX923" t="s">
        <v>74</v>
      </c>
      <c r="AY923" t="s">
        <v>74</v>
      </c>
      <c r="AZ923" t="s">
        <v>74</v>
      </c>
      <c r="BA923" t="s">
        <v>74</v>
      </c>
      <c r="BB923">
        <v>28</v>
      </c>
      <c r="BC923">
        <v>31</v>
      </c>
      <c r="BD923" t="s">
        <v>74</v>
      </c>
      <c r="BE923" t="s">
        <v>16961</v>
      </c>
      <c r="BF923" t="str">
        <f>HYPERLINK("http://dx.doi.org/10.1145/2034574.2034779","http://dx.doi.org/10.1145/2034574.2034779")</f>
        <v>http://dx.doi.org/10.1145/2034574.2034779</v>
      </c>
      <c r="BG923" t="s">
        <v>74</v>
      </c>
      <c r="BH923" t="s">
        <v>74</v>
      </c>
      <c r="BI923">
        <v>4</v>
      </c>
      <c r="BJ923" t="s">
        <v>16962</v>
      </c>
      <c r="BK923" t="s">
        <v>259</v>
      </c>
      <c r="BL923" t="s">
        <v>420</v>
      </c>
      <c r="BM923" t="s">
        <v>16963</v>
      </c>
      <c r="BN923" t="s">
        <v>74</v>
      </c>
      <c r="BO923" t="s">
        <v>74</v>
      </c>
      <c r="BP923" t="s">
        <v>74</v>
      </c>
      <c r="BQ923" t="s">
        <v>74</v>
      </c>
      <c r="BR923" t="s">
        <v>102</v>
      </c>
      <c r="BS923" t="s">
        <v>16964</v>
      </c>
      <c r="BT923" t="str">
        <f>HYPERLINK("https%3A%2F%2Fwww.webofscience.com%2Fwos%2Fwoscc%2Ffull-record%2FWOS:000297632700004","View Full Record in Web of Science")</f>
        <v>View Full Record in Web of Science</v>
      </c>
    </row>
    <row r="924" spans="1:72" x14ac:dyDescent="0.15">
      <c r="A924" t="s">
        <v>72</v>
      </c>
      <c r="B924" t="s">
        <v>16965</v>
      </c>
      <c r="C924" t="s">
        <v>74</v>
      </c>
      <c r="D924" t="s">
        <v>74</v>
      </c>
      <c r="E924" t="s">
        <v>74</v>
      </c>
      <c r="F924" t="s">
        <v>16966</v>
      </c>
      <c r="G924" t="s">
        <v>74</v>
      </c>
      <c r="H924" t="s">
        <v>74</v>
      </c>
      <c r="I924" t="s">
        <v>16967</v>
      </c>
      <c r="J924" t="s">
        <v>2376</v>
      </c>
      <c r="K924" t="s">
        <v>74</v>
      </c>
      <c r="L924" t="s">
        <v>74</v>
      </c>
      <c r="M924" t="s">
        <v>78</v>
      </c>
      <c r="N924" t="s">
        <v>79</v>
      </c>
      <c r="O924" t="s">
        <v>74</v>
      </c>
      <c r="P924" t="s">
        <v>74</v>
      </c>
      <c r="Q924" t="s">
        <v>74</v>
      </c>
      <c r="R924" t="s">
        <v>74</v>
      </c>
      <c r="S924" t="s">
        <v>74</v>
      </c>
      <c r="T924" t="s">
        <v>16968</v>
      </c>
      <c r="U924" t="s">
        <v>16969</v>
      </c>
      <c r="V924" t="s">
        <v>16970</v>
      </c>
      <c r="W924" t="s">
        <v>16971</v>
      </c>
      <c r="X924" t="s">
        <v>16972</v>
      </c>
      <c r="Y924" t="s">
        <v>16973</v>
      </c>
      <c r="Z924" t="s">
        <v>16974</v>
      </c>
      <c r="AA924" t="s">
        <v>16975</v>
      </c>
      <c r="AB924" t="s">
        <v>16976</v>
      </c>
      <c r="AC924" t="s">
        <v>16977</v>
      </c>
      <c r="AD924" t="s">
        <v>16978</v>
      </c>
      <c r="AE924" t="s">
        <v>16979</v>
      </c>
      <c r="AF924" t="s">
        <v>74</v>
      </c>
      <c r="AG924">
        <v>87</v>
      </c>
      <c r="AH924">
        <v>26</v>
      </c>
      <c r="AI924">
        <v>29</v>
      </c>
      <c r="AJ924">
        <v>1</v>
      </c>
      <c r="AK924">
        <v>42</v>
      </c>
      <c r="AL924" t="s">
        <v>155</v>
      </c>
      <c r="AM924" t="s">
        <v>156</v>
      </c>
      <c r="AN924" t="s">
        <v>157</v>
      </c>
      <c r="AO924" t="s">
        <v>2387</v>
      </c>
      <c r="AP924" t="s">
        <v>2388</v>
      </c>
      <c r="AQ924" t="s">
        <v>74</v>
      </c>
      <c r="AR924" t="s">
        <v>2389</v>
      </c>
      <c r="AS924" t="s">
        <v>2390</v>
      </c>
      <c r="AT924" t="s">
        <v>15792</v>
      </c>
      <c r="AU924">
        <v>2011</v>
      </c>
      <c r="AV924">
        <v>58</v>
      </c>
      <c r="AW924" t="s">
        <v>16980</v>
      </c>
      <c r="AX924" t="s">
        <v>74</v>
      </c>
      <c r="AY924" t="s">
        <v>74</v>
      </c>
      <c r="AZ924" t="s">
        <v>74</v>
      </c>
      <c r="BA924" t="s">
        <v>74</v>
      </c>
      <c r="BB924">
        <v>1927</v>
      </c>
      <c r="BC924">
        <v>1943</v>
      </c>
      <c r="BD924" t="s">
        <v>74</v>
      </c>
      <c r="BE924" t="s">
        <v>16981</v>
      </c>
      <c r="BF924" t="str">
        <f>HYPERLINK("http://dx.doi.org/10.1016/j.dsr2.2010.10.070","http://dx.doi.org/10.1016/j.dsr2.2010.10.070")</f>
        <v>http://dx.doi.org/10.1016/j.dsr2.2010.10.070</v>
      </c>
      <c r="BG924" t="s">
        <v>74</v>
      </c>
      <c r="BH924" t="s">
        <v>74</v>
      </c>
      <c r="BI924">
        <v>17</v>
      </c>
      <c r="BJ924" t="s">
        <v>496</v>
      </c>
      <c r="BK924" t="s">
        <v>100</v>
      </c>
      <c r="BL924" t="s">
        <v>496</v>
      </c>
      <c r="BM924" t="s">
        <v>16982</v>
      </c>
      <c r="BN924" t="s">
        <v>74</v>
      </c>
      <c r="BO924" t="s">
        <v>74</v>
      </c>
      <c r="BP924" t="s">
        <v>74</v>
      </c>
      <c r="BQ924" t="s">
        <v>74</v>
      </c>
      <c r="BR924" t="s">
        <v>102</v>
      </c>
      <c r="BS924" t="s">
        <v>16983</v>
      </c>
      <c r="BT924" t="str">
        <f>HYPERLINK("https%3A%2F%2Fwww.webofscience.com%2Fwos%2Fwoscc%2Ffull-record%2FWOS:000293480300016","View Full Record in Web of Science")</f>
        <v>View Full Record in Web of Science</v>
      </c>
    </row>
    <row r="925" spans="1:72" x14ac:dyDescent="0.15">
      <c r="A925" t="s">
        <v>72</v>
      </c>
      <c r="B925" t="s">
        <v>16984</v>
      </c>
      <c r="C925" t="s">
        <v>74</v>
      </c>
      <c r="D925" t="s">
        <v>74</v>
      </c>
      <c r="E925" t="s">
        <v>74</v>
      </c>
      <c r="F925" t="s">
        <v>16985</v>
      </c>
      <c r="G925" t="s">
        <v>74</v>
      </c>
      <c r="H925" t="s">
        <v>74</v>
      </c>
      <c r="I925" t="s">
        <v>16986</v>
      </c>
      <c r="J925" t="s">
        <v>16987</v>
      </c>
      <c r="K925" t="s">
        <v>74</v>
      </c>
      <c r="L925" t="s">
        <v>74</v>
      </c>
      <c r="M925" t="s">
        <v>78</v>
      </c>
      <c r="N925" t="s">
        <v>810</v>
      </c>
      <c r="O925" t="s">
        <v>74</v>
      </c>
      <c r="P925" t="s">
        <v>74</v>
      </c>
      <c r="Q925" t="s">
        <v>74</v>
      </c>
      <c r="R925" t="s">
        <v>74</v>
      </c>
      <c r="S925" t="s">
        <v>74</v>
      </c>
      <c r="T925" t="s">
        <v>16988</v>
      </c>
      <c r="U925" t="s">
        <v>16989</v>
      </c>
      <c r="V925" t="s">
        <v>16990</v>
      </c>
      <c r="W925" t="s">
        <v>16991</v>
      </c>
      <c r="X925" t="s">
        <v>16992</v>
      </c>
      <c r="Y925" t="s">
        <v>16993</v>
      </c>
      <c r="Z925" t="s">
        <v>16994</v>
      </c>
      <c r="AA925" t="s">
        <v>16995</v>
      </c>
      <c r="AB925" t="s">
        <v>16996</v>
      </c>
      <c r="AC925" t="s">
        <v>16997</v>
      </c>
      <c r="AD925" t="s">
        <v>1007</v>
      </c>
      <c r="AE925" t="s">
        <v>74</v>
      </c>
      <c r="AF925" t="s">
        <v>74</v>
      </c>
      <c r="AG925">
        <v>59</v>
      </c>
      <c r="AH925">
        <v>39</v>
      </c>
      <c r="AI925">
        <v>45</v>
      </c>
      <c r="AJ925">
        <v>0</v>
      </c>
      <c r="AK925">
        <v>67</v>
      </c>
      <c r="AL925" t="s">
        <v>3479</v>
      </c>
      <c r="AM925" t="s">
        <v>334</v>
      </c>
      <c r="AN925" t="s">
        <v>3480</v>
      </c>
      <c r="AO925" t="s">
        <v>16998</v>
      </c>
      <c r="AP925" t="s">
        <v>16999</v>
      </c>
      <c r="AQ925" t="s">
        <v>74</v>
      </c>
      <c r="AR925" t="s">
        <v>17000</v>
      </c>
      <c r="AS925" t="s">
        <v>17001</v>
      </c>
      <c r="AT925" t="s">
        <v>15792</v>
      </c>
      <c r="AU925">
        <v>2011</v>
      </c>
      <c r="AV925">
        <v>8</v>
      </c>
      <c r="AW925">
        <v>3</v>
      </c>
      <c r="AX925" t="s">
        <v>74</v>
      </c>
      <c r="AY925" t="s">
        <v>74</v>
      </c>
      <c r="AZ925" t="s">
        <v>74</v>
      </c>
      <c r="BA925" t="s">
        <v>74</v>
      </c>
      <c r="BB925">
        <v>223</v>
      </c>
      <c r="BC925">
        <v>228</v>
      </c>
      <c r="BD925" t="s">
        <v>74</v>
      </c>
      <c r="BE925" t="s">
        <v>17002</v>
      </c>
      <c r="BF925" t="str">
        <f>HYPERLINK("http://dx.doi.org/10.1016/j.ecocom.2011.03.001","http://dx.doi.org/10.1016/j.ecocom.2011.03.001")</f>
        <v>http://dx.doi.org/10.1016/j.ecocom.2011.03.001</v>
      </c>
      <c r="BG925" t="s">
        <v>74</v>
      </c>
      <c r="BH925" t="s">
        <v>74</v>
      </c>
      <c r="BI925">
        <v>6</v>
      </c>
      <c r="BJ925" t="s">
        <v>2835</v>
      </c>
      <c r="BK925" t="s">
        <v>100</v>
      </c>
      <c r="BL925" t="s">
        <v>2837</v>
      </c>
      <c r="BM925" t="s">
        <v>17003</v>
      </c>
      <c r="BN925" t="s">
        <v>74</v>
      </c>
      <c r="BO925" t="s">
        <v>74</v>
      </c>
      <c r="BP925" t="s">
        <v>74</v>
      </c>
      <c r="BQ925" t="s">
        <v>74</v>
      </c>
      <c r="BR925" t="s">
        <v>102</v>
      </c>
      <c r="BS925" t="s">
        <v>17004</v>
      </c>
      <c r="BT925" t="str">
        <f>HYPERLINK("https%3A%2F%2Fwww.webofscience.com%2Fwos%2Fwoscc%2Ffull-record%2FWOS:000294037400001","View Full Record in Web of Science")</f>
        <v>View Full Record in Web of Science</v>
      </c>
    </row>
    <row r="926" spans="1:72" x14ac:dyDescent="0.15">
      <c r="A926" t="s">
        <v>72</v>
      </c>
      <c r="B926" t="s">
        <v>17005</v>
      </c>
      <c r="C926" t="s">
        <v>74</v>
      </c>
      <c r="D926" t="s">
        <v>74</v>
      </c>
      <c r="E926" t="s">
        <v>74</v>
      </c>
      <c r="F926" t="s">
        <v>17006</v>
      </c>
      <c r="G926" t="s">
        <v>74</v>
      </c>
      <c r="H926" t="s">
        <v>74</v>
      </c>
      <c r="I926" t="s">
        <v>17007</v>
      </c>
      <c r="J926" t="s">
        <v>77</v>
      </c>
      <c r="K926" t="s">
        <v>74</v>
      </c>
      <c r="L926" t="s">
        <v>74</v>
      </c>
      <c r="M926" t="s">
        <v>78</v>
      </c>
      <c r="N926" t="s">
        <v>79</v>
      </c>
      <c r="O926" t="s">
        <v>74</v>
      </c>
      <c r="P926" t="s">
        <v>74</v>
      </c>
      <c r="Q926" t="s">
        <v>74</v>
      </c>
      <c r="R926" t="s">
        <v>74</v>
      </c>
      <c r="S926" t="s">
        <v>74</v>
      </c>
      <c r="T926" t="s">
        <v>17008</v>
      </c>
      <c r="U926" t="s">
        <v>17009</v>
      </c>
      <c r="V926" t="s">
        <v>17010</v>
      </c>
      <c r="W926" t="s">
        <v>17011</v>
      </c>
      <c r="X926" t="s">
        <v>8055</v>
      </c>
      <c r="Y926" t="s">
        <v>17012</v>
      </c>
      <c r="Z926" t="s">
        <v>17013</v>
      </c>
      <c r="AA926" t="s">
        <v>74</v>
      </c>
      <c r="AB926" t="s">
        <v>17014</v>
      </c>
      <c r="AC926" t="s">
        <v>17015</v>
      </c>
      <c r="AD926" t="s">
        <v>17016</v>
      </c>
      <c r="AE926" t="s">
        <v>17017</v>
      </c>
      <c r="AF926" t="s">
        <v>74</v>
      </c>
      <c r="AG926">
        <v>43</v>
      </c>
      <c r="AH926">
        <v>55</v>
      </c>
      <c r="AI926">
        <v>56</v>
      </c>
      <c r="AJ926">
        <v>0</v>
      </c>
      <c r="AK926">
        <v>25</v>
      </c>
      <c r="AL926" t="s">
        <v>119</v>
      </c>
      <c r="AM926" t="s">
        <v>93</v>
      </c>
      <c r="AN926" t="s">
        <v>120</v>
      </c>
      <c r="AO926" t="s">
        <v>95</v>
      </c>
      <c r="AP926" t="s">
        <v>121</v>
      </c>
      <c r="AQ926" t="s">
        <v>74</v>
      </c>
      <c r="AR926" t="s">
        <v>77</v>
      </c>
      <c r="AS926" t="s">
        <v>96</v>
      </c>
      <c r="AT926" t="s">
        <v>15792</v>
      </c>
      <c r="AU926">
        <v>2011</v>
      </c>
      <c r="AV926">
        <v>15</v>
      </c>
      <c r="AW926">
        <v>5</v>
      </c>
      <c r="AX926" t="s">
        <v>74</v>
      </c>
      <c r="AY926" t="s">
        <v>74</v>
      </c>
      <c r="AZ926" t="s">
        <v>74</v>
      </c>
      <c r="BA926" t="s">
        <v>74</v>
      </c>
      <c r="BB926">
        <v>541</v>
      </c>
      <c r="BC926">
        <v>547</v>
      </c>
      <c r="BD926" t="s">
        <v>74</v>
      </c>
      <c r="BE926" t="s">
        <v>17018</v>
      </c>
      <c r="BF926" t="str">
        <f>HYPERLINK("http://dx.doi.org/10.1007/s00792-011-0384-1","http://dx.doi.org/10.1007/s00792-011-0384-1")</f>
        <v>http://dx.doi.org/10.1007/s00792-011-0384-1</v>
      </c>
      <c r="BG926" t="s">
        <v>74</v>
      </c>
      <c r="BH926" t="s">
        <v>74</v>
      </c>
      <c r="BI926">
        <v>7</v>
      </c>
      <c r="BJ926" t="s">
        <v>99</v>
      </c>
      <c r="BK926" t="s">
        <v>100</v>
      </c>
      <c r="BL926" t="s">
        <v>99</v>
      </c>
      <c r="BM926" t="s">
        <v>17019</v>
      </c>
      <c r="BN926">
        <v>21667094</v>
      </c>
      <c r="BO926" t="s">
        <v>342</v>
      </c>
      <c r="BP926" t="s">
        <v>74</v>
      </c>
      <c r="BQ926" t="s">
        <v>74</v>
      </c>
      <c r="BR926" t="s">
        <v>102</v>
      </c>
      <c r="BS926" t="s">
        <v>17020</v>
      </c>
      <c r="BT926" t="str">
        <f>HYPERLINK("https%3A%2F%2Fwww.webofscience.com%2Fwos%2Fwoscc%2Ffull-record%2FWOS:000294113200001","View Full Record in Web of Science")</f>
        <v>View Full Record in Web of Science</v>
      </c>
    </row>
    <row r="927" spans="1:72" x14ac:dyDescent="0.15">
      <c r="A927" t="s">
        <v>72</v>
      </c>
      <c r="B927" t="s">
        <v>17021</v>
      </c>
      <c r="C927" t="s">
        <v>74</v>
      </c>
      <c r="D927" t="s">
        <v>74</v>
      </c>
      <c r="E927" t="s">
        <v>74</v>
      </c>
      <c r="F927" t="s">
        <v>17022</v>
      </c>
      <c r="G927" t="s">
        <v>74</v>
      </c>
      <c r="H927" t="s">
        <v>74</v>
      </c>
      <c r="I927" t="s">
        <v>17023</v>
      </c>
      <c r="J927" t="s">
        <v>10677</v>
      </c>
      <c r="K927" t="s">
        <v>74</v>
      </c>
      <c r="L927" t="s">
        <v>74</v>
      </c>
      <c r="M927" t="s">
        <v>78</v>
      </c>
      <c r="N927" t="s">
        <v>79</v>
      </c>
      <c r="O927" t="s">
        <v>74</v>
      </c>
      <c r="P927" t="s">
        <v>74</v>
      </c>
      <c r="Q927" t="s">
        <v>74</v>
      </c>
      <c r="R927" t="s">
        <v>74</v>
      </c>
      <c r="S927" t="s">
        <v>74</v>
      </c>
      <c r="T927" t="s">
        <v>17024</v>
      </c>
      <c r="U927" t="s">
        <v>17025</v>
      </c>
      <c r="V927" t="s">
        <v>17026</v>
      </c>
      <c r="W927" t="s">
        <v>17027</v>
      </c>
      <c r="X927" t="s">
        <v>17028</v>
      </c>
      <c r="Y927" t="s">
        <v>17029</v>
      </c>
      <c r="Z927" t="s">
        <v>17030</v>
      </c>
      <c r="AA927" t="s">
        <v>17031</v>
      </c>
      <c r="AB927" t="s">
        <v>17032</v>
      </c>
      <c r="AC927" t="s">
        <v>17033</v>
      </c>
      <c r="AD927" t="s">
        <v>17034</v>
      </c>
      <c r="AE927" t="s">
        <v>17035</v>
      </c>
      <c r="AF927" t="s">
        <v>74</v>
      </c>
      <c r="AG927">
        <v>49</v>
      </c>
      <c r="AH927">
        <v>28</v>
      </c>
      <c r="AI927">
        <v>28</v>
      </c>
      <c r="AJ927">
        <v>0</v>
      </c>
      <c r="AK927">
        <v>13</v>
      </c>
      <c r="AL927" t="s">
        <v>307</v>
      </c>
      <c r="AM927" t="s">
        <v>156</v>
      </c>
      <c r="AN927" t="s">
        <v>308</v>
      </c>
      <c r="AO927" t="s">
        <v>10690</v>
      </c>
      <c r="AP927" t="s">
        <v>17036</v>
      </c>
      <c r="AQ927" t="s">
        <v>74</v>
      </c>
      <c r="AR927" t="s">
        <v>10691</v>
      </c>
      <c r="AS927" t="s">
        <v>10692</v>
      </c>
      <c r="AT927" t="s">
        <v>15792</v>
      </c>
      <c r="AU927">
        <v>2011</v>
      </c>
      <c r="AV927">
        <v>77</v>
      </c>
      <c r="AW927">
        <v>3</v>
      </c>
      <c r="AX927" t="s">
        <v>74</v>
      </c>
      <c r="AY927" t="s">
        <v>74</v>
      </c>
      <c r="AZ927" t="s">
        <v>74</v>
      </c>
      <c r="BA927" t="s">
        <v>74</v>
      </c>
      <c r="BB927">
        <v>503</v>
      </c>
      <c r="BC927">
        <v>517</v>
      </c>
      <c r="BD927" t="s">
        <v>74</v>
      </c>
      <c r="BE927" t="s">
        <v>17037</v>
      </c>
      <c r="BF927" t="str">
        <f>HYPERLINK("http://dx.doi.org/10.1111/j.1574-6941.2011.01132.x","http://dx.doi.org/10.1111/j.1574-6941.2011.01132.x")</f>
        <v>http://dx.doi.org/10.1111/j.1574-6941.2011.01132.x</v>
      </c>
      <c r="BG927" t="s">
        <v>74</v>
      </c>
      <c r="BH927" t="s">
        <v>74</v>
      </c>
      <c r="BI927">
        <v>15</v>
      </c>
      <c r="BJ927" t="s">
        <v>3089</v>
      </c>
      <c r="BK927" t="s">
        <v>100</v>
      </c>
      <c r="BL927" t="s">
        <v>3089</v>
      </c>
      <c r="BM927" t="s">
        <v>17038</v>
      </c>
      <c r="BN927">
        <v>21592144</v>
      </c>
      <c r="BO927" t="s">
        <v>365</v>
      </c>
      <c r="BP927" t="s">
        <v>74</v>
      </c>
      <c r="BQ927" t="s">
        <v>74</v>
      </c>
      <c r="BR927" t="s">
        <v>102</v>
      </c>
      <c r="BS927" t="s">
        <v>17039</v>
      </c>
      <c r="BT927" t="str">
        <f>HYPERLINK("https%3A%2F%2Fwww.webofscience.com%2Fwos%2Fwoscc%2Ffull-record%2FWOS:000293684700004","View Full Record in Web of Science")</f>
        <v>View Full Record in Web of Science</v>
      </c>
    </row>
    <row r="928" spans="1:72" x14ac:dyDescent="0.15">
      <c r="A928" t="s">
        <v>72</v>
      </c>
      <c r="B928" t="s">
        <v>17040</v>
      </c>
      <c r="C928" t="s">
        <v>74</v>
      </c>
      <c r="D928" t="s">
        <v>74</v>
      </c>
      <c r="E928" t="s">
        <v>74</v>
      </c>
      <c r="F928" t="s">
        <v>17041</v>
      </c>
      <c r="G928" t="s">
        <v>74</v>
      </c>
      <c r="H928" t="s">
        <v>74</v>
      </c>
      <c r="I928" t="s">
        <v>17042</v>
      </c>
      <c r="J928" t="s">
        <v>10769</v>
      </c>
      <c r="K928" t="s">
        <v>74</v>
      </c>
      <c r="L928" t="s">
        <v>74</v>
      </c>
      <c r="M928" t="s">
        <v>78</v>
      </c>
      <c r="N928" t="s">
        <v>79</v>
      </c>
      <c r="O928" t="s">
        <v>74</v>
      </c>
      <c r="P928" t="s">
        <v>74</v>
      </c>
      <c r="Q928" t="s">
        <v>74</v>
      </c>
      <c r="R928" t="s">
        <v>74</v>
      </c>
      <c r="S928" t="s">
        <v>74</v>
      </c>
      <c r="T928" t="s">
        <v>74</v>
      </c>
      <c r="U928" t="s">
        <v>17043</v>
      </c>
      <c r="V928" t="s">
        <v>17044</v>
      </c>
      <c r="W928" t="s">
        <v>17045</v>
      </c>
      <c r="X928" t="s">
        <v>17046</v>
      </c>
      <c r="Y928" t="s">
        <v>17047</v>
      </c>
      <c r="Z928" t="s">
        <v>74</v>
      </c>
      <c r="AA928" t="s">
        <v>17048</v>
      </c>
      <c r="AB928" t="s">
        <v>17049</v>
      </c>
      <c r="AC928" t="s">
        <v>17050</v>
      </c>
      <c r="AD928" t="s">
        <v>1726</v>
      </c>
      <c r="AE928" t="s">
        <v>17051</v>
      </c>
      <c r="AF928" t="s">
        <v>74</v>
      </c>
      <c r="AG928">
        <v>23</v>
      </c>
      <c r="AH928">
        <v>67</v>
      </c>
      <c r="AI928">
        <v>74</v>
      </c>
      <c r="AJ928">
        <v>3</v>
      </c>
      <c r="AK928">
        <v>72</v>
      </c>
      <c r="AL928" t="s">
        <v>7665</v>
      </c>
      <c r="AM928" t="s">
        <v>7666</v>
      </c>
      <c r="AN928" t="s">
        <v>7667</v>
      </c>
      <c r="AO928" t="s">
        <v>10777</v>
      </c>
      <c r="AP928" t="s">
        <v>11596</v>
      </c>
      <c r="AQ928" t="s">
        <v>74</v>
      </c>
      <c r="AR928" t="s">
        <v>10769</v>
      </c>
      <c r="AS928" t="s">
        <v>288</v>
      </c>
      <c r="AT928" t="s">
        <v>15792</v>
      </c>
      <c r="AU928">
        <v>2011</v>
      </c>
      <c r="AV928">
        <v>39</v>
      </c>
      <c r="AW928">
        <v>9</v>
      </c>
      <c r="AX928" t="s">
        <v>74</v>
      </c>
      <c r="AY928" t="s">
        <v>74</v>
      </c>
      <c r="AZ928" t="s">
        <v>74</v>
      </c>
      <c r="BA928" t="s">
        <v>74</v>
      </c>
      <c r="BB928">
        <v>863</v>
      </c>
      <c r="BC928">
        <v>866</v>
      </c>
      <c r="BD928" t="s">
        <v>74</v>
      </c>
      <c r="BE928" t="s">
        <v>17052</v>
      </c>
      <c r="BF928" t="str">
        <f>HYPERLINK("http://dx.doi.org/10.1130/G32037.1","http://dx.doi.org/10.1130/G32037.1")</f>
        <v>http://dx.doi.org/10.1130/G32037.1</v>
      </c>
      <c r="BG928" t="s">
        <v>74</v>
      </c>
      <c r="BH928" t="s">
        <v>74</v>
      </c>
      <c r="BI928">
        <v>4</v>
      </c>
      <c r="BJ928" t="s">
        <v>288</v>
      </c>
      <c r="BK928" t="s">
        <v>100</v>
      </c>
      <c r="BL928" t="s">
        <v>288</v>
      </c>
      <c r="BM928" t="s">
        <v>16839</v>
      </c>
      <c r="BN928" t="s">
        <v>74</v>
      </c>
      <c r="BO928" t="s">
        <v>74</v>
      </c>
      <c r="BP928" t="s">
        <v>74</v>
      </c>
      <c r="BQ928" t="s">
        <v>74</v>
      </c>
      <c r="BR928" t="s">
        <v>102</v>
      </c>
      <c r="BS928" t="s">
        <v>17053</v>
      </c>
      <c r="BT928" t="str">
        <f>HYPERLINK("https%3A%2F%2Fwww.webofscience.com%2Fwos%2Fwoscc%2Ffull-record%2FWOS:000294053300022","View Full Record in Web of Science")</f>
        <v>View Full Record in Web of Science</v>
      </c>
    </row>
    <row r="929" spans="1:72" x14ac:dyDescent="0.15">
      <c r="A929" t="s">
        <v>72</v>
      </c>
      <c r="B929" t="s">
        <v>17054</v>
      </c>
      <c r="C929" t="s">
        <v>74</v>
      </c>
      <c r="D929" t="s">
        <v>74</v>
      </c>
      <c r="E929" t="s">
        <v>74</v>
      </c>
      <c r="F929" t="s">
        <v>17055</v>
      </c>
      <c r="G929" t="s">
        <v>74</v>
      </c>
      <c r="H929" t="s">
        <v>74</v>
      </c>
      <c r="I929" t="s">
        <v>17056</v>
      </c>
      <c r="J929" t="s">
        <v>3511</v>
      </c>
      <c r="K929" t="s">
        <v>74</v>
      </c>
      <c r="L929" t="s">
        <v>74</v>
      </c>
      <c r="M929" t="s">
        <v>78</v>
      </c>
      <c r="N929" t="s">
        <v>79</v>
      </c>
      <c r="O929" t="s">
        <v>74</v>
      </c>
      <c r="P929" t="s">
        <v>74</v>
      </c>
      <c r="Q929" t="s">
        <v>74</v>
      </c>
      <c r="R929" t="s">
        <v>74</v>
      </c>
      <c r="S929" t="s">
        <v>74</v>
      </c>
      <c r="T929" t="s">
        <v>17057</v>
      </c>
      <c r="U929" t="s">
        <v>17058</v>
      </c>
      <c r="V929" t="s">
        <v>17059</v>
      </c>
      <c r="W929" t="s">
        <v>17060</v>
      </c>
      <c r="X929" t="s">
        <v>17061</v>
      </c>
      <c r="Y929" t="s">
        <v>17062</v>
      </c>
      <c r="Z929" t="s">
        <v>17063</v>
      </c>
      <c r="AA929" t="s">
        <v>17064</v>
      </c>
      <c r="AB929" t="s">
        <v>17065</v>
      </c>
      <c r="AC929" t="s">
        <v>74</v>
      </c>
      <c r="AD929" t="s">
        <v>74</v>
      </c>
      <c r="AE929" t="s">
        <v>74</v>
      </c>
      <c r="AF929" t="s">
        <v>74</v>
      </c>
      <c r="AG929">
        <v>175</v>
      </c>
      <c r="AH929">
        <v>44</v>
      </c>
      <c r="AI929">
        <v>45</v>
      </c>
      <c r="AJ929">
        <v>0</v>
      </c>
      <c r="AK929">
        <v>4</v>
      </c>
      <c r="AL929" t="s">
        <v>333</v>
      </c>
      <c r="AM929" t="s">
        <v>334</v>
      </c>
      <c r="AN929" t="s">
        <v>335</v>
      </c>
      <c r="AO929" t="s">
        <v>3519</v>
      </c>
      <c r="AP929" t="s">
        <v>3520</v>
      </c>
      <c r="AQ929" t="s">
        <v>74</v>
      </c>
      <c r="AR929" t="s">
        <v>3521</v>
      </c>
      <c r="AS929" t="s">
        <v>3522</v>
      </c>
      <c r="AT929" t="s">
        <v>15792</v>
      </c>
      <c r="AU929">
        <v>2011</v>
      </c>
      <c r="AV929">
        <v>20</v>
      </c>
      <c r="AW929" t="s">
        <v>14056</v>
      </c>
      <c r="AX929" t="s">
        <v>74</v>
      </c>
      <c r="AY929" t="s">
        <v>74</v>
      </c>
      <c r="AZ929" t="s">
        <v>74</v>
      </c>
      <c r="BA929" t="s">
        <v>74</v>
      </c>
      <c r="BB929">
        <v>344</v>
      </c>
      <c r="BC929">
        <v>361</v>
      </c>
      <c r="BD929" t="s">
        <v>74</v>
      </c>
      <c r="BE929" t="s">
        <v>17066</v>
      </c>
      <c r="BF929" t="str">
        <f>HYPERLINK("http://dx.doi.org/10.1016/j.gr.2011.03.009","http://dx.doi.org/10.1016/j.gr.2011.03.009")</f>
        <v>http://dx.doi.org/10.1016/j.gr.2011.03.009</v>
      </c>
      <c r="BG929" t="s">
        <v>74</v>
      </c>
      <c r="BH929" t="s">
        <v>74</v>
      </c>
      <c r="BI929">
        <v>18</v>
      </c>
      <c r="BJ929" t="s">
        <v>287</v>
      </c>
      <c r="BK929" t="s">
        <v>100</v>
      </c>
      <c r="BL929" t="s">
        <v>288</v>
      </c>
      <c r="BM929" t="s">
        <v>17067</v>
      </c>
      <c r="BN929" t="s">
        <v>74</v>
      </c>
      <c r="BO929" t="s">
        <v>74</v>
      </c>
      <c r="BP929" t="s">
        <v>74</v>
      </c>
      <c r="BQ929" t="s">
        <v>74</v>
      </c>
      <c r="BR929" t="s">
        <v>102</v>
      </c>
      <c r="BS929" t="s">
        <v>17068</v>
      </c>
      <c r="BT929" t="str">
        <f>HYPERLINK("https%3A%2F%2Fwww.webofscience.com%2Fwos%2Fwoscc%2Ffull-record%2FWOS:000294075700006","View Full Record in Web of Science")</f>
        <v>View Full Record in Web of Science</v>
      </c>
    </row>
    <row r="930" spans="1:72" x14ac:dyDescent="0.15">
      <c r="A930" t="s">
        <v>72</v>
      </c>
      <c r="B930" t="s">
        <v>17069</v>
      </c>
      <c r="C930" t="s">
        <v>74</v>
      </c>
      <c r="D930" t="s">
        <v>74</v>
      </c>
      <c r="E930" t="s">
        <v>74</v>
      </c>
      <c r="F930" t="s">
        <v>17070</v>
      </c>
      <c r="G930" t="s">
        <v>74</v>
      </c>
      <c r="H930" t="s">
        <v>74</v>
      </c>
      <c r="I930" t="s">
        <v>17071</v>
      </c>
      <c r="J930" t="s">
        <v>347</v>
      </c>
      <c r="K930" t="s">
        <v>74</v>
      </c>
      <c r="L930" t="s">
        <v>74</v>
      </c>
      <c r="M930" t="s">
        <v>78</v>
      </c>
      <c r="N930" t="s">
        <v>234</v>
      </c>
      <c r="O930" t="s">
        <v>17072</v>
      </c>
      <c r="P930" t="s">
        <v>17073</v>
      </c>
      <c r="Q930" t="s">
        <v>17074</v>
      </c>
      <c r="R930" t="s">
        <v>74</v>
      </c>
      <c r="S930" t="s">
        <v>74</v>
      </c>
      <c r="T930" t="s">
        <v>17075</v>
      </c>
      <c r="U930" t="s">
        <v>17076</v>
      </c>
      <c r="V930" t="s">
        <v>17077</v>
      </c>
      <c r="W930" t="s">
        <v>17078</v>
      </c>
      <c r="X930" t="s">
        <v>17079</v>
      </c>
      <c r="Y930" t="s">
        <v>17080</v>
      </c>
      <c r="Z930" t="s">
        <v>17081</v>
      </c>
      <c r="AA930" t="s">
        <v>17082</v>
      </c>
      <c r="AB930" t="s">
        <v>17083</v>
      </c>
      <c r="AC930" t="s">
        <v>17084</v>
      </c>
      <c r="AD930" t="s">
        <v>17085</v>
      </c>
      <c r="AE930" t="s">
        <v>17086</v>
      </c>
      <c r="AF930" t="s">
        <v>74</v>
      </c>
      <c r="AG930">
        <v>50</v>
      </c>
      <c r="AH930">
        <v>78</v>
      </c>
      <c r="AI930">
        <v>83</v>
      </c>
      <c r="AJ930">
        <v>0</v>
      </c>
      <c r="AK930">
        <v>59</v>
      </c>
      <c r="AL930" t="s">
        <v>307</v>
      </c>
      <c r="AM930" t="s">
        <v>156</v>
      </c>
      <c r="AN930" t="s">
        <v>308</v>
      </c>
      <c r="AO930" t="s">
        <v>359</v>
      </c>
      <c r="AP930" t="s">
        <v>17087</v>
      </c>
      <c r="AQ930" t="s">
        <v>74</v>
      </c>
      <c r="AR930" t="s">
        <v>360</v>
      </c>
      <c r="AS930" t="s">
        <v>361</v>
      </c>
      <c r="AT930" t="s">
        <v>15792</v>
      </c>
      <c r="AU930">
        <v>2011</v>
      </c>
      <c r="AV930">
        <v>68</v>
      </c>
      <c r="AW930">
        <v>8</v>
      </c>
      <c r="AX930" t="s">
        <v>74</v>
      </c>
      <c r="AY930" t="s">
        <v>74</v>
      </c>
      <c r="AZ930" t="s">
        <v>74</v>
      </c>
      <c r="BA930" t="s">
        <v>74</v>
      </c>
      <c r="BB930">
        <v>1628</v>
      </c>
      <c r="BC930">
        <v>1637</v>
      </c>
      <c r="BD930" t="s">
        <v>74</v>
      </c>
      <c r="BE930" t="s">
        <v>17088</v>
      </c>
      <c r="BF930" t="str">
        <f>HYPERLINK("http://dx.doi.org/10.1093/icesjms/fsr118","http://dx.doi.org/10.1093/icesjms/fsr118")</f>
        <v>http://dx.doi.org/10.1093/icesjms/fsr118</v>
      </c>
      <c r="BG930" t="s">
        <v>74</v>
      </c>
      <c r="BH930" t="s">
        <v>74</v>
      </c>
      <c r="BI930">
        <v>10</v>
      </c>
      <c r="BJ930" t="s">
        <v>363</v>
      </c>
      <c r="BK930" t="s">
        <v>259</v>
      </c>
      <c r="BL930" t="s">
        <v>363</v>
      </c>
      <c r="BM930" t="s">
        <v>17089</v>
      </c>
      <c r="BN930" t="s">
        <v>74</v>
      </c>
      <c r="BO930" t="s">
        <v>17090</v>
      </c>
      <c r="BP930" t="s">
        <v>74</v>
      </c>
      <c r="BQ930" t="s">
        <v>74</v>
      </c>
      <c r="BR930" t="s">
        <v>102</v>
      </c>
      <c r="BS930" t="s">
        <v>17091</v>
      </c>
      <c r="BT930" t="str">
        <f>HYPERLINK("https%3A%2F%2Fwww.webofscience.com%2Fwos%2Fwoscc%2Ffull-record%2FWOS:000294075400007","View Full Record in Web of Science")</f>
        <v>View Full Record in Web of Science</v>
      </c>
    </row>
    <row r="931" spans="1:72" x14ac:dyDescent="0.15">
      <c r="A931" t="s">
        <v>72</v>
      </c>
      <c r="B931" t="s">
        <v>17092</v>
      </c>
      <c r="C931" t="s">
        <v>74</v>
      </c>
      <c r="D931" t="s">
        <v>74</v>
      </c>
      <c r="E931" t="s">
        <v>74</v>
      </c>
      <c r="F931" t="s">
        <v>17093</v>
      </c>
      <c r="G931" t="s">
        <v>74</v>
      </c>
      <c r="H931" t="s">
        <v>74</v>
      </c>
      <c r="I931" t="s">
        <v>17094</v>
      </c>
      <c r="J931" t="s">
        <v>347</v>
      </c>
      <c r="K931" t="s">
        <v>74</v>
      </c>
      <c r="L931" t="s">
        <v>74</v>
      </c>
      <c r="M931" t="s">
        <v>78</v>
      </c>
      <c r="N931" t="s">
        <v>79</v>
      </c>
      <c r="O931" t="s">
        <v>74</v>
      </c>
      <c r="P931" t="s">
        <v>74</v>
      </c>
      <c r="Q931" t="s">
        <v>74</v>
      </c>
      <c r="R931" t="s">
        <v>74</v>
      </c>
      <c r="S931" t="s">
        <v>74</v>
      </c>
      <c r="T931" t="s">
        <v>17095</v>
      </c>
      <c r="U931" t="s">
        <v>17096</v>
      </c>
      <c r="V931" t="s">
        <v>17097</v>
      </c>
      <c r="W931" t="s">
        <v>17098</v>
      </c>
      <c r="X931" t="s">
        <v>17099</v>
      </c>
      <c r="Y931" t="s">
        <v>17100</v>
      </c>
      <c r="Z931" t="s">
        <v>17101</v>
      </c>
      <c r="AA931" t="s">
        <v>17102</v>
      </c>
      <c r="AB931" t="s">
        <v>17103</v>
      </c>
      <c r="AC931" t="s">
        <v>17104</v>
      </c>
      <c r="AD931" t="s">
        <v>17105</v>
      </c>
      <c r="AE931" t="s">
        <v>17106</v>
      </c>
      <c r="AF931" t="s">
        <v>74</v>
      </c>
      <c r="AG931">
        <v>70</v>
      </c>
      <c r="AH931">
        <v>40</v>
      </c>
      <c r="AI931">
        <v>45</v>
      </c>
      <c r="AJ931">
        <v>0</v>
      </c>
      <c r="AK931">
        <v>27</v>
      </c>
      <c r="AL931" t="s">
        <v>307</v>
      </c>
      <c r="AM931" t="s">
        <v>156</v>
      </c>
      <c r="AN931" t="s">
        <v>308</v>
      </c>
      <c r="AO931" t="s">
        <v>359</v>
      </c>
      <c r="AP931" t="s">
        <v>17087</v>
      </c>
      <c r="AQ931" t="s">
        <v>74</v>
      </c>
      <c r="AR931" t="s">
        <v>360</v>
      </c>
      <c r="AS931" t="s">
        <v>361</v>
      </c>
      <c r="AT931" t="s">
        <v>15792</v>
      </c>
      <c r="AU931">
        <v>2011</v>
      </c>
      <c r="AV931">
        <v>68</v>
      </c>
      <c r="AW931">
        <v>9</v>
      </c>
      <c r="AX931" t="s">
        <v>74</v>
      </c>
      <c r="AY931" t="s">
        <v>74</v>
      </c>
      <c r="AZ931" t="s">
        <v>74</v>
      </c>
      <c r="BA931" t="s">
        <v>74</v>
      </c>
      <c r="BB931">
        <v>1857</v>
      </c>
      <c r="BC931">
        <v>1864</v>
      </c>
      <c r="BD931" t="s">
        <v>74</v>
      </c>
      <c r="BE931" t="s">
        <v>17107</v>
      </c>
      <c r="BF931" t="str">
        <f>HYPERLINK("http://dx.doi.org/10.1093/icesjms/fsr103","http://dx.doi.org/10.1093/icesjms/fsr103")</f>
        <v>http://dx.doi.org/10.1093/icesjms/fsr103</v>
      </c>
      <c r="BG931" t="s">
        <v>74</v>
      </c>
      <c r="BH931" t="s">
        <v>74</v>
      </c>
      <c r="BI931">
        <v>8</v>
      </c>
      <c r="BJ931" t="s">
        <v>363</v>
      </c>
      <c r="BK931" t="s">
        <v>100</v>
      </c>
      <c r="BL931" t="s">
        <v>363</v>
      </c>
      <c r="BM931" t="s">
        <v>16856</v>
      </c>
      <c r="BN931" t="s">
        <v>74</v>
      </c>
      <c r="BO931" t="s">
        <v>365</v>
      </c>
      <c r="BP931" t="s">
        <v>74</v>
      </c>
      <c r="BQ931" t="s">
        <v>74</v>
      </c>
      <c r="BR931" t="s">
        <v>102</v>
      </c>
      <c r="BS931" t="s">
        <v>17108</v>
      </c>
      <c r="BT931" t="str">
        <f>HYPERLINK("https%3A%2F%2Fwww.webofscience.com%2Fwos%2Fwoscc%2Ffull-record%2FWOS:000294107800005","View Full Record in Web of Science")</f>
        <v>View Full Record in Web of Science</v>
      </c>
    </row>
    <row r="932" spans="1:72" x14ac:dyDescent="0.15">
      <c r="A932" t="s">
        <v>72</v>
      </c>
      <c r="B932" t="s">
        <v>17109</v>
      </c>
      <c r="C932" t="s">
        <v>74</v>
      </c>
      <c r="D932" t="s">
        <v>74</v>
      </c>
      <c r="E932" t="s">
        <v>74</v>
      </c>
      <c r="F932" t="s">
        <v>17110</v>
      </c>
      <c r="G932" t="s">
        <v>74</v>
      </c>
      <c r="H932" t="s">
        <v>74</v>
      </c>
      <c r="I932" t="s">
        <v>17111</v>
      </c>
      <c r="J932" t="s">
        <v>17112</v>
      </c>
      <c r="K932" t="s">
        <v>74</v>
      </c>
      <c r="L932" t="s">
        <v>74</v>
      </c>
      <c r="M932" t="s">
        <v>78</v>
      </c>
      <c r="N932" t="s">
        <v>79</v>
      </c>
      <c r="O932" t="s">
        <v>74</v>
      </c>
      <c r="P932" t="s">
        <v>74</v>
      </c>
      <c r="Q932" t="s">
        <v>74</v>
      </c>
      <c r="R932" t="s">
        <v>74</v>
      </c>
      <c r="S932" t="s">
        <v>74</v>
      </c>
      <c r="T932" t="s">
        <v>17113</v>
      </c>
      <c r="U932" t="s">
        <v>17114</v>
      </c>
      <c r="V932" t="s">
        <v>17115</v>
      </c>
      <c r="W932" t="s">
        <v>17116</v>
      </c>
      <c r="X932" t="s">
        <v>17117</v>
      </c>
      <c r="Y932" t="s">
        <v>17118</v>
      </c>
      <c r="Z932" t="s">
        <v>17119</v>
      </c>
      <c r="AA932" t="s">
        <v>17120</v>
      </c>
      <c r="AB932" t="s">
        <v>17121</v>
      </c>
      <c r="AC932" t="s">
        <v>17122</v>
      </c>
      <c r="AD932" t="s">
        <v>17123</v>
      </c>
      <c r="AE932" t="s">
        <v>17124</v>
      </c>
      <c r="AF932" t="s">
        <v>74</v>
      </c>
      <c r="AG932">
        <v>26</v>
      </c>
      <c r="AH932">
        <v>67</v>
      </c>
      <c r="AI932">
        <v>73</v>
      </c>
      <c r="AJ932">
        <v>0</v>
      </c>
      <c r="AK932">
        <v>24</v>
      </c>
      <c r="AL932" t="s">
        <v>9403</v>
      </c>
      <c r="AM932" t="s">
        <v>221</v>
      </c>
      <c r="AN932" t="s">
        <v>9404</v>
      </c>
      <c r="AO932" t="s">
        <v>17125</v>
      </c>
      <c r="AP932" t="s">
        <v>17126</v>
      </c>
      <c r="AQ932" t="s">
        <v>74</v>
      </c>
      <c r="AR932" t="s">
        <v>17127</v>
      </c>
      <c r="AS932" t="s">
        <v>17128</v>
      </c>
      <c r="AT932" t="s">
        <v>15792</v>
      </c>
      <c r="AU932">
        <v>2011</v>
      </c>
      <c r="AV932">
        <v>5</v>
      </c>
      <c r="AW932">
        <v>9</v>
      </c>
      <c r="AX932" t="s">
        <v>74</v>
      </c>
      <c r="AY932" t="s">
        <v>74</v>
      </c>
      <c r="AZ932" t="s">
        <v>74</v>
      </c>
      <c r="BA932" t="s">
        <v>74</v>
      </c>
      <c r="BB932">
        <v>1559</v>
      </c>
      <c r="BC932">
        <v>1564</v>
      </c>
      <c r="BD932" t="s">
        <v>74</v>
      </c>
      <c r="BE932" t="s">
        <v>17129</v>
      </c>
      <c r="BF932" t="str">
        <f>HYPERLINK("http://dx.doi.org/10.1038/ismej.2011.23","http://dx.doi.org/10.1038/ismej.2011.23")</f>
        <v>http://dx.doi.org/10.1038/ismej.2011.23</v>
      </c>
      <c r="BG932" t="s">
        <v>74</v>
      </c>
      <c r="BH932" t="s">
        <v>74</v>
      </c>
      <c r="BI932">
        <v>6</v>
      </c>
      <c r="BJ932" t="s">
        <v>533</v>
      </c>
      <c r="BK932" t="s">
        <v>100</v>
      </c>
      <c r="BL932" t="s">
        <v>535</v>
      </c>
      <c r="BM932" t="s">
        <v>17130</v>
      </c>
      <c r="BN932">
        <v>21390078</v>
      </c>
      <c r="BO932" t="s">
        <v>6160</v>
      </c>
      <c r="BP932" t="s">
        <v>74</v>
      </c>
      <c r="BQ932" t="s">
        <v>74</v>
      </c>
      <c r="BR932" t="s">
        <v>102</v>
      </c>
      <c r="BS932" t="s">
        <v>17131</v>
      </c>
      <c r="BT932" t="str">
        <f>HYPERLINK("https%3A%2F%2Fwww.webofscience.com%2Fwos%2Fwoscc%2Ffull-record%2FWOS:000295782900016","View Full Record in Web of Science")</f>
        <v>View Full Record in Web of Science</v>
      </c>
    </row>
    <row r="933" spans="1:72" x14ac:dyDescent="0.15">
      <c r="A933" t="s">
        <v>72</v>
      </c>
      <c r="B933" t="s">
        <v>17132</v>
      </c>
      <c r="C933" t="s">
        <v>74</v>
      </c>
      <c r="D933" t="s">
        <v>74</v>
      </c>
      <c r="E933" t="s">
        <v>74</v>
      </c>
      <c r="F933" t="s">
        <v>17133</v>
      </c>
      <c r="G933" t="s">
        <v>74</v>
      </c>
      <c r="H933" t="s">
        <v>74</v>
      </c>
      <c r="I933" t="s">
        <v>17134</v>
      </c>
      <c r="J933" t="s">
        <v>3766</v>
      </c>
      <c r="K933" t="s">
        <v>74</v>
      </c>
      <c r="L933" t="s">
        <v>74</v>
      </c>
      <c r="M933" t="s">
        <v>78</v>
      </c>
      <c r="N933" t="s">
        <v>79</v>
      </c>
      <c r="O933" t="s">
        <v>74</v>
      </c>
      <c r="P933" t="s">
        <v>74</v>
      </c>
      <c r="Q933" t="s">
        <v>74</v>
      </c>
      <c r="R933" t="s">
        <v>74</v>
      </c>
      <c r="S933" t="s">
        <v>74</v>
      </c>
      <c r="T933" t="s">
        <v>74</v>
      </c>
      <c r="U933" t="s">
        <v>74</v>
      </c>
      <c r="V933" t="s">
        <v>17135</v>
      </c>
      <c r="W933" t="s">
        <v>17136</v>
      </c>
      <c r="X933" t="s">
        <v>17137</v>
      </c>
      <c r="Y933" t="s">
        <v>17138</v>
      </c>
      <c r="Z933" t="s">
        <v>17139</v>
      </c>
      <c r="AA933" t="s">
        <v>17140</v>
      </c>
      <c r="AB933" t="s">
        <v>17141</v>
      </c>
      <c r="AC933" t="s">
        <v>17142</v>
      </c>
      <c r="AD933" t="s">
        <v>17143</v>
      </c>
      <c r="AE933" t="s">
        <v>17144</v>
      </c>
      <c r="AF933" t="s">
        <v>74</v>
      </c>
      <c r="AG933">
        <v>16</v>
      </c>
      <c r="AH933">
        <v>21</v>
      </c>
      <c r="AI933">
        <v>24</v>
      </c>
      <c r="AJ933">
        <v>1</v>
      </c>
      <c r="AK933">
        <v>10</v>
      </c>
      <c r="AL933" t="s">
        <v>3775</v>
      </c>
      <c r="AM933" t="s">
        <v>3776</v>
      </c>
      <c r="AN933" t="s">
        <v>3777</v>
      </c>
      <c r="AO933" t="s">
        <v>3778</v>
      </c>
      <c r="AP933" t="s">
        <v>74</v>
      </c>
      <c r="AQ933" t="s">
        <v>74</v>
      </c>
      <c r="AR933" t="s">
        <v>3780</v>
      </c>
      <c r="AS933" t="s">
        <v>3781</v>
      </c>
      <c r="AT933" t="s">
        <v>15792</v>
      </c>
      <c r="AU933">
        <v>2011</v>
      </c>
      <c r="AV933">
        <v>28</v>
      </c>
      <c r="AW933">
        <v>9</v>
      </c>
      <c r="AX933" t="s">
        <v>74</v>
      </c>
      <c r="AY933" t="s">
        <v>74</v>
      </c>
      <c r="AZ933" t="s">
        <v>74</v>
      </c>
      <c r="BA933" t="s">
        <v>74</v>
      </c>
      <c r="BB933">
        <v>1149</v>
      </c>
      <c r="BC933">
        <v>1154</v>
      </c>
      <c r="BD933" t="s">
        <v>74</v>
      </c>
      <c r="BE933" t="s">
        <v>17145</v>
      </c>
      <c r="BF933" t="str">
        <f>HYPERLINK("http://dx.doi.org/10.1175/JTECH-D-10-05012.1","http://dx.doi.org/10.1175/JTECH-D-10-05012.1")</f>
        <v>http://dx.doi.org/10.1175/JTECH-D-10-05012.1</v>
      </c>
      <c r="BG933" t="s">
        <v>74</v>
      </c>
      <c r="BH933" t="s">
        <v>74</v>
      </c>
      <c r="BI933">
        <v>6</v>
      </c>
      <c r="BJ933" t="s">
        <v>3783</v>
      </c>
      <c r="BK933" t="s">
        <v>100</v>
      </c>
      <c r="BL933" t="s">
        <v>3784</v>
      </c>
      <c r="BM933" t="s">
        <v>17146</v>
      </c>
      <c r="BN933" t="s">
        <v>74</v>
      </c>
      <c r="BO933" t="s">
        <v>17147</v>
      </c>
      <c r="BP933" t="s">
        <v>74</v>
      </c>
      <c r="BQ933" t="s">
        <v>74</v>
      </c>
      <c r="BR933" t="s">
        <v>102</v>
      </c>
      <c r="BS933" t="s">
        <v>17148</v>
      </c>
      <c r="BT933" t="str">
        <f>HYPERLINK("https%3A%2F%2Fwww.webofscience.com%2Fwos%2Fwoscc%2Ffull-record%2FWOS:000295393800008","View Full Record in Web of Science")</f>
        <v>View Full Record in Web of Science</v>
      </c>
    </row>
    <row r="934" spans="1:72" x14ac:dyDescent="0.15">
      <c r="A934" t="s">
        <v>72</v>
      </c>
      <c r="B934" t="s">
        <v>17149</v>
      </c>
      <c r="C934" t="s">
        <v>74</v>
      </c>
      <c r="D934" t="s">
        <v>74</v>
      </c>
      <c r="E934" t="s">
        <v>74</v>
      </c>
      <c r="F934" t="s">
        <v>17150</v>
      </c>
      <c r="G934" t="s">
        <v>74</v>
      </c>
      <c r="H934" t="s">
        <v>74</v>
      </c>
      <c r="I934" t="s">
        <v>17151</v>
      </c>
      <c r="J934" t="s">
        <v>13228</v>
      </c>
      <c r="K934" t="s">
        <v>74</v>
      </c>
      <c r="L934" t="s">
        <v>74</v>
      </c>
      <c r="M934" t="s">
        <v>78</v>
      </c>
      <c r="N934" t="s">
        <v>810</v>
      </c>
      <c r="O934" t="s">
        <v>74</v>
      </c>
      <c r="P934" t="s">
        <v>74</v>
      </c>
      <c r="Q934" t="s">
        <v>74</v>
      </c>
      <c r="R934" t="s">
        <v>74</v>
      </c>
      <c r="S934" t="s">
        <v>74</v>
      </c>
      <c r="T934" t="s">
        <v>74</v>
      </c>
      <c r="U934" t="s">
        <v>17152</v>
      </c>
      <c r="V934" t="s">
        <v>74</v>
      </c>
      <c r="W934" t="s">
        <v>17153</v>
      </c>
      <c r="X934" t="s">
        <v>17154</v>
      </c>
      <c r="Y934" t="s">
        <v>17155</v>
      </c>
      <c r="Z934" t="s">
        <v>17156</v>
      </c>
      <c r="AA934" t="s">
        <v>74</v>
      </c>
      <c r="AB934" t="s">
        <v>17157</v>
      </c>
      <c r="AC934" t="s">
        <v>74</v>
      </c>
      <c r="AD934" t="s">
        <v>74</v>
      </c>
      <c r="AE934" t="s">
        <v>74</v>
      </c>
      <c r="AF934" t="s">
        <v>74</v>
      </c>
      <c r="AG934">
        <v>11</v>
      </c>
      <c r="AH934">
        <v>1</v>
      </c>
      <c r="AI934">
        <v>1</v>
      </c>
      <c r="AJ934">
        <v>0</v>
      </c>
      <c r="AK934">
        <v>3</v>
      </c>
      <c r="AL934" t="s">
        <v>155</v>
      </c>
      <c r="AM934" t="s">
        <v>156</v>
      </c>
      <c r="AN934" t="s">
        <v>157</v>
      </c>
      <c r="AO934" t="s">
        <v>13241</v>
      </c>
      <c r="AP934" t="s">
        <v>13242</v>
      </c>
      <c r="AQ934" t="s">
        <v>74</v>
      </c>
      <c r="AR934" t="s">
        <v>13243</v>
      </c>
      <c r="AS934" t="s">
        <v>13244</v>
      </c>
      <c r="AT934" t="s">
        <v>15792</v>
      </c>
      <c r="AU934">
        <v>2011</v>
      </c>
      <c r="AV934">
        <v>73</v>
      </c>
      <c r="AW934" t="s">
        <v>17158</v>
      </c>
      <c r="AX934" t="s">
        <v>74</v>
      </c>
      <c r="AY934" t="s">
        <v>74</v>
      </c>
      <c r="AZ934" t="s">
        <v>339</v>
      </c>
      <c r="BA934" t="s">
        <v>74</v>
      </c>
      <c r="BB934">
        <v>2045</v>
      </c>
      <c r="BC934">
        <v>2048</v>
      </c>
      <c r="BD934" t="s">
        <v>74</v>
      </c>
      <c r="BE934" t="s">
        <v>17159</v>
      </c>
      <c r="BF934" t="str">
        <f>HYPERLINK("http://dx.doi.org/10.1016/j.jastp.2011.08.001","http://dx.doi.org/10.1016/j.jastp.2011.08.001")</f>
        <v>http://dx.doi.org/10.1016/j.jastp.2011.08.001</v>
      </c>
      <c r="BG934" t="s">
        <v>74</v>
      </c>
      <c r="BH934" t="s">
        <v>74</v>
      </c>
      <c r="BI934">
        <v>4</v>
      </c>
      <c r="BJ934" t="s">
        <v>1474</v>
      </c>
      <c r="BK934" t="s">
        <v>100</v>
      </c>
      <c r="BL934" t="s">
        <v>1474</v>
      </c>
      <c r="BM934" t="s">
        <v>17160</v>
      </c>
      <c r="BN934" t="s">
        <v>74</v>
      </c>
      <c r="BO934" t="s">
        <v>74</v>
      </c>
      <c r="BP934" t="s">
        <v>74</v>
      </c>
      <c r="BQ934" t="s">
        <v>74</v>
      </c>
      <c r="BR934" t="s">
        <v>102</v>
      </c>
      <c r="BS934" t="s">
        <v>17161</v>
      </c>
      <c r="BT934" t="str">
        <f>HYPERLINK("https%3A%2F%2Fwww.webofscience.com%2Fwos%2Fwoscc%2Ffull-record%2FWOS:000295551000001","View Full Record in Web of Science")</f>
        <v>View Full Record in Web of Science</v>
      </c>
    </row>
    <row r="935" spans="1:72" x14ac:dyDescent="0.15">
      <c r="A935" t="s">
        <v>72</v>
      </c>
      <c r="B935" t="s">
        <v>17162</v>
      </c>
      <c r="C935" t="s">
        <v>74</v>
      </c>
      <c r="D935" t="s">
        <v>74</v>
      </c>
      <c r="E935" t="s">
        <v>74</v>
      </c>
      <c r="F935" t="s">
        <v>17163</v>
      </c>
      <c r="G935" t="s">
        <v>74</v>
      </c>
      <c r="H935" t="s">
        <v>74</v>
      </c>
      <c r="I935" t="s">
        <v>17164</v>
      </c>
      <c r="J935" t="s">
        <v>3815</v>
      </c>
      <c r="K935" t="s">
        <v>74</v>
      </c>
      <c r="L935" t="s">
        <v>74</v>
      </c>
      <c r="M935" t="s">
        <v>78</v>
      </c>
      <c r="N935" t="s">
        <v>79</v>
      </c>
      <c r="O935" t="s">
        <v>74</v>
      </c>
      <c r="P935" t="s">
        <v>74</v>
      </c>
      <c r="Q935" t="s">
        <v>74</v>
      </c>
      <c r="R935" t="s">
        <v>74</v>
      </c>
      <c r="S935" t="s">
        <v>74</v>
      </c>
      <c r="T935" t="s">
        <v>74</v>
      </c>
      <c r="U935" t="s">
        <v>17165</v>
      </c>
      <c r="V935" t="s">
        <v>17166</v>
      </c>
      <c r="W935" t="s">
        <v>17167</v>
      </c>
      <c r="X935" t="s">
        <v>17168</v>
      </c>
      <c r="Y935" t="s">
        <v>17169</v>
      </c>
      <c r="Z935" t="s">
        <v>17170</v>
      </c>
      <c r="AA935" t="s">
        <v>17171</v>
      </c>
      <c r="AB935" t="s">
        <v>17172</v>
      </c>
      <c r="AC935" t="s">
        <v>17173</v>
      </c>
      <c r="AD935" t="s">
        <v>17174</v>
      </c>
      <c r="AE935" t="s">
        <v>17175</v>
      </c>
      <c r="AF935" t="s">
        <v>74</v>
      </c>
      <c r="AG935">
        <v>47</v>
      </c>
      <c r="AH935">
        <v>80</v>
      </c>
      <c r="AI935">
        <v>89</v>
      </c>
      <c r="AJ935">
        <v>0</v>
      </c>
      <c r="AK935">
        <v>13</v>
      </c>
      <c r="AL935" t="s">
        <v>3775</v>
      </c>
      <c r="AM935" t="s">
        <v>3776</v>
      </c>
      <c r="AN935" t="s">
        <v>3777</v>
      </c>
      <c r="AO935" t="s">
        <v>3827</v>
      </c>
      <c r="AP935" t="s">
        <v>74</v>
      </c>
      <c r="AQ935" t="s">
        <v>74</v>
      </c>
      <c r="AR935" t="s">
        <v>3829</v>
      </c>
      <c r="AS935" t="s">
        <v>3830</v>
      </c>
      <c r="AT935" t="s">
        <v>15792</v>
      </c>
      <c r="AU935">
        <v>2011</v>
      </c>
      <c r="AV935">
        <v>24</v>
      </c>
      <c r="AW935">
        <v>17</v>
      </c>
      <c r="AX935" t="s">
        <v>74</v>
      </c>
      <c r="AY935" t="s">
        <v>74</v>
      </c>
      <c r="AZ935" t="s">
        <v>74</v>
      </c>
      <c r="BA935" t="s">
        <v>74</v>
      </c>
      <c r="BB935">
        <v>4701</v>
      </c>
      <c r="BC935">
        <v>4717</v>
      </c>
      <c r="BD935" t="s">
        <v>74</v>
      </c>
      <c r="BE935" t="s">
        <v>17176</v>
      </c>
      <c r="BF935" t="str">
        <f>HYPERLINK("http://dx.doi.org/10.1175/2011JCLI4113.1","http://dx.doi.org/10.1175/2011JCLI4113.1")</f>
        <v>http://dx.doi.org/10.1175/2011JCLI4113.1</v>
      </c>
      <c r="BG935" t="s">
        <v>74</v>
      </c>
      <c r="BH935" t="s">
        <v>74</v>
      </c>
      <c r="BI935">
        <v>17</v>
      </c>
      <c r="BJ935" t="s">
        <v>463</v>
      </c>
      <c r="BK935" t="s">
        <v>100</v>
      </c>
      <c r="BL935" t="s">
        <v>463</v>
      </c>
      <c r="BM935" t="s">
        <v>16481</v>
      </c>
      <c r="BN935" t="s">
        <v>74</v>
      </c>
      <c r="BO935" t="s">
        <v>2679</v>
      </c>
      <c r="BP935" t="s">
        <v>74</v>
      </c>
      <c r="BQ935" t="s">
        <v>74</v>
      </c>
      <c r="BR935" t="s">
        <v>102</v>
      </c>
      <c r="BS935" t="s">
        <v>17177</v>
      </c>
      <c r="BT935" t="str">
        <f>HYPERLINK("https%3A%2F%2Fwww.webofscience.com%2Fwos%2Fwoscc%2Ffull-record%2FWOS:000294993800013","View Full Record in Web of Science")</f>
        <v>View Full Record in Web of Science</v>
      </c>
    </row>
    <row r="936" spans="1:72" x14ac:dyDescent="0.15">
      <c r="A936" t="s">
        <v>72</v>
      </c>
      <c r="B936" t="s">
        <v>17178</v>
      </c>
      <c r="C936" t="s">
        <v>74</v>
      </c>
      <c r="D936" t="s">
        <v>74</v>
      </c>
      <c r="E936" t="s">
        <v>74</v>
      </c>
      <c r="F936" t="s">
        <v>17179</v>
      </c>
      <c r="G936" t="s">
        <v>74</v>
      </c>
      <c r="H936" t="s">
        <v>74</v>
      </c>
      <c r="I936" t="s">
        <v>17180</v>
      </c>
      <c r="J936" t="s">
        <v>17181</v>
      </c>
      <c r="K936" t="s">
        <v>74</v>
      </c>
      <c r="L936" t="s">
        <v>74</v>
      </c>
      <c r="M936" t="s">
        <v>78</v>
      </c>
      <c r="N936" t="s">
        <v>79</v>
      </c>
      <c r="O936" t="s">
        <v>74</v>
      </c>
      <c r="P936" t="s">
        <v>74</v>
      </c>
      <c r="Q936" t="s">
        <v>74</v>
      </c>
      <c r="R936" t="s">
        <v>74</v>
      </c>
      <c r="S936" t="s">
        <v>74</v>
      </c>
      <c r="T936" t="s">
        <v>74</v>
      </c>
      <c r="U936" t="s">
        <v>17182</v>
      </c>
      <c r="V936" t="s">
        <v>17183</v>
      </c>
      <c r="W936" t="s">
        <v>17184</v>
      </c>
      <c r="X936" t="s">
        <v>17185</v>
      </c>
      <c r="Y936" t="s">
        <v>17186</v>
      </c>
      <c r="Z936" t="s">
        <v>17187</v>
      </c>
      <c r="AA936" t="s">
        <v>17188</v>
      </c>
      <c r="AB936" t="s">
        <v>17189</v>
      </c>
      <c r="AC936" t="s">
        <v>74</v>
      </c>
      <c r="AD936" t="s">
        <v>74</v>
      </c>
      <c r="AE936" t="s">
        <v>74</v>
      </c>
      <c r="AF936" t="s">
        <v>74</v>
      </c>
      <c r="AG936">
        <v>39</v>
      </c>
      <c r="AH936">
        <v>29</v>
      </c>
      <c r="AI936">
        <v>33</v>
      </c>
      <c r="AJ936">
        <v>5</v>
      </c>
      <c r="AK936">
        <v>35</v>
      </c>
      <c r="AL936" t="s">
        <v>1728</v>
      </c>
      <c r="AM936" t="s">
        <v>814</v>
      </c>
      <c r="AN936" t="s">
        <v>1729</v>
      </c>
      <c r="AO936" t="s">
        <v>17190</v>
      </c>
      <c r="AP936" t="s">
        <v>17191</v>
      </c>
      <c r="AQ936" t="s">
        <v>74</v>
      </c>
      <c r="AR936" t="s">
        <v>17192</v>
      </c>
      <c r="AS936" t="s">
        <v>17193</v>
      </c>
      <c r="AT936" t="s">
        <v>15792</v>
      </c>
      <c r="AU936">
        <v>2011</v>
      </c>
      <c r="AV936">
        <v>13</v>
      </c>
      <c r="AW936">
        <v>9</v>
      </c>
      <c r="AX936" t="s">
        <v>74</v>
      </c>
      <c r="AY936" t="s">
        <v>74</v>
      </c>
      <c r="AZ936" t="s">
        <v>74</v>
      </c>
      <c r="BA936" t="s">
        <v>74</v>
      </c>
      <c r="BB936">
        <v>2511</v>
      </c>
      <c r="BC936">
        <v>2520</v>
      </c>
      <c r="BD936" t="s">
        <v>74</v>
      </c>
      <c r="BE936" t="s">
        <v>17194</v>
      </c>
      <c r="BF936" t="str">
        <f>HYPERLINK("http://dx.doi.org/10.1039/c1em10215j","http://dx.doi.org/10.1039/c1em10215j")</f>
        <v>http://dx.doi.org/10.1039/c1em10215j</v>
      </c>
      <c r="BG936" t="s">
        <v>74</v>
      </c>
      <c r="BH936" t="s">
        <v>74</v>
      </c>
      <c r="BI936">
        <v>10</v>
      </c>
      <c r="BJ936" t="s">
        <v>17195</v>
      </c>
      <c r="BK936" t="s">
        <v>100</v>
      </c>
      <c r="BL936" t="s">
        <v>17196</v>
      </c>
      <c r="BM936" t="s">
        <v>17197</v>
      </c>
      <c r="BN936">
        <v>21750808</v>
      </c>
      <c r="BO936" t="s">
        <v>74</v>
      </c>
      <c r="BP936" t="s">
        <v>74</v>
      </c>
      <c r="BQ936" t="s">
        <v>74</v>
      </c>
      <c r="BR936" t="s">
        <v>102</v>
      </c>
      <c r="BS936" t="s">
        <v>17198</v>
      </c>
      <c r="BT936" t="str">
        <f>HYPERLINK("https%3A%2F%2Fwww.webofscience.com%2Fwos%2Fwoscc%2Ffull-record%2FWOS:000294436200018","View Full Record in Web of Science")</f>
        <v>View Full Record in Web of Science</v>
      </c>
    </row>
    <row r="937" spans="1:72" x14ac:dyDescent="0.15">
      <c r="A937" t="s">
        <v>72</v>
      </c>
      <c r="B937" t="s">
        <v>17199</v>
      </c>
      <c r="C937" t="s">
        <v>74</v>
      </c>
      <c r="D937" t="s">
        <v>74</v>
      </c>
      <c r="E937" t="s">
        <v>74</v>
      </c>
      <c r="F937" t="s">
        <v>17200</v>
      </c>
      <c r="G937" t="s">
        <v>74</v>
      </c>
      <c r="H937" t="s">
        <v>74</v>
      </c>
      <c r="I937" t="s">
        <v>17201</v>
      </c>
      <c r="J937" t="s">
        <v>17202</v>
      </c>
      <c r="K937" t="s">
        <v>74</v>
      </c>
      <c r="L937" t="s">
        <v>74</v>
      </c>
      <c r="M937" t="s">
        <v>78</v>
      </c>
      <c r="N937" t="s">
        <v>79</v>
      </c>
      <c r="O937" t="s">
        <v>74</v>
      </c>
      <c r="P937" t="s">
        <v>74</v>
      </c>
      <c r="Q937" t="s">
        <v>74</v>
      </c>
      <c r="R937" t="s">
        <v>74</v>
      </c>
      <c r="S937" t="s">
        <v>74</v>
      </c>
      <c r="T937" t="s">
        <v>74</v>
      </c>
      <c r="U937" t="s">
        <v>17203</v>
      </c>
      <c r="V937" t="s">
        <v>17204</v>
      </c>
      <c r="W937" t="s">
        <v>17205</v>
      </c>
      <c r="X937" t="s">
        <v>17206</v>
      </c>
      <c r="Y937" t="s">
        <v>17207</v>
      </c>
      <c r="Z937" t="s">
        <v>17208</v>
      </c>
      <c r="AA937" t="s">
        <v>7399</v>
      </c>
      <c r="AB937" t="s">
        <v>17209</v>
      </c>
      <c r="AC937" t="s">
        <v>17210</v>
      </c>
      <c r="AD937" t="s">
        <v>17211</v>
      </c>
      <c r="AE937" t="s">
        <v>17212</v>
      </c>
      <c r="AF937" t="s">
        <v>74</v>
      </c>
      <c r="AG937">
        <v>42</v>
      </c>
      <c r="AH937">
        <v>68</v>
      </c>
      <c r="AI937">
        <v>73</v>
      </c>
      <c r="AJ937">
        <v>0</v>
      </c>
      <c r="AK937">
        <v>56</v>
      </c>
      <c r="AL937" t="s">
        <v>5542</v>
      </c>
      <c r="AM937" t="s">
        <v>5543</v>
      </c>
      <c r="AN937" t="s">
        <v>5544</v>
      </c>
      <c r="AO937" t="s">
        <v>17213</v>
      </c>
      <c r="AP937" t="s">
        <v>17214</v>
      </c>
      <c r="AQ937" t="s">
        <v>74</v>
      </c>
      <c r="AR937" t="s">
        <v>17215</v>
      </c>
      <c r="AS937" t="s">
        <v>17216</v>
      </c>
      <c r="AT937" t="s">
        <v>15792</v>
      </c>
      <c r="AU937">
        <v>2011</v>
      </c>
      <c r="AV937">
        <v>119</v>
      </c>
      <c r="AW937">
        <v>5</v>
      </c>
      <c r="AX937" t="s">
        <v>74</v>
      </c>
      <c r="AY937" t="s">
        <v>74</v>
      </c>
      <c r="AZ937" t="s">
        <v>74</v>
      </c>
      <c r="BA937" t="s">
        <v>74</v>
      </c>
      <c r="BB937">
        <v>457</v>
      </c>
      <c r="BC937">
        <v>466</v>
      </c>
      <c r="BD937" t="s">
        <v>74</v>
      </c>
      <c r="BE937" t="s">
        <v>17217</v>
      </c>
      <c r="BF937" t="str">
        <f>HYPERLINK("http://dx.doi.org/10.1086/660890","http://dx.doi.org/10.1086/660890")</f>
        <v>http://dx.doi.org/10.1086/660890</v>
      </c>
      <c r="BG937" t="s">
        <v>74</v>
      </c>
      <c r="BH937" t="s">
        <v>74</v>
      </c>
      <c r="BI937">
        <v>10</v>
      </c>
      <c r="BJ937" t="s">
        <v>288</v>
      </c>
      <c r="BK937" t="s">
        <v>100</v>
      </c>
      <c r="BL937" t="s">
        <v>288</v>
      </c>
      <c r="BM937" t="s">
        <v>17218</v>
      </c>
      <c r="BN937" t="s">
        <v>74</v>
      </c>
      <c r="BO937" t="s">
        <v>74</v>
      </c>
      <c r="BP937" t="s">
        <v>74</v>
      </c>
      <c r="BQ937" t="s">
        <v>74</v>
      </c>
      <c r="BR937" t="s">
        <v>102</v>
      </c>
      <c r="BS937" t="s">
        <v>17219</v>
      </c>
      <c r="BT937" t="str">
        <f>HYPERLINK("https%3A%2F%2Fwww.webofscience.com%2Fwos%2Fwoscc%2Ffull-record%2FWOS:000299269300002","View Full Record in Web of Science")</f>
        <v>View Full Record in Web of Science</v>
      </c>
    </row>
    <row r="938" spans="1:72" x14ac:dyDescent="0.15">
      <c r="A938" t="s">
        <v>72</v>
      </c>
      <c r="B938" t="s">
        <v>17220</v>
      </c>
      <c r="C938" t="s">
        <v>74</v>
      </c>
      <c r="D938" t="s">
        <v>74</v>
      </c>
      <c r="E938" t="s">
        <v>74</v>
      </c>
      <c r="F938" t="s">
        <v>17221</v>
      </c>
      <c r="G938" t="s">
        <v>74</v>
      </c>
      <c r="H938" t="s">
        <v>74</v>
      </c>
      <c r="I938" t="s">
        <v>17222</v>
      </c>
      <c r="J938" t="s">
        <v>17223</v>
      </c>
      <c r="K938" t="s">
        <v>74</v>
      </c>
      <c r="L938" t="s">
        <v>74</v>
      </c>
      <c r="M938" t="s">
        <v>78</v>
      </c>
      <c r="N938" t="s">
        <v>79</v>
      </c>
      <c r="O938" t="s">
        <v>74</v>
      </c>
      <c r="P938" t="s">
        <v>74</v>
      </c>
      <c r="Q938" t="s">
        <v>74</v>
      </c>
      <c r="R938" t="s">
        <v>74</v>
      </c>
      <c r="S938" t="s">
        <v>74</v>
      </c>
      <c r="T938" t="s">
        <v>17224</v>
      </c>
      <c r="U938" t="s">
        <v>74</v>
      </c>
      <c r="V938" t="s">
        <v>17225</v>
      </c>
      <c r="W938" t="s">
        <v>17226</v>
      </c>
      <c r="X938" t="s">
        <v>7089</v>
      </c>
      <c r="Y938" t="s">
        <v>17227</v>
      </c>
      <c r="Z938" t="s">
        <v>17228</v>
      </c>
      <c r="AA938" t="s">
        <v>17229</v>
      </c>
      <c r="AB938" t="s">
        <v>17230</v>
      </c>
      <c r="AC938" t="s">
        <v>17231</v>
      </c>
      <c r="AD938" t="s">
        <v>17232</v>
      </c>
      <c r="AE938" t="s">
        <v>17233</v>
      </c>
      <c r="AF938" t="s">
        <v>74</v>
      </c>
      <c r="AG938">
        <v>29</v>
      </c>
      <c r="AH938">
        <v>11</v>
      </c>
      <c r="AI938">
        <v>12</v>
      </c>
      <c r="AJ938">
        <v>0</v>
      </c>
      <c r="AK938">
        <v>1</v>
      </c>
      <c r="AL938" t="s">
        <v>766</v>
      </c>
      <c r="AM938" t="s">
        <v>767</v>
      </c>
      <c r="AN938" t="s">
        <v>768</v>
      </c>
      <c r="AO938" t="s">
        <v>17234</v>
      </c>
      <c r="AP938" t="s">
        <v>17235</v>
      </c>
      <c r="AQ938" t="s">
        <v>74</v>
      </c>
      <c r="AR938" t="s">
        <v>17236</v>
      </c>
      <c r="AS938" t="s">
        <v>17237</v>
      </c>
      <c r="AT938" t="s">
        <v>15792</v>
      </c>
      <c r="AU938">
        <v>2011</v>
      </c>
      <c r="AV938">
        <v>30</v>
      </c>
      <c r="AW938" t="s">
        <v>74</v>
      </c>
      <c r="AX938">
        <v>2</v>
      </c>
      <c r="AY938" t="s">
        <v>74</v>
      </c>
      <c r="AZ938" t="s">
        <v>74</v>
      </c>
      <c r="BA938" t="s">
        <v>74</v>
      </c>
      <c r="BB938">
        <v>141</v>
      </c>
      <c r="BC938">
        <v>166</v>
      </c>
      <c r="BD938" t="s">
        <v>74</v>
      </c>
      <c r="BE938" t="s">
        <v>17238</v>
      </c>
      <c r="BF938" t="str">
        <f>HYPERLINK("http://dx.doi.org/10.1144/0262-821X10-017","http://dx.doi.org/10.1144/0262-821X10-017")</f>
        <v>http://dx.doi.org/10.1144/0262-821X10-017</v>
      </c>
      <c r="BG938" t="s">
        <v>74</v>
      </c>
      <c r="BH938" t="s">
        <v>74</v>
      </c>
      <c r="BI938">
        <v>26</v>
      </c>
      <c r="BJ938" t="s">
        <v>4186</v>
      </c>
      <c r="BK938" t="s">
        <v>100</v>
      </c>
      <c r="BL938" t="s">
        <v>4186</v>
      </c>
      <c r="BM938" t="s">
        <v>17239</v>
      </c>
      <c r="BN938" t="s">
        <v>74</v>
      </c>
      <c r="BO938" t="s">
        <v>316</v>
      </c>
      <c r="BP938" t="s">
        <v>74</v>
      </c>
      <c r="BQ938" t="s">
        <v>74</v>
      </c>
      <c r="BR938" t="s">
        <v>102</v>
      </c>
      <c r="BS938" t="s">
        <v>17240</v>
      </c>
      <c r="BT938" t="str">
        <f>HYPERLINK("https%3A%2F%2Fwww.webofscience.com%2Fwos%2Fwoscc%2Ffull-record%2FWOS:000295839800006","View Full Record in Web of Science")</f>
        <v>View Full Record in Web of Science</v>
      </c>
    </row>
    <row r="939" spans="1:72" x14ac:dyDescent="0.15">
      <c r="A939" t="s">
        <v>72</v>
      </c>
      <c r="B939" t="s">
        <v>17241</v>
      </c>
      <c r="C939" t="s">
        <v>74</v>
      </c>
      <c r="D939" t="s">
        <v>74</v>
      </c>
      <c r="E939" t="s">
        <v>74</v>
      </c>
      <c r="F939" t="s">
        <v>17242</v>
      </c>
      <c r="G939" t="s">
        <v>74</v>
      </c>
      <c r="H939" t="s">
        <v>74</v>
      </c>
      <c r="I939" t="s">
        <v>17243</v>
      </c>
      <c r="J939" t="s">
        <v>16528</v>
      </c>
      <c r="K939" t="s">
        <v>74</v>
      </c>
      <c r="L939" t="s">
        <v>74</v>
      </c>
      <c r="M939" t="s">
        <v>78</v>
      </c>
      <c r="N939" t="s">
        <v>79</v>
      </c>
      <c r="O939" t="s">
        <v>74</v>
      </c>
      <c r="P939" t="s">
        <v>74</v>
      </c>
      <c r="Q939" t="s">
        <v>74</v>
      </c>
      <c r="R939" t="s">
        <v>74</v>
      </c>
      <c r="S939" t="s">
        <v>74</v>
      </c>
      <c r="T939" t="s">
        <v>74</v>
      </c>
      <c r="U939" t="s">
        <v>17244</v>
      </c>
      <c r="V939" t="s">
        <v>17245</v>
      </c>
      <c r="W939" t="s">
        <v>17246</v>
      </c>
      <c r="X939" t="s">
        <v>74</v>
      </c>
      <c r="Y939" t="s">
        <v>17247</v>
      </c>
      <c r="Z939" t="s">
        <v>17248</v>
      </c>
      <c r="AA939" t="s">
        <v>74</v>
      </c>
      <c r="AB939" t="s">
        <v>74</v>
      </c>
      <c r="AC939" t="s">
        <v>17249</v>
      </c>
      <c r="AD939" t="s">
        <v>17250</v>
      </c>
      <c r="AE939" t="s">
        <v>17251</v>
      </c>
      <c r="AF939" t="s">
        <v>74</v>
      </c>
      <c r="AG939">
        <v>29</v>
      </c>
      <c r="AH939">
        <v>8</v>
      </c>
      <c r="AI939">
        <v>8</v>
      </c>
      <c r="AJ939">
        <v>0</v>
      </c>
      <c r="AK939">
        <v>2</v>
      </c>
      <c r="AL939" t="s">
        <v>813</v>
      </c>
      <c r="AM939" t="s">
        <v>413</v>
      </c>
      <c r="AN939" t="s">
        <v>7426</v>
      </c>
      <c r="AO939" t="s">
        <v>16541</v>
      </c>
      <c r="AP939" t="s">
        <v>17252</v>
      </c>
      <c r="AQ939" t="s">
        <v>74</v>
      </c>
      <c r="AR939" t="s">
        <v>16542</v>
      </c>
      <c r="AS939" t="s">
        <v>16543</v>
      </c>
      <c r="AT939" t="s">
        <v>15792</v>
      </c>
      <c r="AU939">
        <v>2011</v>
      </c>
      <c r="AV939">
        <v>85</v>
      </c>
      <c r="AW939">
        <v>5</v>
      </c>
      <c r="AX939" t="s">
        <v>74</v>
      </c>
      <c r="AY939" t="s">
        <v>74</v>
      </c>
      <c r="AZ939" t="s">
        <v>74</v>
      </c>
      <c r="BA939" t="s">
        <v>74</v>
      </c>
      <c r="BB939">
        <v>970</v>
      </c>
      <c r="BC939">
        <v>976</v>
      </c>
      <c r="BD939" t="s">
        <v>74</v>
      </c>
      <c r="BE939" t="s">
        <v>74</v>
      </c>
      <c r="BF939" t="s">
        <v>74</v>
      </c>
      <c r="BG939" t="s">
        <v>74</v>
      </c>
      <c r="BH939" t="s">
        <v>74</v>
      </c>
      <c r="BI939">
        <v>7</v>
      </c>
      <c r="BJ939" t="s">
        <v>4186</v>
      </c>
      <c r="BK939" t="s">
        <v>100</v>
      </c>
      <c r="BL939" t="s">
        <v>4186</v>
      </c>
      <c r="BM939" t="s">
        <v>16545</v>
      </c>
      <c r="BN939" t="s">
        <v>74</v>
      </c>
      <c r="BO939" t="s">
        <v>74</v>
      </c>
      <c r="BP939" t="s">
        <v>74</v>
      </c>
      <c r="BQ939" t="s">
        <v>74</v>
      </c>
      <c r="BR939" t="s">
        <v>102</v>
      </c>
      <c r="BS939" t="s">
        <v>17253</v>
      </c>
      <c r="BT939" t="str">
        <f>HYPERLINK("https%3A%2F%2Fwww.webofscience.com%2Fwos%2Fwoscc%2Ffull-record%2FWOS:000294885100015","View Full Record in Web of Science")</f>
        <v>View Full Record in Web of Science</v>
      </c>
    </row>
    <row r="940" spans="1:72" x14ac:dyDescent="0.15">
      <c r="A940" t="s">
        <v>72</v>
      </c>
      <c r="B940" t="s">
        <v>17254</v>
      </c>
      <c r="C940" t="s">
        <v>74</v>
      </c>
      <c r="D940" t="s">
        <v>74</v>
      </c>
      <c r="E940" t="s">
        <v>74</v>
      </c>
      <c r="F940" t="s">
        <v>17255</v>
      </c>
      <c r="G940" t="s">
        <v>74</v>
      </c>
      <c r="H940" t="s">
        <v>74</v>
      </c>
      <c r="I940" t="s">
        <v>17256</v>
      </c>
      <c r="J940" t="s">
        <v>11754</v>
      </c>
      <c r="K940" t="s">
        <v>74</v>
      </c>
      <c r="L940" t="s">
        <v>74</v>
      </c>
      <c r="M940" t="s">
        <v>78</v>
      </c>
      <c r="N940" t="s">
        <v>79</v>
      </c>
      <c r="O940" t="s">
        <v>74</v>
      </c>
      <c r="P940" t="s">
        <v>74</v>
      </c>
      <c r="Q940" t="s">
        <v>74</v>
      </c>
      <c r="R940" t="s">
        <v>74</v>
      </c>
      <c r="S940" t="s">
        <v>74</v>
      </c>
      <c r="T940" t="s">
        <v>17257</v>
      </c>
      <c r="U940" t="s">
        <v>17258</v>
      </c>
      <c r="V940" t="s">
        <v>17259</v>
      </c>
      <c r="W940" t="s">
        <v>17260</v>
      </c>
      <c r="X940" t="s">
        <v>17261</v>
      </c>
      <c r="Y940" t="s">
        <v>17262</v>
      </c>
      <c r="Z940" t="s">
        <v>17263</v>
      </c>
      <c r="AA940" t="s">
        <v>17264</v>
      </c>
      <c r="AB940" t="s">
        <v>17265</v>
      </c>
      <c r="AC940" t="s">
        <v>17266</v>
      </c>
      <c r="AD940" t="s">
        <v>17267</v>
      </c>
      <c r="AE940" t="s">
        <v>17268</v>
      </c>
      <c r="AF940" t="s">
        <v>74</v>
      </c>
      <c r="AG940">
        <v>84</v>
      </c>
      <c r="AH940">
        <v>12</v>
      </c>
      <c r="AI940">
        <v>13</v>
      </c>
      <c r="AJ940">
        <v>1</v>
      </c>
      <c r="AK940">
        <v>26</v>
      </c>
      <c r="AL940" t="s">
        <v>307</v>
      </c>
      <c r="AM940" t="s">
        <v>156</v>
      </c>
      <c r="AN940" t="s">
        <v>308</v>
      </c>
      <c r="AO940" t="s">
        <v>11766</v>
      </c>
      <c r="AP940" t="s">
        <v>17269</v>
      </c>
      <c r="AQ940" t="s">
        <v>74</v>
      </c>
      <c r="AR940" t="s">
        <v>11767</v>
      </c>
      <c r="AS940" t="s">
        <v>11768</v>
      </c>
      <c r="AT940" t="s">
        <v>15792</v>
      </c>
      <c r="AU940">
        <v>2011</v>
      </c>
      <c r="AV940">
        <v>33</v>
      </c>
      <c r="AW940">
        <v>9</v>
      </c>
      <c r="AX940" t="s">
        <v>74</v>
      </c>
      <c r="AY940" t="s">
        <v>74</v>
      </c>
      <c r="AZ940" t="s">
        <v>74</v>
      </c>
      <c r="BA940" t="s">
        <v>74</v>
      </c>
      <c r="BB940">
        <v>1342</v>
      </c>
      <c r="BC940">
        <v>1357</v>
      </c>
      <c r="BD940" t="s">
        <v>74</v>
      </c>
      <c r="BE940" t="s">
        <v>17270</v>
      </c>
      <c r="BF940" t="str">
        <f>HYPERLINK("http://dx.doi.org/10.1093/plankt/fbr033","http://dx.doi.org/10.1093/plankt/fbr033")</f>
        <v>http://dx.doi.org/10.1093/plankt/fbr033</v>
      </c>
      <c r="BG940" t="s">
        <v>74</v>
      </c>
      <c r="BH940" t="s">
        <v>74</v>
      </c>
      <c r="BI940">
        <v>16</v>
      </c>
      <c r="BJ940" t="s">
        <v>4141</v>
      </c>
      <c r="BK940" t="s">
        <v>100</v>
      </c>
      <c r="BL940" t="s">
        <v>4141</v>
      </c>
      <c r="BM940" t="s">
        <v>17271</v>
      </c>
      <c r="BN940" t="s">
        <v>74</v>
      </c>
      <c r="BO940" t="s">
        <v>365</v>
      </c>
      <c r="BP940" t="s">
        <v>74</v>
      </c>
      <c r="BQ940" t="s">
        <v>74</v>
      </c>
      <c r="BR940" t="s">
        <v>102</v>
      </c>
      <c r="BS940" t="s">
        <v>17272</v>
      </c>
      <c r="BT940" t="str">
        <f>HYPERLINK("https%3A%2F%2Fwww.webofscience.com%2Fwos%2Fwoscc%2Ffull-record%2FWOS:000293634400003","View Full Record in Web of Science")</f>
        <v>View Full Record in Web of Science</v>
      </c>
    </row>
    <row r="941" spans="1:72" x14ac:dyDescent="0.15">
      <c r="A941" t="s">
        <v>72</v>
      </c>
      <c r="B941" t="s">
        <v>17273</v>
      </c>
      <c r="C941" t="s">
        <v>74</v>
      </c>
      <c r="D941" t="s">
        <v>74</v>
      </c>
      <c r="E941" t="s">
        <v>74</v>
      </c>
      <c r="F941" t="s">
        <v>17274</v>
      </c>
      <c r="G941" t="s">
        <v>74</v>
      </c>
      <c r="H941" t="s">
        <v>74</v>
      </c>
      <c r="I941" t="s">
        <v>17275</v>
      </c>
      <c r="J941" t="s">
        <v>4253</v>
      </c>
      <c r="K941" t="s">
        <v>74</v>
      </c>
      <c r="L941" t="s">
        <v>74</v>
      </c>
      <c r="M941" t="s">
        <v>78</v>
      </c>
      <c r="N941" t="s">
        <v>79</v>
      </c>
      <c r="O941" t="s">
        <v>74</v>
      </c>
      <c r="P941" t="s">
        <v>74</v>
      </c>
      <c r="Q941" t="s">
        <v>74</v>
      </c>
      <c r="R941" t="s">
        <v>74</v>
      </c>
      <c r="S941" t="s">
        <v>74</v>
      </c>
      <c r="T941" t="s">
        <v>74</v>
      </c>
      <c r="U941" t="s">
        <v>17276</v>
      </c>
      <c r="V941" t="s">
        <v>17277</v>
      </c>
      <c r="W941" t="s">
        <v>17278</v>
      </c>
      <c r="X941" t="s">
        <v>17279</v>
      </c>
      <c r="Y941" t="s">
        <v>17280</v>
      </c>
      <c r="Z941" t="s">
        <v>17281</v>
      </c>
      <c r="AA941" t="s">
        <v>17282</v>
      </c>
      <c r="AB941" t="s">
        <v>17283</v>
      </c>
      <c r="AC941" t="s">
        <v>17284</v>
      </c>
      <c r="AD941" t="s">
        <v>17285</v>
      </c>
      <c r="AE941" t="s">
        <v>17286</v>
      </c>
      <c r="AF941" t="s">
        <v>74</v>
      </c>
      <c r="AG941">
        <v>36</v>
      </c>
      <c r="AH941">
        <v>19</v>
      </c>
      <c r="AI941">
        <v>20</v>
      </c>
      <c r="AJ941">
        <v>0</v>
      </c>
      <c r="AK941">
        <v>14</v>
      </c>
      <c r="AL941" t="s">
        <v>16612</v>
      </c>
      <c r="AM941" t="s">
        <v>16613</v>
      </c>
      <c r="AN941" t="s">
        <v>16614</v>
      </c>
      <c r="AO941" t="s">
        <v>4263</v>
      </c>
      <c r="AP941" t="s">
        <v>74</v>
      </c>
      <c r="AQ941" t="s">
        <v>74</v>
      </c>
      <c r="AR941" t="s">
        <v>4265</v>
      </c>
      <c r="AS941" t="s">
        <v>4266</v>
      </c>
      <c r="AT941" t="s">
        <v>15792</v>
      </c>
      <c r="AU941">
        <v>2011</v>
      </c>
      <c r="AV941">
        <v>56</v>
      </c>
      <c r="AW941">
        <v>5</v>
      </c>
      <c r="AX941" t="s">
        <v>74</v>
      </c>
      <c r="AY941" t="s">
        <v>74</v>
      </c>
      <c r="AZ941" t="s">
        <v>74</v>
      </c>
      <c r="BA941" t="s">
        <v>74</v>
      </c>
      <c r="BB941">
        <v>1907</v>
      </c>
      <c r="BC941">
        <v>1916</v>
      </c>
      <c r="BD941" t="s">
        <v>74</v>
      </c>
      <c r="BE941" t="s">
        <v>17287</v>
      </c>
      <c r="BF941" t="str">
        <f>HYPERLINK("http://dx.doi.org/10.4319/lo.2011.56.5.1907","http://dx.doi.org/10.4319/lo.2011.56.5.1907")</f>
        <v>http://dx.doi.org/10.4319/lo.2011.56.5.1907</v>
      </c>
      <c r="BG941" t="s">
        <v>74</v>
      </c>
      <c r="BH941" t="s">
        <v>74</v>
      </c>
      <c r="BI941">
        <v>10</v>
      </c>
      <c r="BJ941" t="s">
        <v>4268</v>
      </c>
      <c r="BK941" t="s">
        <v>100</v>
      </c>
      <c r="BL941" t="s">
        <v>4141</v>
      </c>
      <c r="BM941" t="s">
        <v>16616</v>
      </c>
      <c r="BN941" t="s">
        <v>74</v>
      </c>
      <c r="BO941" t="s">
        <v>892</v>
      </c>
      <c r="BP941" t="s">
        <v>74</v>
      </c>
      <c r="BQ941" t="s">
        <v>74</v>
      </c>
      <c r="BR941" t="s">
        <v>102</v>
      </c>
      <c r="BS941" t="s">
        <v>17288</v>
      </c>
      <c r="BT941" t="str">
        <f>HYPERLINK("https%3A%2F%2Fwww.webofscience.com%2Fwos%2Fwoscc%2Ffull-record%2FWOS:000294603500027","View Full Record in Web of Science")</f>
        <v>View Full Record in Web of Science</v>
      </c>
    </row>
    <row r="942" spans="1:72" x14ac:dyDescent="0.15">
      <c r="A942" t="s">
        <v>72</v>
      </c>
      <c r="B942" t="s">
        <v>17289</v>
      </c>
      <c r="C942" t="s">
        <v>74</v>
      </c>
      <c r="D942" t="s">
        <v>74</v>
      </c>
      <c r="E942" t="s">
        <v>74</v>
      </c>
      <c r="F942" t="s">
        <v>17290</v>
      </c>
      <c r="G942" t="s">
        <v>74</v>
      </c>
      <c r="H942" t="s">
        <v>74</v>
      </c>
      <c r="I942" t="s">
        <v>17291</v>
      </c>
      <c r="J942" t="s">
        <v>7392</v>
      </c>
      <c r="K942" t="s">
        <v>74</v>
      </c>
      <c r="L942" t="s">
        <v>74</v>
      </c>
      <c r="M942" t="s">
        <v>78</v>
      </c>
      <c r="N942" t="s">
        <v>79</v>
      </c>
      <c r="O942" t="s">
        <v>74</v>
      </c>
      <c r="P942" t="s">
        <v>74</v>
      </c>
      <c r="Q942" t="s">
        <v>74</v>
      </c>
      <c r="R942" t="s">
        <v>74</v>
      </c>
      <c r="S942" t="s">
        <v>74</v>
      </c>
      <c r="T942" t="s">
        <v>74</v>
      </c>
      <c r="U942" t="s">
        <v>17292</v>
      </c>
      <c r="V942" t="s">
        <v>17293</v>
      </c>
      <c r="W942" t="s">
        <v>17294</v>
      </c>
      <c r="X942" t="s">
        <v>17295</v>
      </c>
      <c r="Y942" t="s">
        <v>17296</v>
      </c>
      <c r="Z942" t="s">
        <v>17297</v>
      </c>
      <c r="AA942" t="s">
        <v>17298</v>
      </c>
      <c r="AB942" t="s">
        <v>17299</v>
      </c>
      <c r="AC942" t="s">
        <v>585</v>
      </c>
      <c r="AD942" t="s">
        <v>586</v>
      </c>
      <c r="AE942" t="s">
        <v>74</v>
      </c>
      <c r="AF942" t="s">
        <v>74</v>
      </c>
      <c r="AG942">
        <v>46</v>
      </c>
      <c r="AH942">
        <v>45</v>
      </c>
      <c r="AI942">
        <v>51</v>
      </c>
      <c r="AJ942">
        <v>0</v>
      </c>
      <c r="AK942">
        <v>54</v>
      </c>
      <c r="AL942" t="s">
        <v>7404</v>
      </c>
      <c r="AM942" t="s">
        <v>7405</v>
      </c>
      <c r="AN942" t="s">
        <v>7406</v>
      </c>
      <c r="AO942" t="s">
        <v>7407</v>
      </c>
      <c r="AP942" t="s">
        <v>7408</v>
      </c>
      <c r="AQ942" t="s">
        <v>74</v>
      </c>
      <c r="AR942" t="s">
        <v>7409</v>
      </c>
      <c r="AS942" t="s">
        <v>7410</v>
      </c>
      <c r="AT942" t="s">
        <v>15792</v>
      </c>
      <c r="AU942">
        <v>2011</v>
      </c>
      <c r="AV942">
        <v>158</v>
      </c>
      <c r="AW942">
        <v>9</v>
      </c>
      <c r="AX942" t="s">
        <v>74</v>
      </c>
      <c r="AY942" t="s">
        <v>74</v>
      </c>
      <c r="AZ942" t="s">
        <v>74</v>
      </c>
      <c r="BA942" t="s">
        <v>74</v>
      </c>
      <c r="BB942">
        <v>1929</v>
      </c>
      <c r="BC942">
        <v>1941</v>
      </c>
      <c r="BD942" t="s">
        <v>74</v>
      </c>
      <c r="BE942" t="s">
        <v>17300</v>
      </c>
      <c r="BF942" t="str">
        <f>HYPERLINK("http://dx.doi.org/10.1007/s00227-011-1704-9","http://dx.doi.org/10.1007/s00227-011-1704-9")</f>
        <v>http://dx.doi.org/10.1007/s00227-011-1704-9</v>
      </c>
      <c r="BG942" t="s">
        <v>74</v>
      </c>
      <c r="BH942" t="s">
        <v>74</v>
      </c>
      <c r="BI942">
        <v>13</v>
      </c>
      <c r="BJ942" t="s">
        <v>1015</v>
      </c>
      <c r="BK942" t="s">
        <v>100</v>
      </c>
      <c r="BL942" t="s">
        <v>1015</v>
      </c>
      <c r="BM942" t="s">
        <v>16937</v>
      </c>
      <c r="BN942" t="s">
        <v>74</v>
      </c>
      <c r="BO942" t="s">
        <v>74</v>
      </c>
      <c r="BP942" t="s">
        <v>74</v>
      </c>
      <c r="BQ942" t="s">
        <v>74</v>
      </c>
      <c r="BR942" t="s">
        <v>102</v>
      </c>
      <c r="BS942" t="s">
        <v>17301</v>
      </c>
      <c r="BT942" t="str">
        <f>HYPERLINK("https%3A%2F%2Fwww.webofscience.com%2Fwos%2Fwoscc%2Ffull-record%2FWOS:000294230000002","View Full Record in Web of Science")</f>
        <v>View Full Record in Web of Science</v>
      </c>
    </row>
    <row r="943" spans="1:72" x14ac:dyDescent="0.15">
      <c r="A943" t="s">
        <v>72</v>
      </c>
      <c r="B943" t="s">
        <v>17302</v>
      </c>
      <c r="C943" t="s">
        <v>74</v>
      </c>
      <c r="D943" t="s">
        <v>74</v>
      </c>
      <c r="E943" t="s">
        <v>74</v>
      </c>
      <c r="F943" t="s">
        <v>17303</v>
      </c>
      <c r="G943" t="s">
        <v>74</v>
      </c>
      <c r="H943" t="s">
        <v>74</v>
      </c>
      <c r="I943" t="s">
        <v>17304</v>
      </c>
      <c r="J943" t="s">
        <v>7392</v>
      </c>
      <c r="K943" t="s">
        <v>74</v>
      </c>
      <c r="L943" t="s">
        <v>74</v>
      </c>
      <c r="M943" t="s">
        <v>78</v>
      </c>
      <c r="N943" t="s">
        <v>79</v>
      </c>
      <c r="O943" t="s">
        <v>74</v>
      </c>
      <c r="P943" t="s">
        <v>74</v>
      </c>
      <c r="Q943" t="s">
        <v>74</v>
      </c>
      <c r="R943" t="s">
        <v>74</v>
      </c>
      <c r="S943" t="s">
        <v>74</v>
      </c>
      <c r="T943" t="s">
        <v>74</v>
      </c>
      <c r="U943" t="s">
        <v>17305</v>
      </c>
      <c r="V943" t="s">
        <v>17306</v>
      </c>
      <c r="W943" t="s">
        <v>17307</v>
      </c>
      <c r="X943" t="s">
        <v>17308</v>
      </c>
      <c r="Y943" t="s">
        <v>17309</v>
      </c>
      <c r="Z943" t="s">
        <v>12978</v>
      </c>
      <c r="AA943" t="s">
        <v>17310</v>
      </c>
      <c r="AB943" t="s">
        <v>17311</v>
      </c>
      <c r="AC943" t="s">
        <v>17312</v>
      </c>
      <c r="AD943" t="s">
        <v>17312</v>
      </c>
      <c r="AE943" t="s">
        <v>17313</v>
      </c>
      <c r="AF943" t="s">
        <v>74</v>
      </c>
      <c r="AG943">
        <v>68</v>
      </c>
      <c r="AH943">
        <v>31</v>
      </c>
      <c r="AI943">
        <v>36</v>
      </c>
      <c r="AJ943">
        <v>0</v>
      </c>
      <c r="AK943">
        <v>22</v>
      </c>
      <c r="AL943" t="s">
        <v>7404</v>
      </c>
      <c r="AM943" t="s">
        <v>7405</v>
      </c>
      <c r="AN943" t="s">
        <v>7406</v>
      </c>
      <c r="AO943" t="s">
        <v>7407</v>
      </c>
      <c r="AP943" t="s">
        <v>7408</v>
      </c>
      <c r="AQ943" t="s">
        <v>74</v>
      </c>
      <c r="AR943" t="s">
        <v>7409</v>
      </c>
      <c r="AS943" t="s">
        <v>7410</v>
      </c>
      <c r="AT943" t="s">
        <v>15792</v>
      </c>
      <c r="AU943">
        <v>2011</v>
      </c>
      <c r="AV943">
        <v>158</v>
      </c>
      <c r="AW943">
        <v>9</v>
      </c>
      <c r="AX943" t="s">
        <v>74</v>
      </c>
      <c r="AY943" t="s">
        <v>74</v>
      </c>
      <c r="AZ943" t="s">
        <v>74</v>
      </c>
      <c r="BA943" t="s">
        <v>74</v>
      </c>
      <c r="BB943">
        <v>2125</v>
      </c>
      <c r="BC943">
        <v>2139</v>
      </c>
      <c r="BD943" t="s">
        <v>74</v>
      </c>
      <c r="BE943" t="s">
        <v>17314</v>
      </c>
      <c r="BF943" t="str">
        <f>HYPERLINK("http://dx.doi.org/10.1007/s00227-011-1719-2","http://dx.doi.org/10.1007/s00227-011-1719-2")</f>
        <v>http://dx.doi.org/10.1007/s00227-011-1719-2</v>
      </c>
      <c r="BG943" t="s">
        <v>74</v>
      </c>
      <c r="BH943" t="s">
        <v>74</v>
      </c>
      <c r="BI943">
        <v>15</v>
      </c>
      <c r="BJ943" t="s">
        <v>1015</v>
      </c>
      <c r="BK943" t="s">
        <v>100</v>
      </c>
      <c r="BL943" t="s">
        <v>1015</v>
      </c>
      <c r="BM943" t="s">
        <v>16937</v>
      </c>
      <c r="BN943" t="s">
        <v>74</v>
      </c>
      <c r="BO943" t="s">
        <v>74</v>
      </c>
      <c r="BP943" t="s">
        <v>74</v>
      </c>
      <c r="BQ943" t="s">
        <v>74</v>
      </c>
      <c r="BR943" t="s">
        <v>102</v>
      </c>
      <c r="BS943" t="s">
        <v>17315</v>
      </c>
      <c r="BT943" t="str">
        <f>HYPERLINK("https%3A%2F%2Fwww.webofscience.com%2Fwos%2Fwoscc%2Ffull-record%2FWOS:000294230000016","View Full Record in Web of Science")</f>
        <v>View Full Record in Web of Science</v>
      </c>
    </row>
    <row r="944" spans="1:72" x14ac:dyDescent="0.15">
      <c r="A944" t="s">
        <v>72</v>
      </c>
      <c r="B944" t="s">
        <v>17316</v>
      </c>
      <c r="C944" t="s">
        <v>74</v>
      </c>
      <c r="D944" t="s">
        <v>74</v>
      </c>
      <c r="E944" t="s">
        <v>74</v>
      </c>
      <c r="F944" t="s">
        <v>17317</v>
      </c>
      <c r="G944" t="s">
        <v>74</v>
      </c>
      <c r="H944" t="s">
        <v>74</v>
      </c>
      <c r="I944" t="s">
        <v>17318</v>
      </c>
      <c r="J944" t="s">
        <v>17319</v>
      </c>
      <c r="K944" t="s">
        <v>74</v>
      </c>
      <c r="L944" t="s">
        <v>74</v>
      </c>
      <c r="M944" t="s">
        <v>78</v>
      </c>
      <c r="N944" t="s">
        <v>79</v>
      </c>
      <c r="O944" t="s">
        <v>74</v>
      </c>
      <c r="P944" t="s">
        <v>74</v>
      </c>
      <c r="Q944" t="s">
        <v>74</v>
      </c>
      <c r="R944" t="s">
        <v>74</v>
      </c>
      <c r="S944" t="s">
        <v>74</v>
      </c>
      <c r="T944" t="s">
        <v>17320</v>
      </c>
      <c r="U944" t="s">
        <v>17321</v>
      </c>
      <c r="V944" t="s">
        <v>17322</v>
      </c>
      <c r="W944" t="s">
        <v>17323</v>
      </c>
      <c r="X944" t="s">
        <v>15778</v>
      </c>
      <c r="Y944" t="s">
        <v>17324</v>
      </c>
      <c r="Z944" t="s">
        <v>17325</v>
      </c>
      <c r="AA944" t="s">
        <v>74</v>
      </c>
      <c r="AB944" t="s">
        <v>17326</v>
      </c>
      <c r="AC944" t="s">
        <v>17327</v>
      </c>
      <c r="AD944" t="s">
        <v>17328</v>
      </c>
      <c r="AE944" t="s">
        <v>17329</v>
      </c>
      <c r="AF944" t="s">
        <v>74</v>
      </c>
      <c r="AG944">
        <v>45</v>
      </c>
      <c r="AH944">
        <v>32</v>
      </c>
      <c r="AI944">
        <v>35</v>
      </c>
      <c r="AJ944">
        <v>0</v>
      </c>
      <c r="AK944">
        <v>21</v>
      </c>
      <c r="AL944" t="s">
        <v>2832</v>
      </c>
      <c r="AM944" t="s">
        <v>796</v>
      </c>
      <c r="AN944" t="s">
        <v>797</v>
      </c>
      <c r="AO944" t="s">
        <v>17330</v>
      </c>
      <c r="AP944" t="s">
        <v>17331</v>
      </c>
      <c r="AQ944" t="s">
        <v>74</v>
      </c>
      <c r="AR944" t="s">
        <v>17332</v>
      </c>
      <c r="AS944" t="s">
        <v>17333</v>
      </c>
      <c r="AT944" t="s">
        <v>15792</v>
      </c>
      <c r="AU944">
        <v>2011</v>
      </c>
      <c r="AV944">
        <v>32</v>
      </c>
      <c r="AW944">
        <v>3</v>
      </c>
      <c r="AX944" t="s">
        <v>74</v>
      </c>
      <c r="AY944" t="s">
        <v>74</v>
      </c>
      <c r="AZ944" t="s">
        <v>74</v>
      </c>
      <c r="BA944" t="s">
        <v>74</v>
      </c>
      <c r="BB944">
        <v>289</v>
      </c>
      <c r="BC944">
        <v>299</v>
      </c>
      <c r="BD944" t="s">
        <v>74</v>
      </c>
      <c r="BE944" t="s">
        <v>17334</v>
      </c>
      <c r="BF944" t="str">
        <f>HYPERLINK("http://dx.doi.org/10.1111/j.1439-0485.2011.00462.x","http://dx.doi.org/10.1111/j.1439-0485.2011.00462.x")</f>
        <v>http://dx.doi.org/10.1111/j.1439-0485.2011.00462.x</v>
      </c>
      <c r="BG944" t="s">
        <v>74</v>
      </c>
      <c r="BH944" t="s">
        <v>74</v>
      </c>
      <c r="BI944">
        <v>11</v>
      </c>
      <c r="BJ944" t="s">
        <v>1015</v>
      </c>
      <c r="BK944" t="s">
        <v>100</v>
      </c>
      <c r="BL944" t="s">
        <v>1015</v>
      </c>
      <c r="BM944" t="s">
        <v>17335</v>
      </c>
      <c r="BN944" t="s">
        <v>74</v>
      </c>
      <c r="BO944" t="s">
        <v>74</v>
      </c>
      <c r="BP944" t="s">
        <v>74</v>
      </c>
      <c r="BQ944" t="s">
        <v>74</v>
      </c>
      <c r="BR944" t="s">
        <v>102</v>
      </c>
      <c r="BS944" t="s">
        <v>17336</v>
      </c>
      <c r="BT944" t="str">
        <f>HYPERLINK("https%3A%2F%2Fwww.webofscience.com%2Fwos%2Fwoscc%2Ffull-record%2FWOS:000293560400005","View Full Record in Web of Science")</f>
        <v>View Full Record in Web of Science</v>
      </c>
    </row>
    <row r="945" spans="1:72" x14ac:dyDescent="0.15">
      <c r="A945" t="s">
        <v>72</v>
      </c>
      <c r="B945" t="s">
        <v>17337</v>
      </c>
      <c r="C945" t="s">
        <v>74</v>
      </c>
      <c r="D945" t="s">
        <v>74</v>
      </c>
      <c r="E945" t="s">
        <v>74</v>
      </c>
      <c r="F945" t="s">
        <v>17338</v>
      </c>
      <c r="G945" t="s">
        <v>74</v>
      </c>
      <c r="H945" t="s">
        <v>74</v>
      </c>
      <c r="I945" t="s">
        <v>17339</v>
      </c>
      <c r="J945" t="s">
        <v>17340</v>
      </c>
      <c r="K945" t="s">
        <v>74</v>
      </c>
      <c r="L945" t="s">
        <v>74</v>
      </c>
      <c r="M945" t="s">
        <v>78</v>
      </c>
      <c r="N945" t="s">
        <v>79</v>
      </c>
      <c r="O945" t="s">
        <v>74</v>
      </c>
      <c r="P945" t="s">
        <v>74</v>
      </c>
      <c r="Q945" t="s">
        <v>74</v>
      </c>
      <c r="R945" t="s">
        <v>74</v>
      </c>
      <c r="S945" t="s">
        <v>74</v>
      </c>
      <c r="T945" t="s">
        <v>17341</v>
      </c>
      <c r="U945" t="s">
        <v>17342</v>
      </c>
      <c r="V945" t="s">
        <v>17343</v>
      </c>
      <c r="W945" t="s">
        <v>17344</v>
      </c>
      <c r="X945" t="s">
        <v>17345</v>
      </c>
      <c r="Y945" t="s">
        <v>17346</v>
      </c>
      <c r="Z945" t="s">
        <v>17347</v>
      </c>
      <c r="AA945" t="s">
        <v>17348</v>
      </c>
      <c r="AB945" t="s">
        <v>17349</v>
      </c>
      <c r="AC945" t="s">
        <v>17350</v>
      </c>
      <c r="AD945" t="s">
        <v>17350</v>
      </c>
      <c r="AE945" t="s">
        <v>17351</v>
      </c>
      <c r="AF945" t="s">
        <v>74</v>
      </c>
      <c r="AG945">
        <v>49</v>
      </c>
      <c r="AH945">
        <v>21</v>
      </c>
      <c r="AI945">
        <v>26</v>
      </c>
      <c r="AJ945">
        <v>1</v>
      </c>
      <c r="AK945">
        <v>24</v>
      </c>
      <c r="AL945" t="s">
        <v>795</v>
      </c>
      <c r="AM945" t="s">
        <v>796</v>
      </c>
      <c r="AN945" t="s">
        <v>797</v>
      </c>
      <c r="AO945" t="s">
        <v>17352</v>
      </c>
      <c r="AP945" t="s">
        <v>74</v>
      </c>
      <c r="AQ945" t="s">
        <v>74</v>
      </c>
      <c r="AR945" t="s">
        <v>17353</v>
      </c>
      <c r="AS945" t="s">
        <v>17354</v>
      </c>
      <c r="AT945" t="s">
        <v>15792</v>
      </c>
      <c r="AU945">
        <v>2011</v>
      </c>
      <c r="AV945">
        <v>11</v>
      </c>
      <c r="AW945">
        <v>5</v>
      </c>
      <c r="AX945" t="s">
        <v>74</v>
      </c>
      <c r="AY945" t="s">
        <v>74</v>
      </c>
      <c r="AZ945" t="s">
        <v>74</v>
      </c>
      <c r="BA945" t="s">
        <v>74</v>
      </c>
      <c r="BB945">
        <v>877</v>
      </c>
      <c r="BC945">
        <v>889</v>
      </c>
      <c r="BD945" t="s">
        <v>74</v>
      </c>
      <c r="BE945" t="s">
        <v>17355</v>
      </c>
      <c r="BF945" t="str">
        <f>HYPERLINK("http://dx.doi.org/10.1111/j.1755-0998.2011.03015.x","http://dx.doi.org/10.1111/j.1755-0998.2011.03015.x")</f>
        <v>http://dx.doi.org/10.1111/j.1755-0998.2011.03015.x</v>
      </c>
      <c r="BG945" t="s">
        <v>74</v>
      </c>
      <c r="BH945" t="s">
        <v>74</v>
      </c>
      <c r="BI945">
        <v>13</v>
      </c>
      <c r="BJ945" t="s">
        <v>11838</v>
      </c>
      <c r="BK945" t="s">
        <v>100</v>
      </c>
      <c r="BL945" t="s">
        <v>11839</v>
      </c>
      <c r="BM945" t="s">
        <v>17356</v>
      </c>
      <c r="BN945">
        <v>21518427</v>
      </c>
      <c r="BO945" t="s">
        <v>365</v>
      </c>
      <c r="BP945" t="s">
        <v>74</v>
      </c>
      <c r="BQ945" t="s">
        <v>74</v>
      </c>
      <c r="BR945" t="s">
        <v>102</v>
      </c>
      <c r="BS945" t="s">
        <v>17357</v>
      </c>
      <c r="BT945" t="str">
        <f>HYPERLINK("https%3A%2F%2Fwww.webofscience.com%2Fwos%2Fwoscc%2Ffull-record%2FWOS:000293915800017","View Full Record in Web of Science")</f>
        <v>View Full Record in Web of Science</v>
      </c>
    </row>
    <row r="946" spans="1:72" x14ac:dyDescent="0.15">
      <c r="A946" t="s">
        <v>72</v>
      </c>
      <c r="B946" t="s">
        <v>17358</v>
      </c>
      <c r="C946" t="s">
        <v>74</v>
      </c>
      <c r="D946" t="s">
        <v>74</v>
      </c>
      <c r="E946" t="s">
        <v>74</v>
      </c>
      <c r="F946" t="s">
        <v>17359</v>
      </c>
      <c r="G946" t="s">
        <v>74</v>
      </c>
      <c r="H946" t="s">
        <v>74</v>
      </c>
      <c r="I946" t="s">
        <v>17360</v>
      </c>
      <c r="J946" t="s">
        <v>5122</v>
      </c>
      <c r="K946" t="s">
        <v>74</v>
      </c>
      <c r="L946" t="s">
        <v>74</v>
      </c>
      <c r="M946" t="s">
        <v>78</v>
      </c>
      <c r="N946" t="s">
        <v>79</v>
      </c>
      <c r="O946" t="s">
        <v>74</v>
      </c>
      <c r="P946" t="s">
        <v>74</v>
      </c>
      <c r="Q946" t="s">
        <v>74</v>
      </c>
      <c r="R946" t="s">
        <v>74</v>
      </c>
      <c r="S946" t="s">
        <v>74</v>
      </c>
      <c r="T946" t="s">
        <v>74</v>
      </c>
      <c r="U946" t="s">
        <v>17361</v>
      </c>
      <c r="V946" t="s">
        <v>17362</v>
      </c>
      <c r="W946" t="s">
        <v>17363</v>
      </c>
      <c r="X946" t="s">
        <v>17364</v>
      </c>
      <c r="Y946" t="s">
        <v>17365</v>
      </c>
      <c r="Z946" t="s">
        <v>17366</v>
      </c>
      <c r="AA946" t="s">
        <v>17367</v>
      </c>
      <c r="AB946" t="s">
        <v>17368</v>
      </c>
      <c r="AC946" t="s">
        <v>17369</v>
      </c>
      <c r="AD946" t="s">
        <v>17370</v>
      </c>
      <c r="AE946" t="s">
        <v>17371</v>
      </c>
      <c r="AF946" t="s">
        <v>74</v>
      </c>
      <c r="AG946">
        <v>179</v>
      </c>
      <c r="AH946">
        <v>49</v>
      </c>
      <c r="AI946">
        <v>54</v>
      </c>
      <c r="AJ946">
        <v>0</v>
      </c>
      <c r="AK946">
        <v>22</v>
      </c>
      <c r="AL946" t="s">
        <v>5134</v>
      </c>
      <c r="AM946" t="s">
        <v>5135</v>
      </c>
      <c r="AN946" t="s">
        <v>5136</v>
      </c>
      <c r="AO946" t="s">
        <v>5137</v>
      </c>
      <c r="AP946" t="s">
        <v>5138</v>
      </c>
      <c r="AQ946" t="s">
        <v>74</v>
      </c>
      <c r="AR946" t="s">
        <v>5122</v>
      </c>
      <c r="AS946" t="s">
        <v>5139</v>
      </c>
      <c r="AT946" t="s">
        <v>15929</v>
      </c>
      <c r="AU946">
        <v>2011</v>
      </c>
      <c r="AV946">
        <v>26</v>
      </c>
      <c r="AW946" t="s">
        <v>11344</v>
      </c>
      <c r="AX946" t="s">
        <v>74</v>
      </c>
      <c r="AY946" t="s">
        <v>74</v>
      </c>
      <c r="AZ946" t="s">
        <v>74</v>
      </c>
      <c r="BA946" t="s">
        <v>74</v>
      </c>
      <c r="BB946">
        <v>522</v>
      </c>
      <c r="BC946">
        <v>544</v>
      </c>
      <c r="BD946" t="s">
        <v>74</v>
      </c>
      <c r="BE946" t="s">
        <v>17372</v>
      </c>
      <c r="BF946" t="str">
        <f>HYPERLINK("http://dx.doi.org/10.2110/palo.2010.p10-122r","http://dx.doi.org/10.2110/palo.2010.p10-122r")</f>
        <v>http://dx.doi.org/10.2110/palo.2010.p10-122r</v>
      </c>
      <c r="BG946" t="s">
        <v>74</v>
      </c>
      <c r="BH946" t="s">
        <v>74</v>
      </c>
      <c r="BI946">
        <v>23</v>
      </c>
      <c r="BJ946" t="s">
        <v>5141</v>
      </c>
      <c r="BK946" t="s">
        <v>100</v>
      </c>
      <c r="BL946" t="s">
        <v>5141</v>
      </c>
      <c r="BM946" t="s">
        <v>17373</v>
      </c>
      <c r="BN946" t="s">
        <v>74</v>
      </c>
      <c r="BO946" t="s">
        <v>342</v>
      </c>
      <c r="BP946" t="s">
        <v>74</v>
      </c>
      <c r="BQ946" t="s">
        <v>74</v>
      </c>
      <c r="BR946" t="s">
        <v>102</v>
      </c>
      <c r="BS946" t="s">
        <v>17374</v>
      </c>
      <c r="BT946" t="str">
        <f>HYPERLINK("https%3A%2F%2Fwww.webofscience.com%2Fwos%2Fwoscc%2Ffull-record%2FWOS:000296043000002","View Full Record in Web of Science")</f>
        <v>View Full Record in Web of Science</v>
      </c>
    </row>
    <row r="947" spans="1:72" x14ac:dyDescent="0.15">
      <c r="A947" t="s">
        <v>72</v>
      </c>
      <c r="B947" t="s">
        <v>17375</v>
      </c>
      <c r="C947" t="s">
        <v>74</v>
      </c>
      <c r="D947" t="s">
        <v>74</v>
      </c>
      <c r="E947" t="s">
        <v>74</v>
      </c>
      <c r="F947" t="s">
        <v>17376</v>
      </c>
      <c r="G947" t="s">
        <v>74</v>
      </c>
      <c r="H947" t="s">
        <v>74</v>
      </c>
      <c r="I947" t="s">
        <v>17377</v>
      </c>
      <c r="J947" t="s">
        <v>5283</v>
      </c>
      <c r="K947" t="s">
        <v>74</v>
      </c>
      <c r="L947" t="s">
        <v>74</v>
      </c>
      <c r="M947" t="s">
        <v>78</v>
      </c>
      <c r="N947" t="s">
        <v>79</v>
      </c>
      <c r="O947" t="s">
        <v>74</v>
      </c>
      <c r="P947" t="s">
        <v>74</v>
      </c>
      <c r="Q947" t="s">
        <v>74</v>
      </c>
      <c r="R947" t="s">
        <v>74</v>
      </c>
      <c r="S947" t="s">
        <v>74</v>
      </c>
      <c r="T947" t="s">
        <v>17378</v>
      </c>
      <c r="U947" t="s">
        <v>17379</v>
      </c>
      <c r="V947" t="s">
        <v>17380</v>
      </c>
      <c r="W947" t="s">
        <v>17381</v>
      </c>
      <c r="X947" t="s">
        <v>17382</v>
      </c>
      <c r="Y947" t="s">
        <v>17383</v>
      </c>
      <c r="Z947" t="s">
        <v>17384</v>
      </c>
      <c r="AA947" t="s">
        <v>17385</v>
      </c>
      <c r="AB947" t="s">
        <v>17386</v>
      </c>
      <c r="AC947" t="s">
        <v>17387</v>
      </c>
      <c r="AD947" t="s">
        <v>17388</v>
      </c>
      <c r="AE947" t="s">
        <v>17389</v>
      </c>
      <c r="AF947" t="s">
        <v>74</v>
      </c>
      <c r="AG947">
        <v>43</v>
      </c>
      <c r="AH947">
        <v>17</v>
      </c>
      <c r="AI947">
        <v>19</v>
      </c>
      <c r="AJ947">
        <v>1</v>
      </c>
      <c r="AK947">
        <v>12</v>
      </c>
      <c r="AL947" t="s">
        <v>250</v>
      </c>
      <c r="AM947" t="s">
        <v>413</v>
      </c>
      <c r="AN947" t="s">
        <v>490</v>
      </c>
      <c r="AO947" t="s">
        <v>5295</v>
      </c>
      <c r="AP947" t="s">
        <v>5296</v>
      </c>
      <c r="AQ947" t="s">
        <v>74</v>
      </c>
      <c r="AR947" t="s">
        <v>5297</v>
      </c>
      <c r="AS947" t="s">
        <v>5298</v>
      </c>
      <c r="AT947" t="s">
        <v>15792</v>
      </c>
      <c r="AU947">
        <v>2011</v>
      </c>
      <c r="AV947">
        <v>34</v>
      </c>
      <c r="AW947">
        <v>9</v>
      </c>
      <c r="AX947" t="s">
        <v>74</v>
      </c>
      <c r="AY947" t="s">
        <v>74</v>
      </c>
      <c r="AZ947" t="s">
        <v>74</v>
      </c>
      <c r="BA947" t="s">
        <v>74</v>
      </c>
      <c r="BB947">
        <v>1385</v>
      </c>
      <c r="BC947">
        <v>1397</v>
      </c>
      <c r="BD947" t="s">
        <v>74</v>
      </c>
      <c r="BE947" t="s">
        <v>17390</v>
      </c>
      <c r="BF947" t="str">
        <f>HYPERLINK("http://dx.doi.org/10.1007/s00300-011-0993-2","http://dx.doi.org/10.1007/s00300-011-0993-2")</f>
        <v>http://dx.doi.org/10.1007/s00300-011-0993-2</v>
      </c>
      <c r="BG947" t="s">
        <v>74</v>
      </c>
      <c r="BH947" t="s">
        <v>74</v>
      </c>
      <c r="BI947">
        <v>13</v>
      </c>
      <c r="BJ947" t="s">
        <v>5300</v>
      </c>
      <c r="BK947" t="s">
        <v>100</v>
      </c>
      <c r="BL947" t="s">
        <v>3505</v>
      </c>
      <c r="BM947" t="s">
        <v>17391</v>
      </c>
      <c r="BN947" t="s">
        <v>74</v>
      </c>
      <c r="BO947" t="s">
        <v>74</v>
      </c>
      <c r="BP947" t="s">
        <v>74</v>
      </c>
      <c r="BQ947" t="s">
        <v>74</v>
      </c>
      <c r="BR947" t="s">
        <v>102</v>
      </c>
      <c r="BS947" t="s">
        <v>17392</v>
      </c>
      <c r="BT947" t="str">
        <f>HYPERLINK("https%3A%2F%2Fwww.webofscience.com%2Fwos%2Fwoscc%2Ffull-record%2FWOS:000293025100010","View Full Record in Web of Science")</f>
        <v>View Full Record in Web of Science</v>
      </c>
    </row>
    <row r="948" spans="1:72" x14ac:dyDescent="0.15">
      <c r="A948" t="s">
        <v>72</v>
      </c>
      <c r="B948" t="s">
        <v>17393</v>
      </c>
      <c r="C948" t="s">
        <v>74</v>
      </c>
      <c r="D948" t="s">
        <v>74</v>
      </c>
      <c r="E948" t="s">
        <v>74</v>
      </c>
      <c r="F948" t="s">
        <v>17394</v>
      </c>
      <c r="G948" t="s">
        <v>74</v>
      </c>
      <c r="H948" t="s">
        <v>74</v>
      </c>
      <c r="I948" t="s">
        <v>17395</v>
      </c>
      <c r="J948" t="s">
        <v>8859</v>
      </c>
      <c r="K948" t="s">
        <v>74</v>
      </c>
      <c r="L948" t="s">
        <v>74</v>
      </c>
      <c r="M948" t="s">
        <v>78</v>
      </c>
      <c r="N948" t="s">
        <v>79</v>
      </c>
      <c r="O948" t="s">
        <v>74</v>
      </c>
      <c r="P948" t="s">
        <v>74</v>
      </c>
      <c r="Q948" t="s">
        <v>74</v>
      </c>
      <c r="R948" t="s">
        <v>74</v>
      </c>
      <c r="S948" t="s">
        <v>74</v>
      </c>
      <c r="T948" t="s">
        <v>17396</v>
      </c>
      <c r="U948" t="s">
        <v>17397</v>
      </c>
      <c r="V948" t="s">
        <v>17398</v>
      </c>
      <c r="W948" t="s">
        <v>17399</v>
      </c>
      <c r="X948" t="s">
        <v>17400</v>
      </c>
      <c r="Y948" t="s">
        <v>17401</v>
      </c>
      <c r="Z948" t="s">
        <v>17402</v>
      </c>
      <c r="AA948" t="s">
        <v>17403</v>
      </c>
      <c r="AB948" t="s">
        <v>17404</v>
      </c>
      <c r="AC948" t="s">
        <v>17405</v>
      </c>
      <c r="AD948" t="s">
        <v>17406</v>
      </c>
      <c r="AE948" t="s">
        <v>17407</v>
      </c>
      <c r="AF948" t="s">
        <v>74</v>
      </c>
      <c r="AG948">
        <v>24</v>
      </c>
      <c r="AH948">
        <v>6</v>
      </c>
      <c r="AI948">
        <v>6</v>
      </c>
      <c r="AJ948">
        <v>2</v>
      </c>
      <c r="AK948">
        <v>7</v>
      </c>
      <c r="AL948" t="s">
        <v>333</v>
      </c>
      <c r="AM948" t="s">
        <v>334</v>
      </c>
      <c r="AN948" t="s">
        <v>335</v>
      </c>
      <c r="AO948" t="s">
        <v>8872</v>
      </c>
      <c r="AP948" t="s">
        <v>8873</v>
      </c>
      <c r="AQ948" t="s">
        <v>74</v>
      </c>
      <c r="AR948" t="s">
        <v>8874</v>
      </c>
      <c r="AS948" t="s">
        <v>8875</v>
      </c>
      <c r="AT948" t="s">
        <v>15792</v>
      </c>
      <c r="AU948">
        <v>2011</v>
      </c>
      <c r="AV948">
        <v>5</v>
      </c>
      <c r="AW948">
        <v>3</v>
      </c>
      <c r="AX948" t="s">
        <v>74</v>
      </c>
      <c r="AY948" t="s">
        <v>74</v>
      </c>
      <c r="AZ948" t="s">
        <v>74</v>
      </c>
      <c r="BA948" t="s">
        <v>74</v>
      </c>
      <c r="BB948">
        <v>337</v>
      </c>
      <c r="BC948">
        <v>344</v>
      </c>
      <c r="BD948" t="s">
        <v>74</v>
      </c>
      <c r="BE948" t="s">
        <v>17408</v>
      </c>
      <c r="BF948" t="str">
        <f>HYPERLINK("http://dx.doi.org/10.1016/j.polar.2011.06.002","http://dx.doi.org/10.1016/j.polar.2011.06.002")</f>
        <v>http://dx.doi.org/10.1016/j.polar.2011.06.002</v>
      </c>
      <c r="BG948" t="s">
        <v>74</v>
      </c>
      <c r="BH948" t="s">
        <v>74</v>
      </c>
      <c r="BI948">
        <v>8</v>
      </c>
      <c r="BJ948" t="s">
        <v>1551</v>
      </c>
      <c r="BK948" t="s">
        <v>100</v>
      </c>
      <c r="BL948" t="s">
        <v>1552</v>
      </c>
      <c r="BM948" t="s">
        <v>17409</v>
      </c>
      <c r="BN948" t="s">
        <v>74</v>
      </c>
      <c r="BO948" t="s">
        <v>316</v>
      </c>
      <c r="BP948" t="s">
        <v>74</v>
      </c>
      <c r="BQ948" t="s">
        <v>74</v>
      </c>
      <c r="BR948" t="s">
        <v>102</v>
      </c>
      <c r="BS948" t="s">
        <v>17410</v>
      </c>
      <c r="BT948" t="str">
        <f>HYPERLINK("https%3A%2F%2Fwww.webofscience.com%2Fwos%2Fwoscc%2Ffull-record%2FWOS:000209057900004","View Full Record in Web of Science")</f>
        <v>View Full Record in Web of Science</v>
      </c>
    </row>
    <row r="949" spans="1:72" x14ac:dyDescent="0.15">
      <c r="A949" t="s">
        <v>72</v>
      </c>
      <c r="B949" t="s">
        <v>17411</v>
      </c>
      <c r="C949" t="s">
        <v>74</v>
      </c>
      <c r="D949" t="s">
        <v>74</v>
      </c>
      <c r="E949" t="s">
        <v>74</v>
      </c>
      <c r="F949" t="s">
        <v>17412</v>
      </c>
      <c r="G949" t="s">
        <v>74</v>
      </c>
      <c r="H949" t="s">
        <v>74</v>
      </c>
      <c r="I949" t="s">
        <v>17413</v>
      </c>
      <c r="J949" t="s">
        <v>8859</v>
      </c>
      <c r="K949" t="s">
        <v>74</v>
      </c>
      <c r="L949" t="s">
        <v>74</v>
      </c>
      <c r="M949" t="s">
        <v>78</v>
      </c>
      <c r="N949" t="s">
        <v>79</v>
      </c>
      <c r="O949" t="s">
        <v>74</v>
      </c>
      <c r="P949" t="s">
        <v>74</v>
      </c>
      <c r="Q949" t="s">
        <v>74</v>
      </c>
      <c r="R949" t="s">
        <v>74</v>
      </c>
      <c r="S949" t="s">
        <v>74</v>
      </c>
      <c r="T949" t="s">
        <v>17414</v>
      </c>
      <c r="U949" t="s">
        <v>17415</v>
      </c>
      <c r="V949" t="s">
        <v>17416</v>
      </c>
      <c r="W949" t="s">
        <v>17417</v>
      </c>
      <c r="X949" t="s">
        <v>17418</v>
      </c>
      <c r="Y949" t="s">
        <v>17419</v>
      </c>
      <c r="Z949" t="s">
        <v>17420</v>
      </c>
      <c r="AA949" t="s">
        <v>17421</v>
      </c>
      <c r="AB949" t="s">
        <v>17422</v>
      </c>
      <c r="AC949" t="s">
        <v>17423</v>
      </c>
      <c r="AD949" t="s">
        <v>17424</v>
      </c>
      <c r="AE949" t="s">
        <v>17425</v>
      </c>
      <c r="AF949" t="s">
        <v>74</v>
      </c>
      <c r="AG949">
        <v>54</v>
      </c>
      <c r="AH949">
        <v>14</v>
      </c>
      <c r="AI949">
        <v>14</v>
      </c>
      <c r="AJ949">
        <v>0</v>
      </c>
      <c r="AK949">
        <v>4</v>
      </c>
      <c r="AL949" t="s">
        <v>333</v>
      </c>
      <c r="AM949" t="s">
        <v>334</v>
      </c>
      <c r="AN949" t="s">
        <v>335</v>
      </c>
      <c r="AO949" t="s">
        <v>8872</v>
      </c>
      <c r="AP949" t="s">
        <v>8873</v>
      </c>
      <c r="AQ949" t="s">
        <v>74</v>
      </c>
      <c r="AR949" t="s">
        <v>8874</v>
      </c>
      <c r="AS949" t="s">
        <v>8875</v>
      </c>
      <c r="AT949" t="s">
        <v>15792</v>
      </c>
      <c r="AU949">
        <v>2011</v>
      </c>
      <c r="AV949">
        <v>5</v>
      </c>
      <c r="AW949">
        <v>3</v>
      </c>
      <c r="AX949" t="s">
        <v>74</v>
      </c>
      <c r="AY949" t="s">
        <v>74</v>
      </c>
      <c r="AZ949" t="s">
        <v>74</v>
      </c>
      <c r="BA949" t="s">
        <v>74</v>
      </c>
      <c r="BB949">
        <v>345</v>
      </c>
      <c r="BC949">
        <v>359</v>
      </c>
      <c r="BD949" t="s">
        <v>74</v>
      </c>
      <c r="BE949" t="s">
        <v>17426</v>
      </c>
      <c r="BF949" t="str">
        <f>HYPERLINK("http://dx.doi.org/10.1016/j.polar.2011.03.005","http://dx.doi.org/10.1016/j.polar.2011.03.005")</f>
        <v>http://dx.doi.org/10.1016/j.polar.2011.03.005</v>
      </c>
      <c r="BG949" t="s">
        <v>74</v>
      </c>
      <c r="BH949" t="s">
        <v>74</v>
      </c>
      <c r="BI949">
        <v>15</v>
      </c>
      <c r="BJ949" t="s">
        <v>1551</v>
      </c>
      <c r="BK949" t="s">
        <v>100</v>
      </c>
      <c r="BL949" t="s">
        <v>1552</v>
      </c>
      <c r="BM949" t="s">
        <v>17409</v>
      </c>
      <c r="BN949" t="s">
        <v>74</v>
      </c>
      <c r="BO949" t="s">
        <v>316</v>
      </c>
      <c r="BP949" t="s">
        <v>74</v>
      </c>
      <c r="BQ949" t="s">
        <v>74</v>
      </c>
      <c r="BR949" t="s">
        <v>102</v>
      </c>
      <c r="BS949" t="s">
        <v>17427</v>
      </c>
      <c r="BT949" t="str">
        <f>HYPERLINK("https%3A%2F%2Fwww.webofscience.com%2Fwos%2Fwoscc%2Ffull-record%2FWOS:000209057900005","View Full Record in Web of Science")</f>
        <v>View Full Record in Web of Science</v>
      </c>
    </row>
    <row r="950" spans="1:72" x14ac:dyDescent="0.15">
      <c r="A950" t="s">
        <v>72</v>
      </c>
      <c r="B950" t="s">
        <v>17428</v>
      </c>
      <c r="C950" t="s">
        <v>74</v>
      </c>
      <c r="D950" t="s">
        <v>74</v>
      </c>
      <c r="E950" t="s">
        <v>74</v>
      </c>
      <c r="F950" t="s">
        <v>17429</v>
      </c>
      <c r="G950" t="s">
        <v>74</v>
      </c>
      <c r="H950" t="s">
        <v>74</v>
      </c>
      <c r="I950" t="s">
        <v>17430</v>
      </c>
      <c r="J950" t="s">
        <v>8859</v>
      </c>
      <c r="K950" t="s">
        <v>74</v>
      </c>
      <c r="L950" t="s">
        <v>74</v>
      </c>
      <c r="M950" t="s">
        <v>78</v>
      </c>
      <c r="N950" t="s">
        <v>79</v>
      </c>
      <c r="O950" t="s">
        <v>74</v>
      </c>
      <c r="P950" t="s">
        <v>74</v>
      </c>
      <c r="Q950" t="s">
        <v>74</v>
      </c>
      <c r="R950" t="s">
        <v>74</v>
      </c>
      <c r="S950" t="s">
        <v>74</v>
      </c>
      <c r="T950" t="s">
        <v>17431</v>
      </c>
      <c r="U950" t="s">
        <v>17432</v>
      </c>
      <c r="V950" t="s">
        <v>17433</v>
      </c>
      <c r="W950" t="s">
        <v>17434</v>
      </c>
      <c r="X950" t="s">
        <v>17435</v>
      </c>
      <c r="Y950" t="s">
        <v>17436</v>
      </c>
      <c r="Z950" t="s">
        <v>17437</v>
      </c>
      <c r="AA950" t="s">
        <v>74</v>
      </c>
      <c r="AB950" t="s">
        <v>17438</v>
      </c>
      <c r="AC950" t="s">
        <v>17439</v>
      </c>
      <c r="AD950" t="s">
        <v>17439</v>
      </c>
      <c r="AE950" t="s">
        <v>17440</v>
      </c>
      <c r="AF950" t="s">
        <v>74</v>
      </c>
      <c r="AG950">
        <v>21</v>
      </c>
      <c r="AH950">
        <v>6</v>
      </c>
      <c r="AI950">
        <v>6</v>
      </c>
      <c r="AJ950">
        <v>1</v>
      </c>
      <c r="AK950">
        <v>4</v>
      </c>
      <c r="AL950" t="s">
        <v>3479</v>
      </c>
      <c r="AM950" t="s">
        <v>334</v>
      </c>
      <c r="AN950" t="s">
        <v>3480</v>
      </c>
      <c r="AO950" t="s">
        <v>8872</v>
      </c>
      <c r="AP950" t="s">
        <v>8873</v>
      </c>
      <c r="AQ950" t="s">
        <v>74</v>
      </c>
      <c r="AR950" t="s">
        <v>8874</v>
      </c>
      <c r="AS950" t="s">
        <v>8875</v>
      </c>
      <c r="AT950" t="s">
        <v>15792</v>
      </c>
      <c r="AU950">
        <v>2011</v>
      </c>
      <c r="AV950">
        <v>5</v>
      </c>
      <c r="AW950">
        <v>3</v>
      </c>
      <c r="AX950" t="s">
        <v>74</v>
      </c>
      <c r="AY950" t="s">
        <v>74</v>
      </c>
      <c r="AZ950" t="s">
        <v>74</v>
      </c>
      <c r="BA950" t="s">
        <v>74</v>
      </c>
      <c r="BB950">
        <v>375</v>
      </c>
      <c r="BC950">
        <v>382</v>
      </c>
      <c r="BD950" t="s">
        <v>74</v>
      </c>
      <c r="BE950" t="s">
        <v>17441</v>
      </c>
      <c r="BF950" t="str">
        <f>HYPERLINK("http://dx.doi.org/10.1016/j.polar.2011.06.001","http://dx.doi.org/10.1016/j.polar.2011.06.001")</f>
        <v>http://dx.doi.org/10.1016/j.polar.2011.06.001</v>
      </c>
      <c r="BG950" t="s">
        <v>74</v>
      </c>
      <c r="BH950" t="s">
        <v>74</v>
      </c>
      <c r="BI950">
        <v>8</v>
      </c>
      <c r="BJ950" t="s">
        <v>1551</v>
      </c>
      <c r="BK950" t="s">
        <v>100</v>
      </c>
      <c r="BL950" t="s">
        <v>1552</v>
      </c>
      <c r="BM950" t="s">
        <v>17409</v>
      </c>
      <c r="BN950" t="s">
        <v>74</v>
      </c>
      <c r="BO950" t="s">
        <v>74</v>
      </c>
      <c r="BP950" t="s">
        <v>74</v>
      </c>
      <c r="BQ950" t="s">
        <v>74</v>
      </c>
      <c r="BR950" t="s">
        <v>102</v>
      </c>
      <c r="BS950" t="s">
        <v>17442</v>
      </c>
      <c r="BT950" t="str">
        <f>HYPERLINK("https%3A%2F%2Fwww.webofscience.com%2Fwos%2Fwoscc%2Ffull-record%2FWOS:000209057900007","View Full Record in Web of Science")</f>
        <v>View Full Record in Web of Science</v>
      </c>
    </row>
    <row r="951" spans="1:72" x14ac:dyDescent="0.15">
      <c r="A951" t="s">
        <v>72</v>
      </c>
      <c r="B951" t="s">
        <v>17443</v>
      </c>
      <c r="C951" t="s">
        <v>74</v>
      </c>
      <c r="D951" t="s">
        <v>74</v>
      </c>
      <c r="E951" t="s">
        <v>74</v>
      </c>
      <c r="F951" t="s">
        <v>17444</v>
      </c>
      <c r="G951" t="s">
        <v>74</v>
      </c>
      <c r="H951" t="s">
        <v>74</v>
      </c>
      <c r="I951" t="s">
        <v>17445</v>
      </c>
      <c r="J951" t="s">
        <v>8859</v>
      </c>
      <c r="K951" t="s">
        <v>74</v>
      </c>
      <c r="L951" t="s">
        <v>74</v>
      </c>
      <c r="M951" t="s">
        <v>78</v>
      </c>
      <c r="N951" t="s">
        <v>79</v>
      </c>
      <c r="O951" t="s">
        <v>74</v>
      </c>
      <c r="P951" t="s">
        <v>74</v>
      </c>
      <c r="Q951" t="s">
        <v>74</v>
      </c>
      <c r="R951" t="s">
        <v>74</v>
      </c>
      <c r="S951" t="s">
        <v>74</v>
      </c>
      <c r="T951" t="s">
        <v>17446</v>
      </c>
      <c r="U951" t="s">
        <v>17447</v>
      </c>
      <c r="V951" t="s">
        <v>17448</v>
      </c>
      <c r="W951" t="s">
        <v>17449</v>
      </c>
      <c r="X951" t="s">
        <v>17450</v>
      </c>
      <c r="Y951" t="s">
        <v>17451</v>
      </c>
      <c r="Z951" t="s">
        <v>17452</v>
      </c>
      <c r="AA951" t="s">
        <v>17453</v>
      </c>
      <c r="AB951" t="s">
        <v>17454</v>
      </c>
      <c r="AC951" t="s">
        <v>17455</v>
      </c>
      <c r="AD951" t="s">
        <v>17456</v>
      </c>
      <c r="AE951" t="s">
        <v>17457</v>
      </c>
      <c r="AF951" t="s">
        <v>74</v>
      </c>
      <c r="AG951">
        <v>45</v>
      </c>
      <c r="AH951">
        <v>4</v>
      </c>
      <c r="AI951">
        <v>8</v>
      </c>
      <c r="AJ951">
        <v>0</v>
      </c>
      <c r="AK951">
        <v>7</v>
      </c>
      <c r="AL951" t="s">
        <v>3479</v>
      </c>
      <c r="AM951" t="s">
        <v>334</v>
      </c>
      <c r="AN951" t="s">
        <v>3480</v>
      </c>
      <c r="AO951" t="s">
        <v>8872</v>
      </c>
      <c r="AP951" t="s">
        <v>8873</v>
      </c>
      <c r="AQ951" t="s">
        <v>74</v>
      </c>
      <c r="AR951" t="s">
        <v>8874</v>
      </c>
      <c r="AS951" t="s">
        <v>8875</v>
      </c>
      <c r="AT951" t="s">
        <v>15792</v>
      </c>
      <c r="AU951">
        <v>2011</v>
      </c>
      <c r="AV951">
        <v>5</v>
      </c>
      <c r="AW951">
        <v>3</v>
      </c>
      <c r="AX951" t="s">
        <v>74</v>
      </c>
      <c r="AY951" t="s">
        <v>74</v>
      </c>
      <c r="AZ951" t="s">
        <v>74</v>
      </c>
      <c r="BA951" t="s">
        <v>74</v>
      </c>
      <c r="BB951">
        <v>383</v>
      </c>
      <c r="BC951">
        <v>389</v>
      </c>
      <c r="BD951" t="s">
        <v>74</v>
      </c>
      <c r="BE951" t="s">
        <v>17458</v>
      </c>
      <c r="BF951" t="str">
        <f>HYPERLINK("http://dx.doi.org/10.1016/j.polar.2011.01.001","http://dx.doi.org/10.1016/j.polar.2011.01.001")</f>
        <v>http://dx.doi.org/10.1016/j.polar.2011.01.001</v>
      </c>
      <c r="BG951" t="s">
        <v>74</v>
      </c>
      <c r="BH951" t="s">
        <v>74</v>
      </c>
      <c r="BI951">
        <v>7</v>
      </c>
      <c r="BJ951" t="s">
        <v>1551</v>
      </c>
      <c r="BK951" t="s">
        <v>100</v>
      </c>
      <c r="BL951" t="s">
        <v>1552</v>
      </c>
      <c r="BM951" t="s">
        <v>17409</v>
      </c>
      <c r="BN951" t="s">
        <v>74</v>
      </c>
      <c r="BO951" t="s">
        <v>316</v>
      </c>
      <c r="BP951" t="s">
        <v>74</v>
      </c>
      <c r="BQ951" t="s">
        <v>74</v>
      </c>
      <c r="BR951" t="s">
        <v>102</v>
      </c>
      <c r="BS951" t="s">
        <v>17459</v>
      </c>
      <c r="BT951" t="str">
        <f>HYPERLINK("https%3A%2F%2Fwww.webofscience.com%2Fwos%2Fwoscc%2Ffull-record%2FWOS:000209057900008","View Full Record in Web of Science")</f>
        <v>View Full Record in Web of Science</v>
      </c>
    </row>
    <row r="952" spans="1:72" x14ac:dyDescent="0.15">
      <c r="A952" t="s">
        <v>72</v>
      </c>
      <c r="B952" t="s">
        <v>17460</v>
      </c>
      <c r="C952" t="s">
        <v>74</v>
      </c>
      <c r="D952" t="s">
        <v>74</v>
      </c>
      <c r="E952" t="s">
        <v>74</v>
      </c>
      <c r="F952" t="s">
        <v>17461</v>
      </c>
      <c r="G952" t="s">
        <v>74</v>
      </c>
      <c r="H952" t="s">
        <v>74</v>
      </c>
      <c r="I952" t="s">
        <v>17462</v>
      </c>
      <c r="J952" t="s">
        <v>17463</v>
      </c>
      <c r="K952" t="s">
        <v>74</v>
      </c>
      <c r="L952" t="s">
        <v>74</v>
      </c>
      <c r="M952" t="s">
        <v>78</v>
      </c>
      <c r="N952" t="s">
        <v>810</v>
      </c>
      <c r="O952" t="s">
        <v>74</v>
      </c>
      <c r="P952" t="s">
        <v>74</v>
      </c>
      <c r="Q952" t="s">
        <v>74</v>
      </c>
      <c r="R952" t="s">
        <v>74</v>
      </c>
      <c r="S952" t="s">
        <v>74</v>
      </c>
      <c r="T952" t="s">
        <v>74</v>
      </c>
      <c r="U952" t="s">
        <v>74</v>
      </c>
      <c r="V952" t="s">
        <v>74</v>
      </c>
      <c r="W952" t="s">
        <v>74</v>
      </c>
      <c r="X952" t="s">
        <v>74</v>
      </c>
      <c r="Y952" t="s">
        <v>74</v>
      </c>
      <c r="Z952" t="s">
        <v>74</v>
      </c>
      <c r="AA952" t="s">
        <v>74</v>
      </c>
      <c r="AB952" t="s">
        <v>74</v>
      </c>
      <c r="AC952" t="s">
        <v>74</v>
      </c>
      <c r="AD952" t="s">
        <v>74</v>
      </c>
      <c r="AE952" t="s">
        <v>74</v>
      </c>
      <c r="AF952" t="s">
        <v>74</v>
      </c>
      <c r="AG952">
        <v>2</v>
      </c>
      <c r="AH952">
        <v>0</v>
      </c>
      <c r="AI952">
        <v>0</v>
      </c>
      <c r="AJ952">
        <v>0</v>
      </c>
      <c r="AK952">
        <v>1</v>
      </c>
      <c r="AL952" t="s">
        <v>10548</v>
      </c>
      <c r="AM952" t="s">
        <v>10549</v>
      </c>
      <c r="AN952" t="s">
        <v>10550</v>
      </c>
      <c r="AO952" t="s">
        <v>17464</v>
      </c>
      <c r="AP952" t="s">
        <v>74</v>
      </c>
      <c r="AQ952" t="s">
        <v>74</v>
      </c>
      <c r="AR952" t="s">
        <v>17465</v>
      </c>
      <c r="AS952" t="s">
        <v>17466</v>
      </c>
      <c r="AT952" t="s">
        <v>15792</v>
      </c>
      <c r="AU952">
        <v>2011</v>
      </c>
      <c r="AV952">
        <v>99</v>
      </c>
      <c r="AW952">
        <v>9</v>
      </c>
      <c r="AX952" t="s">
        <v>74</v>
      </c>
      <c r="AY952" t="s">
        <v>74</v>
      </c>
      <c r="AZ952" t="s">
        <v>339</v>
      </c>
      <c r="BA952" t="s">
        <v>74</v>
      </c>
      <c r="BB952">
        <v>1603</v>
      </c>
      <c r="BC952">
        <v>1606</v>
      </c>
      <c r="BD952" t="s">
        <v>74</v>
      </c>
      <c r="BE952" t="s">
        <v>17467</v>
      </c>
      <c r="BF952" t="str">
        <f>HYPERLINK("http://dx.doi.org/10.1109/JPROC.2011.2160109","http://dx.doi.org/10.1109/JPROC.2011.2160109")</f>
        <v>http://dx.doi.org/10.1109/JPROC.2011.2160109</v>
      </c>
      <c r="BG952" t="s">
        <v>74</v>
      </c>
      <c r="BH952" t="s">
        <v>74</v>
      </c>
      <c r="BI952">
        <v>4</v>
      </c>
      <c r="BJ952" t="s">
        <v>17468</v>
      </c>
      <c r="BK952" t="s">
        <v>100</v>
      </c>
      <c r="BL952" t="s">
        <v>17469</v>
      </c>
      <c r="BM952" t="s">
        <v>17470</v>
      </c>
      <c r="BN952" t="s">
        <v>74</v>
      </c>
      <c r="BO952" t="s">
        <v>74</v>
      </c>
      <c r="BP952" t="s">
        <v>74</v>
      </c>
      <c r="BQ952" t="s">
        <v>74</v>
      </c>
      <c r="BR952" t="s">
        <v>102</v>
      </c>
      <c r="BS952" t="s">
        <v>17471</v>
      </c>
      <c r="BT952" t="str">
        <f>HYPERLINK("https%3A%2F%2Fwww.webofscience.com%2Fwos%2Fwoscc%2Ffull-record%2FWOS:000294126300010","View Full Record in Web of Science")</f>
        <v>View Full Record in Web of Science</v>
      </c>
    </row>
    <row r="953" spans="1:72" x14ac:dyDescent="0.15">
      <c r="A953" t="s">
        <v>72</v>
      </c>
      <c r="B953" t="s">
        <v>17472</v>
      </c>
      <c r="C953" t="s">
        <v>74</v>
      </c>
      <c r="D953" t="s">
        <v>74</v>
      </c>
      <c r="E953" t="s">
        <v>74</v>
      </c>
      <c r="F953" t="s">
        <v>17473</v>
      </c>
      <c r="G953" t="s">
        <v>74</v>
      </c>
      <c r="H953" t="s">
        <v>74</v>
      </c>
      <c r="I953" t="s">
        <v>17474</v>
      </c>
      <c r="J953" t="s">
        <v>8925</v>
      </c>
      <c r="K953" t="s">
        <v>74</v>
      </c>
      <c r="L953" t="s">
        <v>74</v>
      </c>
      <c r="M953" t="s">
        <v>78</v>
      </c>
      <c r="N953" t="s">
        <v>1513</v>
      </c>
      <c r="O953" t="s">
        <v>74</v>
      </c>
      <c r="P953" t="s">
        <v>74</v>
      </c>
      <c r="Q953" t="s">
        <v>74</v>
      </c>
      <c r="R953" t="s">
        <v>74</v>
      </c>
      <c r="S953" t="s">
        <v>74</v>
      </c>
      <c r="T953" t="s">
        <v>17475</v>
      </c>
      <c r="U953" t="s">
        <v>17476</v>
      </c>
      <c r="V953" t="s">
        <v>17477</v>
      </c>
      <c r="W953" t="s">
        <v>17478</v>
      </c>
      <c r="X953" t="s">
        <v>17479</v>
      </c>
      <c r="Y953" t="s">
        <v>17480</v>
      </c>
      <c r="Z953" t="s">
        <v>17481</v>
      </c>
      <c r="AA953" t="s">
        <v>17482</v>
      </c>
      <c r="AB953" t="s">
        <v>17483</v>
      </c>
      <c r="AC953" t="s">
        <v>17484</v>
      </c>
      <c r="AD953" t="s">
        <v>1340</v>
      </c>
      <c r="AE953" t="s">
        <v>17485</v>
      </c>
      <c r="AF953" t="s">
        <v>74</v>
      </c>
      <c r="AG953">
        <v>64</v>
      </c>
      <c r="AH953">
        <v>30</v>
      </c>
      <c r="AI953">
        <v>32</v>
      </c>
      <c r="AJ953">
        <v>0</v>
      </c>
      <c r="AK953">
        <v>24</v>
      </c>
      <c r="AL953" t="s">
        <v>155</v>
      </c>
      <c r="AM953" t="s">
        <v>156</v>
      </c>
      <c r="AN953" t="s">
        <v>157</v>
      </c>
      <c r="AO953" t="s">
        <v>8938</v>
      </c>
      <c r="AP953" t="s">
        <v>74</v>
      </c>
      <c r="AQ953" t="s">
        <v>74</v>
      </c>
      <c r="AR953" t="s">
        <v>8939</v>
      </c>
      <c r="AS953" t="s">
        <v>8940</v>
      </c>
      <c r="AT953" t="s">
        <v>15792</v>
      </c>
      <c r="AU953">
        <v>2011</v>
      </c>
      <c r="AV953">
        <v>30</v>
      </c>
      <c r="AW953" t="s">
        <v>13925</v>
      </c>
      <c r="AX953" t="s">
        <v>74</v>
      </c>
      <c r="AY953" t="s">
        <v>74</v>
      </c>
      <c r="AZ953" t="s">
        <v>74</v>
      </c>
      <c r="BA953" t="s">
        <v>74</v>
      </c>
      <c r="BB953">
        <v>2422</v>
      </c>
      <c r="BC953">
        <v>2432</v>
      </c>
      <c r="BD953" t="s">
        <v>74</v>
      </c>
      <c r="BE953" t="s">
        <v>17486</v>
      </c>
      <c r="BF953" t="str">
        <f>HYPERLINK("http://dx.doi.org/10.1016/j.quascirev.2011.05.009","http://dx.doi.org/10.1016/j.quascirev.2011.05.009")</f>
        <v>http://dx.doi.org/10.1016/j.quascirev.2011.05.009</v>
      </c>
      <c r="BG953" t="s">
        <v>74</v>
      </c>
      <c r="BH953" t="s">
        <v>74</v>
      </c>
      <c r="BI953">
        <v>11</v>
      </c>
      <c r="BJ953" t="s">
        <v>226</v>
      </c>
      <c r="BK953" t="s">
        <v>100</v>
      </c>
      <c r="BL953" t="s">
        <v>227</v>
      </c>
      <c r="BM953" t="s">
        <v>15864</v>
      </c>
      <c r="BN953" t="s">
        <v>74</v>
      </c>
      <c r="BO953" t="s">
        <v>74</v>
      </c>
      <c r="BP953" t="s">
        <v>74</v>
      </c>
      <c r="BQ953" t="s">
        <v>74</v>
      </c>
      <c r="BR953" t="s">
        <v>102</v>
      </c>
      <c r="BS953" t="s">
        <v>17487</v>
      </c>
      <c r="BT953" t="str">
        <f>HYPERLINK("https%3A%2F%2Fwww.webofscience.com%2Fwos%2Fwoscc%2Ffull-record%2FWOS:000295387000005","View Full Record in Web of Science")</f>
        <v>View Full Record in Web of Science</v>
      </c>
    </row>
    <row r="954" spans="1:72" x14ac:dyDescent="0.15">
      <c r="A954" t="s">
        <v>72</v>
      </c>
      <c r="B954" t="s">
        <v>17488</v>
      </c>
      <c r="C954" t="s">
        <v>74</v>
      </c>
      <c r="D954" t="s">
        <v>74</v>
      </c>
      <c r="E954" t="s">
        <v>74</v>
      </c>
      <c r="F954" t="s">
        <v>17489</v>
      </c>
      <c r="G954" t="s">
        <v>74</v>
      </c>
      <c r="H954" t="s">
        <v>74</v>
      </c>
      <c r="I954" t="s">
        <v>17490</v>
      </c>
      <c r="J954" t="s">
        <v>8925</v>
      </c>
      <c r="K954" t="s">
        <v>74</v>
      </c>
      <c r="L954" t="s">
        <v>74</v>
      </c>
      <c r="M954" t="s">
        <v>78</v>
      </c>
      <c r="N954" t="s">
        <v>1513</v>
      </c>
      <c r="O954" t="s">
        <v>74</v>
      </c>
      <c r="P954" t="s">
        <v>74</v>
      </c>
      <c r="Q954" t="s">
        <v>74</v>
      </c>
      <c r="R954" t="s">
        <v>74</v>
      </c>
      <c r="S954" t="s">
        <v>74</v>
      </c>
      <c r="T954" t="s">
        <v>17491</v>
      </c>
      <c r="U954" t="s">
        <v>17492</v>
      </c>
      <c r="V954" t="s">
        <v>17493</v>
      </c>
      <c r="W954" t="s">
        <v>17494</v>
      </c>
      <c r="X954" t="s">
        <v>17495</v>
      </c>
      <c r="Y954" t="s">
        <v>17496</v>
      </c>
      <c r="Z954" t="s">
        <v>17497</v>
      </c>
      <c r="AA954" t="s">
        <v>17498</v>
      </c>
      <c r="AB954" t="s">
        <v>17499</v>
      </c>
      <c r="AC954" t="s">
        <v>17500</v>
      </c>
      <c r="AD954" t="s">
        <v>17501</v>
      </c>
      <c r="AE954" t="s">
        <v>17502</v>
      </c>
      <c r="AF954" t="s">
        <v>74</v>
      </c>
      <c r="AG954">
        <v>74</v>
      </c>
      <c r="AH954">
        <v>46</v>
      </c>
      <c r="AI954">
        <v>48</v>
      </c>
      <c r="AJ954">
        <v>0</v>
      </c>
      <c r="AK954">
        <v>37</v>
      </c>
      <c r="AL954" t="s">
        <v>155</v>
      </c>
      <c r="AM954" t="s">
        <v>156</v>
      </c>
      <c r="AN954" t="s">
        <v>157</v>
      </c>
      <c r="AO954" t="s">
        <v>8938</v>
      </c>
      <c r="AP954" t="s">
        <v>74</v>
      </c>
      <c r="AQ954" t="s">
        <v>74</v>
      </c>
      <c r="AR954" t="s">
        <v>8939</v>
      </c>
      <c r="AS954" t="s">
        <v>8940</v>
      </c>
      <c r="AT954" t="s">
        <v>15792</v>
      </c>
      <c r="AU954">
        <v>2011</v>
      </c>
      <c r="AV954">
        <v>30</v>
      </c>
      <c r="AW954" t="s">
        <v>13925</v>
      </c>
      <c r="AX954" t="s">
        <v>74</v>
      </c>
      <c r="AY954" t="s">
        <v>74</v>
      </c>
      <c r="AZ954" t="s">
        <v>74</v>
      </c>
      <c r="BA954" t="s">
        <v>74</v>
      </c>
      <c r="BB954">
        <v>2446</v>
      </c>
      <c r="BC954">
        <v>2458</v>
      </c>
      <c r="BD954" t="s">
        <v>74</v>
      </c>
      <c r="BE954" t="s">
        <v>17503</v>
      </c>
      <c r="BF954" t="str">
        <f>HYPERLINK("http://dx.doi.org/10.1016/j.quascirev.2011.04.002","http://dx.doi.org/10.1016/j.quascirev.2011.04.002")</f>
        <v>http://dx.doi.org/10.1016/j.quascirev.2011.04.002</v>
      </c>
      <c r="BG954" t="s">
        <v>74</v>
      </c>
      <c r="BH954" t="s">
        <v>74</v>
      </c>
      <c r="BI954">
        <v>13</v>
      </c>
      <c r="BJ954" t="s">
        <v>226</v>
      </c>
      <c r="BK954" t="s">
        <v>100</v>
      </c>
      <c r="BL954" t="s">
        <v>227</v>
      </c>
      <c r="BM954" t="s">
        <v>15864</v>
      </c>
      <c r="BN954" t="s">
        <v>74</v>
      </c>
      <c r="BO954" t="s">
        <v>74</v>
      </c>
      <c r="BP954" t="s">
        <v>74</v>
      </c>
      <c r="BQ954" t="s">
        <v>74</v>
      </c>
      <c r="BR954" t="s">
        <v>102</v>
      </c>
      <c r="BS954" t="s">
        <v>17504</v>
      </c>
      <c r="BT954" t="str">
        <f>HYPERLINK("https%3A%2F%2Fwww.webofscience.com%2Fwos%2Fwoscc%2Ffull-record%2FWOS:000295387000007","View Full Record in Web of Science")</f>
        <v>View Full Record in Web of Science</v>
      </c>
    </row>
    <row r="955" spans="1:72" x14ac:dyDescent="0.15">
      <c r="A955" t="s">
        <v>72</v>
      </c>
      <c r="B955" t="s">
        <v>17505</v>
      </c>
      <c r="C955" t="s">
        <v>74</v>
      </c>
      <c r="D955" t="s">
        <v>74</v>
      </c>
      <c r="E955" t="s">
        <v>74</v>
      </c>
      <c r="F955" t="s">
        <v>17506</v>
      </c>
      <c r="G955" t="s">
        <v>74</v>
      </c>
      <c r="H955" t="s">
        <v>74</v>
      </c>
      <c r="I955" t="s">
        <v>17507</v>
      </c>
      <c r="J955" t="s">
        <v>7882</v>
      </c>
      <c r="K955" t="s">
        <v>74</v>
      </c>
      <c r="L955" t="s">
        <v>74</v>
      </c>
      <c r="M955" t="s">
        <v>78</v>
      </c>
      <c r="N955" t="s">
        <v>79</v>
      </c>
      <c r="O955" t="s">
        <v>74</v>
      </c>
      <c r="P955" t="s">
        <v>74</v>
      </c>
      <c r="Q955" t="s">
        <v>74</v>
      </c>
      <c r="R955" t="s">
        <v>74</v>
      </c>
      <c r="S955" t="s">
        <v>74</v>
      </c>
      <c r="T955" t="s">
        <v>17508</v>
      </c>
      <c r="U955" t="s">
        <v>17509</v>
      </c>
      <c r="V955" t="s">
        <v>17510</v>
      </c>
      <c r="W955" t="s">
        <v>17511</v>
      </c>
      <c r="X955" t="s">
        <v>17512</v>
      </c>
      <c r="Y955" t="s">
        <v>17513</v>
      </c>
      <c r="Z955" t="s">
        <v>17514</v>
      </c>
      <c r="AA955" t="s">
        <v>17515</v>
      </c>
      <c r="AB955" t="s">
        <v>17516</v>
      </c>
      <c r="AC955" t="s">
        <v>17517</v>
      </c>
      <c r="AD955" t="s">
        <v>17518</v>
      </c>
      <c r="AE955" t="s">
        <v>17519</v>
      </c>
      <c r="AF955" t="s">
        <v>74</v>
      </c>
      <c r="AG955">
        <v>73</v>
      </c>
      <c r="AH955">
        <v>24</v>
      </c>
      <c r="AI955">
        <v>29</v>
      </c>
      <c r="AJ955">
        <v>4</v>
      </c>
      <c r="AK955">
        <v>88</v>
      </c>
      <c r="AL955" t="s">
        <v>3479</v>
      </c>
      <c r="AM955" t="s">
        <v>334</v>
      </c>
      <c r="AN955" t="s">
        <v>3480</v>
      </c>
      <c r="AO955" t="s">
        <v>7895</v>
      </c>
      <c r="AP955" t="s">
        <v>74</v>
      </c>
      <c r="AQ955" t="s">
        <v>74</v>
      </c>
      <c r="AR955" t="s">
        <v>7896</v>
      </c>
      <c r="AS955" t="s">
        <v>7897</v>
      </c>
      <c r="AT955" t="s">
        <v>16374</v>
      </c>
      <c r="AU955">
        <v>2011</v>
      </c>
      <c r="AV955">
        <v>409</v>
      </c>
      <c r="AW955">
        <v>19</v>
      </c>
      <c r="AX955" t="s">
        <v>74</v>
      </c>
      <c r="AY955" t="s">
        <v>74</v>
      </c>
      <c r="AZ955" t="s">
        <v>74</v>
      </c>
      <c r="BA955" t="s">
        <v>74</v>
      </c>
      <c r="BB955">
        <v>3902</v>
      </c>
      <c r="BC955">
        <v>3908</v>
      </c>
      <c r="BD955" t="s">
        <v>74</v>
      </c>
      <c r="BE955" t="s">
        <v>17520</v>
      </c>
      <c r="BF955" t="str">
        <f>HYPERLINK("http://dx.doi.org/10.1016/j.scitotenv.2011.06.010","http://dx.doi.org/10.1016/j.scitotenv.2011.06.010")</f>
        <v>http://dx.doi.org/10.1016/j.scitotenv.2011.06.010</v>
      </c>
      <c r="BG955" t="s">
        <v>74</v>
      </c>
      <c r="BH955" t="s">
        <v>74</v>
      </c>
      <c r="BI955">
        <v>7</v>
      </c>
      <c r="BJ955" t="s">
        <v>2924</v>
      </c>
      <c r="BK955" t="s">
        <v>100</v>
      </c>
      <c r="BL955" t="s">
        <v>2837</v>
      </c>
      <c r="BM955" t="s">
        <v>17521</v>
      </c>
      <c r="BN955">
        <v>21714989</v>
      </c>
      <c r="BO955" t="s">
        <v>74</v>
      </c>
      <c r="BP955" t="s">
        <v>74</v>
      </c>
      <c r="BQ955" t="s">
        <v>74</v>
      </c>
      <c r="BR955" t="s">
        <v>102</v>
      </c>
      <c r="BS955" t="s">
        <v>17522</v>
      </c>
      <c r="BT955" t="str">
        <f>HYPERLINK("https%3A%2F%2Fwww.webofscience.com%2Fwos%2Fwoscc%2Ffull-record%2FWOS:000295233900036","View Full Record in Web of Science")</f>
        <v>View Full Record in Web of Science</v>
      </c>
    </row>
    <row r="956" spans="1:72" x14ac:dyDescent="0.15">
      <c r="A956" t="s">
        <v>72</v>
      </c>
      <c r="B956" t="s">
        <v>17523</v>
      </c>
      <c r="C956" t="s">
        <v>74</v>
      </c>
      <c r="D956" t="s">
        <v>74</v>
      </c>
      <c r="E956" t="s">
        <v>74</v>
      </c>
      <c r="F956" t="s">
        <v>17524</v>
      </c>
      <c r="G956" t="s">
        <v>74</v>
      </c>
      <c r="H956" t="s">
        <v>17525</v>
      </c>
      <c r="I956" t="s">
        <v>17526</v>
      </c>
      <c r="J956" t="s">
        <v>17527</v>
      </c>
      <c r="K956" t="s">
        <v>74</v>
      </c>
      <c r="L956" t="s">
        <v>74</v>
      </c>
      <c r="M956" t="s">
        <v>78</v>
      </c>
      <c r="N956" t="s">
        <v>79</v>
      </c>
      <c r="O956" t="s">
        <v>74</v>
      </c>
      <c r="P956" t="s">
        <v>74</v>
      </c>
      <c r="Q956" t="s">
        <v>74</v>
      </c>
      <c r="R956" t="s">
        <v>74</v>
      </c>
      <c r="S956" t="s">
        <v>74</v>
      </c>
      <c r="T956" t="s">
        <v>74</v>
      </c>
      <c r="U956" t="s">
        <v>17528</v>
      </c>
      <c r="V956" t="s">
        <v>17529</v>
      </c>
      <c r="W956" t="s">
        <v>17530</v>
      </c>
      <c r="X956" t="s">
        <v>17531</v>
      </c>
      <c r="Y956" t="s">
        <v>17532</v>
      </c>
      <c r="Z956" t="s">
        <v>17533</v>
      </c>
      <c r="AA956" t="s">
        <v>17534</v>
      </c>
      <c r="AB956" t="s">
        <v>17535</v>
      </c>
      <c r="AC956" t="s">
        <v>74</v>
      </c>
      <c r="AD956" t="s">
        <v>74</v>
      </c>
      <c r="AE956" t="s">
        <v>74</v>
      </c>
      <c r="AF956" t="s">
        <v>74</v>
      </c>
      <c r="AG956">
        <v>24</v>
      </c>
      <c r="AH956">
        <v>27</v>
      </c>
      <c r="AI956">
        <v>28</v>
      </c>
      <c r="AJ956">
        <v>0</v>
      </c>
      <c r="AK956">
        <v>0</v>
      </c>
      <c r="AL956" t="s">
        <v>766</v>
      </c>
      <c r="AM956" t="s">
        <v>767</v>
      </c>
      <c r="AN956" t="s">
        <v>768</v>
      </c>
      <c r="AO956" t="s">
        <v>17536</v>
      </c>
      <c r="AP956" t="s">
        <v>17537</v>
      </c>
      <c r="AQ956" t="s">
        <v>74</v>
      </c>
      <c r="AR956" t="s">
        <v>17538</v>
      </c>
      <c r="AS956" t="s">
        <v>17539</v>
      </c>
      <c r="AT956" t="s">
        <v>15792</v>
      </c>
      <c r="AU956">
        <v>2011</v>
      </c>
      <c r="AV956">
        <v>12</v>
      </c>
      <c r="AW956" t="s">
        <v>74</v>
      </c>
      <c r="AX956" t="s">
        <v>74</v>
      </c>
      <c r="AY956" t="s">
        <v>74</v>
      </c>
      <c r="AZ956" t="s">
        <v>74</v>
      </c>
      <c r="BA956" t="s">
        <v>74</v>
      </c>
      <c r="BB956">
        <v>15</v>
      </c>
      <c r="BC956">
        <v>23</v>
      </c>
      <c r="BD956" t="s">
        <v>74</v>
      </c>
      <c r="BE956" t="s">
        <v>17540</v>
      </c>
      <c r="BF956" t="str">
        <f>HYPERLINK("http://dx.doi.org/10.5194/sd-12-15-2011","http://dx.doi.org/10.5194/sd-12-15-2011")</f>
        <v>http://dx.doi.org/10.5194/sd-12-15-2011</v>
      </c>
      <c r="BG956" t="s">
        <v>74</v>
      </c>
      <c r="BH956" t="s">
        <v>74</v>
      </c>
      <c r="BI956">
        <v>9</v>
      </c>
      <c r="BJ956" t="s">
        <v>287</v>
      </c>
      <c r="BK956" t="s">
        <v>1158</v>
      </c>
      <c r="BL956" t="s">
        <v>288</v>
      </c>
      <c r="BM956" t="s">
        <v>17541</v>
      </c>
      <c r="BN956" t="s">
        <v>74</v>
      </c>
      <c r="BO956" t="s">
        <v>1108</v>
      </c>
      <c r="BP956" t="s">
        <v>74</v>
      </c>
      <c r="BQ956" t="s">
        <v>74</v>
      </c>
      <c r="BR956" t="s">
        <v>102</v>
      </c>
      <c r="BS956" t="s">
        <v>17542</v>
      </c>
      <c r="BT956" t="str">
        <f>HYPERLINK("https%3A%2F%2Fwww.webofscience.com%2Fwos%2Fwoscc%2Ffull-record%2FWOS:000210343900003","View Full Record in Web of Science")</f>
        <v>View Full Record in Web of Science</v>
      </c>
    </row>
    <row r="957" spans="1:72" x14ac:dyDescent="0.15">
      <c r="A957" t="s">
        <v>72</v>
      </c>
      <c r="B957" t="s">
        <v>10628</v>
      </c>
      <c r="C957" t="s">
        <v>74</v>
      </c>
      <c r="D957" t="s">
        <v>74</v>
      </c>
      <c r="E957" t="s">
        <v>74</v>
      </c>
      <c r="F957" t="s">
        <v>10628</v>
      </c>
      <c r="G957" t="s">
        <v>74</v>
      </c>
      <c r="H957" t="s">
        <v>74</v>
      </c>
      <c r="I957" t="s">
        <v>17543</v>
      </c>
      <c r="J957" t="s">
        <v>17527</v>
      </c>
      <c r="K957" t="s">
        <v>74</v>
      </c>
      <c r="L957" t="s">
        <v>74</v>
      </c>
      <c r="M957" t="s">
        <v>78</v>
      </c>
      <c r="N957" t="s">
        <v>10118</v>
      </c>
      <c r="O957" t="s">
        <v>74</v>
      </c>
      <c r="P957" t="s">
        <v>74</v>
      </c>
      <c r="Q957" t="s">
        <v>74</v>
      </c>
      <c r="R957" t="s">
        <v>74</v>
      </c>
      <c r="S957" t="s">
        <v>74</v>
      </c>
      <c r="T957" t="s">
        <v>74</v>
      </c>
      <c r="U957" t="s">
        <v>74</v>
      </c>
      <c r="V957" t="s">
        <v>74</v>
      </c>
      <c r="W957" t="s">
        <v>74</v>
      </c>
      <c r="X957" t="s">
        <v>74</v>
      </c>
      <c r="Y957" t="s">
        <v>74</v>
      </c>
      <c r="Z957" t="s">
        <v>74</v>
      </c>
      <c r="AA957" t="s">
        <v>74</v>
      </c>
      <c r="AB957" t="s">
        <v>74</v>
      </c>
      <c r="AC957" t="s">
        <v>74</v>
      </c>
      <c r="AD957" t="s">
        <v>74</v>
      </c>
      <c r="AE957" t="s">
        <v>74</v>
      </c>
      <c r="AF957" t="s">
        <v>74</v>
      </c>
      <c r="AG957">
        <v>0</v>
      </c>
      <c r="AH957">
        <v>0</v>
      </c>
      <c r="AI957">
        <v>0</v>
      </c>
      <c r="AJ957">
        <v>0</v>
      </c>
      <c r="AK957">
        <v>0</v>
      </c>
      <c r="AL957" t="s">
        <v>766</v>
      </c>
      <c r="AM957" t="s">
        <v>767</v>
      </c>
      <c r="AN957" t="s">
        <v>768</v>
      </c>
      <c r="AO957" t="s">
        <v>17536</v>
      </c>
      <c r="AP957" t="s">
        <v>17537</v>
      </c>
      <c r="AQ957" t="s">
        <v>74</v>
      </c>
      <c r="AR957" t="s">
        <v>17538</v>
      </c>
      <c r="AS957" t="s">
        <v>17539</v>
      </c>
      <c r="AT957" t="s">
        <v>15792</v>
      </c>
      <c r="AU957">
        <v>2011</v>
      </c>
      <c r="AV957">
        <v>12</v>
      </c>
      <c r="AW957" t="s">
        <v>74</v>
      </c>
      <c r="AX957" t="s">
        <v>74</v>
      </c>
      <c r="AY957" t="s">
        <v>74</v>
      </c>
      <c r="AZ957" t="s">
        <v>74</v>
      </c>
      <c r="BA957" t="s">
        <v>74</v>
      </c>
      <c r="BB957">
        <v>58</v>
      </c>
      <c r="BC957" t="s">
        <v>1503</v>
      </c>
      <c r="BD957" t="s">
        <v>74</v>
      </c>
      <c r="BE957" t="s">
        <v>74</v>
      </c>
      <c r="BF957" t="s">
        <v>74</v>
      </c>
      <c r="BG957" t="s">
        <v>74</v>
      </c>
      <c r="BH957" t="s">
        <v>74</v>
      </c>
      <c r="BI957">
        <v>2</v>
      </c>
      <c r="BJ957" t="s">
        <v>287</v>
      </c>
      <c r="BK957" t="s">
        <v>1158</v>
      </c>
      <c r="BL957" t="s">
        <v>288</v>
      </c>
      <c r="BM957" t="s">
        <v>17541</v>
      </c>
      <c r="BN957" t="s">
        <v>74</v>
      </c>
      <c r="BO957" t="s">
        <v>74</v>
      </c>
      <c r="BP957" t="s">
        <v>74</v>
      </c>
      <c r="BQ957" t="s">
        <v>74</v>
      </c>
      <c r="BR957" t="s">
        <v>102</v>
      </c>
      <c r="BS957" t="s">
        <v>17544</v>
      </c>
      <c r="BT957" t="str">
        <f>HYPERLINK("https%3A%2F%2Fwww.webofscience.com%2Fwos%2Fwoscc%2Ffull-record%2FWOS:000210343900021","View Full Record in Web of Science")</f>
        <v>View Full Record in Web of Science</v>
      </c>
    </row>
    <row r="958" spans="1:72" x14ac:dyDescent="0.15">
      <c r="A958" t="s">
        <v>72</v>
      </c>
      <c r="B958" t="s">
        <v>17545</v>
      </c>
      <c r="C958" t="s">
        <v>74</v>
      </c>
      <c r="D958" t="s">
        <v>74</v>
      </c>
      <c r="E958" t="s">
        <v>74</v>
      </c>
      <c r="F958" t="s">
        <v>17546</v>
      </c>
      <c r="G958" t="s">
        <v>74</v>
      </c>
      <c r="H958" t="s">
        <v>74</v>
      </c>
      <c r="I958" t="s">
        <v>17547</v>
      </c>
      <c r="J958" t="s">
        <v>17548</v>
      </c>
      <c r="K958" t="s">
        <v>74</v>
      </c>
      <c r="L958" t="s">
        <v>74</v>
      </c>
      <c r="M958" t="s">
        <v>78</v>
      </c>
      <c r="N958" t="s">
        <v>79</v>
      </c>
      <c r="O958" t="s">
        <v>74</v>
      </c>
      <c r="P958" t="s">
        <v>74</v>
      </c>
      <c r="Q958" t="s">
        <v>74</v>
      </c>
      <c r="R958" t="s">
        <v>74</v>
      </c>
      <c r="S958" t="s">
        <v>74</v>
      </c>
      <c r="T958" t="s">
        <v>17549</v>
      </c>
      <c r="U958" t="s">
        <v>17550</v>
      </c>
      <c r="V958" t="s">
        <v>17551</v>
      </c>
      <c r="W958" t="s">
        <v>17552</v>
      </c>
      <c r="X958" t="s">
        <v>17553</v>
      </c>
      <c r="Y958" t="s">
        <v>17554</v>
      </c>
      <c r="Z958" t="s">
        <v>17555</v>
      </c>
      <c r="AA958" t="s">
        <v>17556</v>
      </c>
      <c r="AB958" t="s">
        <v>17557</v>
      </c>
      <c r="AC958" t="s">
        <v>17558</v>
      </c>
      <c r="AD958" t="s">
        <v>17559</v>
      </c>
      <c r="AE958" t="s">
        <v>17560</v>
      </c>
      <c r="AF958" t="s">
        <v>74</v>
      </c>
      <c r="AG958">
        <v>65</v>
      </c>
      <c r="AH958">
        <v>44</v>
      </c>
      <c r="AI958">
        <v>46</v>
      </c>
      <c r="AJ958">
        <v>3</v>
      </c>
      <c r="AK958">
        <v>56</v>
      </c>
      <c r="AL958" t="s">
        <v>10319</v>
      </c>
      <c r="AM958" t="s">
        <v>4967</v>
      </c>
      <c r="AN958" t="s">
        <v>10320</v>
      </c>
      <c r="AO958" t="s">
        <v>17561</v>
      </c>
      <c r="AP958" t="s">
        <v>74</v>
      </c>
      <c r="AQ958" t="s">
        <v>74</v>
      </c>
      <c r="AR958" t="s">
        <v>17562</v>
      </c>
      <c r="AS958" t="s">
        <v>17563</v>
      </c>
      <c r="AT958" t="s">
        <v>15792</v>
      </c>
      <c r="AU958">
        <v>2011</v>
      </c>
      <c r="AV958">
        <v>11</v>
      </c>
      <c r="AW958">
        <v>9</v>
      </c>
      <c r="AX958" t="s">
        <v>74</v>
      </c>
      <c r="AY958" t="s">
        <v>74</v>
      </c>
      <c r="AZ958" t="s">
        <v>74</v>
      </c>
      <c r="BA958" t="s">
        <v>74</v>
      </c>
      <c r="BB958">
        <v>8910</v>
      </c>
      <c r="BC958">
        <v>8929</v>
      </c>
      <c r="BD958" t="s">
        <v>74</v>
      </c>
      <c r="BE958" t="s">
        <v>17564</v>
      </c>
      <c r="BF958" t="str">
        <f>HYPERLINK("http://dx.doi.org/10.3390/s110908910","http://dx.doi.org/10.3390/s110908910")</f>
        <v>http://dx.doi.org/10.3390/s110908910</v>
      </c>
      <c r="BG958" t="s">
        <v>74</v>
      </c>
      <c r="BH958" t="s">
        <v>74</v>
      </c>
      <c r="BI958">
        <v>20</v>
      </c>
      <c r="BJ958" t="s">
        <v>17565</v>
      </c>
      <c r="BK958" t="s">
        <v>100</v>
      </c>
      <c r="BL958" t="s">
        <v>17566</v>
      </c>
      <c r="BM958" t="s">
        <v>17567</v>
      </c>
      <c r="BN958">
        <v>22164112</v>
      </c>
      <c r="BO958" t="s">
        <v>10328</v>
      </c>
      <c r="BP958" t="s">
        <v>74</v>
      </c>
      <c r="BQ958" t="s">
        <v>74</v>
      </c>
      <c r="BR958" t="s">
        <v>102</v>
      </c>
      <c r="BS958" t="s">
        <v>17568</v>
      </c>
      <c r="BT958" t="str">
        <f>HYPERLINK("https%3A%2F%2Fwww.webofscience.com%2Fwos%2Fwoscc%2Ffull-record%2FWOS:000295211700042","View Full Record in Web of Science")</f>
        <v>View Full Record in Web of Science</v>
      </c>
    </row>
    <row r="959" spans="1:72" x14ac:dyDescent="0.15">
      <c r="A959" t="s">
        <v>72</v>
      </c>
      <c r="B959" t="s">
        <v>17569</v>
      </c>
      <c r="C959" t="s">
        <v>74</v>
      </c>
      <c r="D959" t="s">
        <v>74</v>
      </c>
      <c r="E959" t="s">
        <v>74</v>
      </c>
      <c r="F959" t="s">
        <v>17570</v>
      </c>
      <c r="G959" t="s">
        <v>74</v>
      </c>
      <c r="H959" t="s">
        <v>74</v>
      </c>
      <c r="I959" t="s">
        <v>17571</v>
      </c>
      <c r="J959" t="s">
        <v>16205</v>
      </c>
      <c r="K959" t="s">
        <v>74</v>
      </c>
      <c r="L959" t="s">
        <v>74</v>
      </c>
      <c r="M959" t="s">
        <v>78</v>
      </c>
      <c r="N959" t="s">
        <v>1513</v>
      </c>
      <c r="O959" t="s">
        <v>74</v>
      </c>
      <c r="P959" t="s">
        <v>74</v>
      </c>
      <c r="Q959" t="s">
        <v>74</v>
      </c>
      <c r="R959" t="s">
        <v>74</v>
      </c>
      <c r="S959" t="s">
        <v>74</v>
      </c>
      <c r="T959" t="s">
        <v>17572</v>
      </c>
      <c r="U959" t="s">
        <v>17573</v>
      </c>
      <c r="V959" t="s">
        <v>17574</v>
      </c>
      <c r="W959" t="s">
        <v>17575</v>
      </c>
      <c r="X959" t="s">
        <v>17576</v>
      </c>
      <c r="Y959" t="s">
        <v>17577</v>
      </c>
      <c r="Z959" t="s">
        <v>17578</v>
      </c>
      <c r="AA959" t="s">
        <v>17579</v>
      </c>
      <c r="AB959" t="s">
        <v>17580</v>
      </c>
      <c r="AC959" t="s">
        <v>17581</v>
      </c>
      <c r="AD959" t="s">
        <v>17582</v>
      </c>
      <c r="AE959" t="s">
        <v>17583</v>
      </c>
      <c r="AF959" t="s">
        <v>74</v>
      </c>
      <c r="AG959">
        <v>42</v>
      </c>
      <c r="AH959">
        <v>28</v>
      </c>
      <c r="AI959">
        <v>29</v>
      </c>
      <c r="AJ959">
        <v>4</v>
      </c>
      <c r="AK959">
        <v>25</v>
      </c>
      <c r="AL959" t="s">
        <v>250</v>
      </c>
      <c r="AM959" t="s">
        <v>251</v>
      </c>
      <c r="AN959" t="s">
        <v>252</v>
      </c>
      <c r="AO959" t="s">
        <v>16214</v>
      </c>
      <c r="AP959" t="s">
        <v>16215</v>
      </c>
      <c r="AQ959" t="s">
        <v>74</v>
      </c>
      <c r="AR959" t="s">
        <v>16216</v>
      </c>
      <c r="AS959" t="s">
        <v>16217</v>
      </c>
      <c r="AT959" t="s">
        <v>15792</v>
      </c>
      <c r="AU959">
        <v>2011</v>
      </c>
      <c r="AV959">
        <v>32</v>
      </c>
      <c r="AW959" t="s">
        <v>16218</v>
      </c>
      <c r="AX959" t="s">
        <v>74</v>
      </c>
      <c r="AY959" t="s">
        <v>74</v>
      </c>
      <c r="AZ959" t="s">
        <v>339</v>
      </c>
      <c r="BA959" t="s">
        <v>74</v>
      </c>
      <c r="BB959">
        <v>417</v>
      </c>
      <c r="BC959">
        <v>435</v>
      </c>
      <c r="BD959" t="s">
        <v>74</v>
      </c>
      <c r="BE959" t="s">
        <v>17584</v>
      </c>
      <c r="BF959" t="str">
        <f>HYPERLINK("http://dx.doi.org/10.1007/s10712-011-9133-3","http://dx.doi.org/10.1007/s10712-011-9133-3")</f>
        <v>http://dx.doi.org/10.1007/s10712-011-9133-3</v>
      </c>
      <c r="BG959" t="s">
        <v>74</v>
      </c>
      <c r="BH959" t="s">
        <v>74</v>
      </c>
      <c r="BI959">
        <v>19</v>
      </c>
      <c r="BJ959" t="s">
        <v>164</v>
      </c>
      <c r="BK959" t="s">
        <v>100</v>
      </c>
      <c r="BL959" t="s">
        <v>164</v>
      </c>
      <c r="BM959" t="s">
        <v>16220</v>
      </c>
      <c r="BN959" t="s">
        <v>74</v>
      </c>
      <c r="BO959" t="s">
        <v>1796</v>
      </c>
      <c r="BP959" t="s">
        <v>74</v>
      </c>
      <c r="BQ959" t="s">
        <v>74</v>
      </c>
      <c r="BR959" t="s">
        <v>102</v>
      </c>
      <c r="BS959" t="s">
        <v>17585</v>
      </c>
      <c r="BT959" t="str">
        <f>HYPERLINK("https%3A%2F%2Fwww.webofscience.com%2Fwos%2Fwoscc%2Ffull-record%2FWOS:000295332800008","View Full Record in Web of Science")</f>
        <v>View Full Record in Web of Science</v>
      </c>
    </row>
    <row r="960" spans="1:72" x14ac:dyDescent="0.15">
      <c r="A960" t="s">
        <v>72</v>
      </c>
      <c r="B960" t="s">
        <v>17586</v>
      </c>
      <c r="C960" t="s">
        <v>74</v>
      </c>
      <c r="D960" t="s">
        <v>74</v>
      </c>
      <c r="E960" t="s">
        <v>74</v>
      </c>
      <c r="F960" t="s">
        <v>17587</v>
      </c>
      <c r="G960" t="s">
        <v>74</v>
      </c>
      <c r="H960" t="s">
        <v>74</v>
      </c>
      <c r="I960" t="s">
        <v>17588</v>
      </c>
      <c r="J960" t="s">
        <v>10351</v>
      </c>
      <c r="K960" t="s">
        <v>74</v>
      </c>
      <c r="L960" t="s">
        <v>74</v>
      </c>
      <c r="M960" t="s">
        <v>78</v>
      </c>
      <c r="N960" t="s">
        <v>1513</v>
      </c>
      <c r="O960" t="s">
        <v>74</v>
      </c>
      <c r="P960" t="s">
        <v>74</v>
      </c>
      <c r="Q960" t="s">
        <v>74</v>
      </c>
      <c r="R960" t="s">
        <v>74</v>
      </c>
      <c r="S960" t="s">
        <v>74</v>
      </c>
      <c r="T960" t="s">
        <v>74</v>
      </c>
      <c r="U960" t="s">
        <v>17589</v>
      </c>
      <c r="V960" t="s">
        <v>17590</v>
      </c>
      <c r="W960" t="s">
        <v>17591</v>
      </c>
      <c r="X960" t="s">
        <v>17592</v>
      </c>
      <c r="Y960" t="s">
        <v>17593</v>
      </c>
      <c r="Z960" t="s">
        <v>17594</v>
      </c>
      <c r="AA960" t="s">
        <v>17595</v>
      </c>
      <c r="AB960" t="s">
        <v>17596</v>
      </c>
      <c r="AC960" t="s">
        <v>17597</v>
      </c>
      <c r="AD960" t="s">
        <v>17598</v>
      </c>
      <c r="AE960" t="s">
        <v>17599</v>
      </c>
      <c r="AF960" t="s">
        <v>74</v>
      </c>
      <c r="AG960">
        <v>250</v>
      </c>
      <c r="AH960">
        <v>19</v>
      </c>
      <c r="AI960">
        <v>21</v>
      </c>
      <c r="AJ960">
        <v>1</v>
      </c>
      <c r="AK960">
        <v>52</v>
      </c>
      <c r="AL960" t="s">
        <v>2832</v>
      </c>
      <c r="AM960" t="s">
        <v>796</v>
      </c>
      <c r="AN960" t="s">
        <v>797</v>
      </c>
      <c r="AO960" t="s">
        <v>10359</v>
      </c>
      <c r="AP960" t="s">
        <v>10360</v>
      </c>
      <c r="AQ960" t="s">
        <v>74</v>
      </c>
      <c r="AR960" t="s">
        <v>10361</v>
      </c>
      <c r="AS960" t="s">
        <v>10362</v>
      </c>
      <c r="AT960" t="s">
        <v>15929</v>
      </c>
      <c r="AU960">
        <v>2011</v>
      </c>
      <c r="AV960">
        <v>2</v>
      </c>
      <c r="AW960">
        <v>5</v>
      </c>
      <c r="AX960" t="s">
        <v>74</v>
      </c>
      <c r="AY960" t="s">
        <v>74</v>
      </c>
      <c r="AZ960" t="s">
        <v>74</v>
      </c>
      <c r="BA960" t="s">
        <v>74</v>
      </c>
      <c r="BB960">
        <v>663</v>
      </c>
      <c r="BC960">
        <v>686</v>
      </c>
      <c r="BD960" t="s">
        <v>74</v>
      </c>
      <c r="BE960" t="s">
        <v>17600</v>
      </c>
      <c r="BF960" t="str">
        <f>HYPERLINK("http://dx.doi.org/10.1002/wcc.130","http://dx.doi.org/10.1002/wcc.130")</f>
        <v>http://dx.doi.org/10.1002/wcc.130</v>
      </c>
      <c r="BG960" t="s">
        <v>74</v>
      </c>
      <c r="BH960" t="s">
        <v>74</v>
      </c>
      <c r="BI960">
        <v>24</v>
      </c>
      <c r="BJ960" t="s">
        <v>10364</v>
      </c>
      <c r="BK960" t="s">
        <v>7768</v>
      </c>
      <c r="BL960" t="s">
        <v>1182</v>
      </c>
      <c r="BM960" t="s">
        <v>16054</v>
      </c>
      <c r="BN960" t="s">
        <v>74</v>
      </c>
      <c r="BO960" t="s">
        <v>74</v>
      </c>
      <c r="BP960" t="s">
        <v>74</v>
      </c>
      <c r="BQ960" t="s">
        <v>74</v>
      </c>
      <c r="BR960" t="s">
        <v>102</v>
      </c>
      <c r="BS960" t="s">
        <v>17601</v>
      </c>
      <c r="BT960" t="str">
        <f>HYPERLINK("https%3A%2F%2Fwww.webofscience.com%2Fwos%2Fwoscc%2Ffull-record%2FWOS:000295103400002","View Full Record in Web of Science")</f>
        <v>View Full Record in Web of Science</v>
      </c>
    </row>
    <row r="961" spans="1:72" x14ac:dyDescent="0.15">
      <c r="A961" t="s">
        <v>72</v>
      </c>
      <c r="B961" t="s">
        <v>17602</v>
      </c>
      <c r="C961" t="s">
        <v>74</v>
      </c>
      <c r="D961" t="s">
        <v>74</v>
      </c>
      <c r="E961" t="s">
        <v>74</v>
      </c>
      <c r="F961" t="s">
        <v>17603</v>
      </c>
      <c r="G961" t="s">
        <v>74</v>
      </c>
      <c r="H961" t="s">
        <v>74</v>
      </c>
      <c r="I961" t="s">
        <v>17604</v>
      </c>
      <c r="J961" t="s">
        <v>17605</v>
      </c>
      <c r="K961" t="s">
        <v>74</v>
      </c>
      <c r="L961" t="s">
        <v>74</v>
      </c>
      <c r="M961" t="s">
        <v>78</v>
      </c>
      <c r="N961" t="s">
        <v>79</v>
      </c>
      <c r="O961" t="s">
        <v>74</v>
      </c>
      <c r="P961" t="s">
        <v>74</v>
      </c>
      <c r="Q961" t="s">
        <v>74</v>
      </c>
      <c r="R961" t="s">
        <v>74</v>
      </c>
      <c r="S961" t="s">
        <v>74</v>
      </c>
      <c r="T961" t="s">
        <v>17606</v>
      </c>
      <c r="U961" t="s">
        <v>17607</v>
      </c>
      <c r="V961" t="s">
        <v>17608</v>
      </c>
      <c r="W961" t="s">
        <v>17609</v>
      </c>
      <c r="X961" t="s">
        <v>17610</v>
      </c>
      <c r="Y961" t="s">
        <v>17611</v>
      </c>
      <c r="Z961" t="s">
        <v>17612</v>
      </c>
      <c r="AA961" t="s">
        <v>17613</v>
      </c>
      <c r="AB961" t="s">
        <v>17614</v>
      </c>
      <c r="AC961" t="s">
        <v>17615</v>
      </c>
      <c r="AD961" t="s">
        <v>17615</v>
      </c>
      <c r="AE961" t="s">
        <v>17616</v>
      </c>
      <c r="AF961" t="s">
        <v>74</v>
      </c>
      <c r="AG961">
        <v>65</v>
      </c>
      <c r="AH961">
        <v>41</v>
      </c>
      <c r="AI961">
        <v>45</v>
      </c>
      <c r="AJ961">
        <v>4</v>
      </c>
      <c r="AK961">
        <v>98</v>
      </c>
      <c r="AL961" t="s">
        <v>3864</v>
      </c>
      <c r="AM961" t="s">
        <v>221</v>
      </c>
      <c r="AN961" t="s">
        <v>3865</v>
      </c>
      <c r="AO961" t="s">
        <v>17617</v>
      </c>
      <c r="AP961" t="s">
        <v>17618</v>
      </c>
      <c r="AQ961" t="s">
        <v>74</v>
      </c>
      <c r="AR961" t="s">
        <v>17619</v>
      </c>
      <c r="AS961" t="s">
        <v>17620</v>
      </c>
      <c r="AT961" t="s">
        <v>15792</v>
      </c>
      <c r="AU961">
        <v>2011</v>
      </c>
      <c r="AV961">
        <v>82</v>
      </c>
      <c r="AW961">
        <v>3</v>
      </c>
      <c r="AX961" t="s">
        <v>74</v>
      </c>
      <c r="AY961" t="s">
        <v>74</v>
      </c>
      <c r="AZ961" t="s">
        <v>74</v>
      </c>
      <c r="BA961" t="s">
        <v>74</v>
      </c>
      <c r="BB961">
        <v>445</v>
      </c>
      <c r="BC961">
        <v>451</v>
      </c>
      <c r="BD961" t="s">
        <v>74</v>
      </c>
      <c r="BE961" t="s">
        <v>17621</v>
      </c>
      <c r="BF961" t="str">
        <f>HYPERLINK("http://dx.doi.org/10.1016/j.anbehav.2011.06.006","http://dx.doi.org/10.1016/j.anbehav.2011.06.006")</f>
        <v>http://dx.doi.org/10.1016/j.anbehav.2011.06.006</v>
      </c>
      <c r="BG961" t="s">
        <v>74</v>
      </c>
      <c r="BH961" t="s">
        <v>74</v>
      </c>
      <c r="BI961">
        <v>7</v>
      </c>
      <c r="BJ961" t="s">
        <v>16899</v>
      </c>
      <c r="BK961" t="s">
        <v>100</v>
      </c>
      <c r="BL961" t="s">
        <v>16899</v>
      </c>
      <c r="BM961" t="s">
        <v>17622</v>
      </c>
      <c r="BN961" t="s">
        <v>74</v>
      </c>
      <c r="BO961" t="s">
        <v>1796</v>
      </c>
      <c r="BP961" t="s">
        <v>74</v>
      </c>
      <c r="BQ961" t="s">
        <v>74</v>
      </c>
      <c r="BR961" t="s">
        <v>102</v>
      </c>
      <c r="BS961" t="s">
        <v>17623</v>
      </c>
      <c r="BT961" t="str">
        <f>HYPERLINK("https%3A%2F%2Fwww.webofscience.com%2Fwos%2Fwoscc%2Ffull-record%2FWOS:000293884700003","View Full Record in Web of Science")</f>
        <v>View Full Record in Web of Science</v>
      </c>
    </row>
    <row r="962" spans="1:72" x14ac:dyDescent="0.15">
      <c r="A962" t="s">
        <v>72</v>
      </c>
      <c r="B962" t="s">
        <v>17624</v>
      </c>
      <c r="C962" t="s">
        <v>74</v>
      </c>
      <c r="D962" t="s">
        <v>74</v>
      </c>
      <c r="E962" t="s">
        <v>74</v>
      </c>
      <c r="F962" t="s">
        <v>17625</v>
      </c>
      <c r="G962" t="s">
        <v>74</v>
      </c>
      <c r="H962" t="s">
        <v>74</v>
      </c>
      <c r="I962" t="s">
        <v>17626</v>
      </c>
      <c r="J962" t="s">
        <v>2042</v>
      </c>
      <c r="K962" t="s">
        <v>74</v>
      </c>
      <c r="L962" t="s">
        <v>74</v>
      </c>
      <c r="M962" t="s">
        <v>78</v>
      </c>
      <c r="N962" t="s">
        <v>79</v>
      </c>
      <c r="O962" t="s">
        <v>74</v>
      </c>
      <c r="P962" t="s">
        <v>74</v>
      </c>
      <c r="Q962" t="s">
        <v>74</v>
      </c>
      <c r="R962" t="s">
        <v>74</v>
      </c>
      <c r="S962" t="s">
        <v>74</v>
      </c>
      <c r="T962" t="s">
        <v>17627</v>
      </c>
      <c r="U962" t="s">
        <v>17628</v>
      </c>
      <c r="V962" t="s">
        <v>17629</v>
      </c>
      <c r="W962" t="s">
        <v>17630</v>
      </c>
      <c r="X962" t="s">
        <v>17631</v>
      </c>
      <c r="Y962" t="s">
        <v>17632</v>
      </c>
      <c r="Z962" t="s">
        <v>17633</v>
      </c>
      <c r="AA962" t="s">
        <v>74</v>
      </c>
      <c r="AB962" t="s">
        <v>74</v>
      </c>
      <c r="AC962" t="s">
        <v>74</v>
      </c>
      <c r="AD962" t="s">
        <v>74</v>
      </c>
      <c r="AE962" t="s">
        <v>74</v>
      </c>
      <c r="AF962" t="s">
        <v>74</v>
      </c>
      <c r="AG962">
        <v>36</v>
      </c>
      <c r="AH962">
        <v>15</v>
      </c>
      <c r="AI962">
        <v>18</v>
      </c>
      <c r="AJ962">
        <v>0</v>
      </c>
      <c r="AK962">
        <v>18</v>
      </c>
      <c r="AL962" t="s">
        <v>155</v>
      </c>
      <c r="AM962" t="s">
        <v>156</v>
      </c>
      <c r="AN962" t="s">
        <v>157</v>
      </c>
      <c r="AO962" t="s">
        <v>2055</v>
      </c>
      <c r="AP962" t="s">
        <v>2056</v>
      </c>
      <c r="AQ962" t="s">
        <v>74</v>
      </c>
      <c r="AR962" t="s">
        <v>2057</v>
      </c>
      <c r="AS962" t="s">
        <v>2058</v>
      </c>
      <c r="AT962" t="s">
        <v>16374</v>
      </c>
      <c r="AU962">
        <v>2011</v>
      </c>
      <c r="AV962">
        <v>31</v>
      </c>
      <c r="AW962">
        <v>13</v>
      </c>
      <c r="AX962" t="s">
        <v>74</v>
      </c>
      <c r="AY962" t="s">
        <v>74</v>
      </c>
      <c r="AZ962" t="s">
        <v>74</v>
      </c>
      <c r="BA962" t="s">
        <v>74</v>
      </c>
      <c r="BB962">
        <v>1377</v>
      </c>
      <c r="BC962">
        <v>1383</v>
      </c>
      <c r="BD962" t="s">
        <v>74</v>
      </c>
      <c r="BE962" t="s">
        <v>17634</v>
      </c>
      <c r="BF962" t="str">
        <f>HYPERLINK("http://dx.doi.org/10.1016/j.csr.2011.05.017","http://dx.doi.org/10.1016/j.csr.2011.05.017")</f>
        <v>http://dx.doi.org/10.1016/j.csr.2011.05.017</v>
      </c>
      <c r="BG962" t="s">
        <v>74</v>
      </c>
      <c r="BH962" t="s">
        <v>74</v>
      </c>
      <c r="BI962">
        <v>7</v>
      </c>
      <c r="BJ962" t="s">
        <v>496</v>
      </c>
      <c r="BK962" t="s">
        <v>100</v>
      </c>
      <c r="BL962" t="s">
        <v>496</v>
      </c>
      <c r="BM962" t="s">
        <v>17635</v>
      </c>
      <c r="BN962" t="s">
        <v>74</v>
      </c>
      <c r="BO962" t="s">
        <v>342</v>
      </c>
      <c r="BP962" t="s">
        <v>74</v>
      </c>
      <c r="BQ962" t="s">
        <v>74</v>
      </c>
      <c r="BR962" t="s">
        <v>102</v>
      </c>
      <c r="BS962" t="s">
        <v>17636</v>
      </c>
      <c r="BT962" t="str">
        <f>HYPERLINK("https%3A%2F%2Fwww.webofscience.com%2Fwos%2Fwoscc%2Ffull-record%2FWOS:000294034900006","View Full Record in Web of Science")</f>
        <v>View Full Record in Web of Science</v>
      </c>
    </row>
    <row r="963" spans="1:72" x14ac:dyDescent="0.15">
      <c r="A963" t="s">
        <v>72</v>
      </c>
      <c r="B963" t="s">
        <v>17637</v>
      </c>
      <c r="C963" t="s">
        <v>74</v>
      </c>
      <c r="D963" t="s">
        <v>74</v>
      </c>
      <c r="E963" t="s">
        <v>74</v>
      </c>
      <c r="F963" t="s">
        <v>17638</v>
      </c>
      <c r="G963" t="s">
        <v>74</v>
      </c>
      <c r="H963" t="s">
        <v>74</v>
      </c>
      <c r="I963" t="s">
        <v>17639</v>
      </c>
      <c r="J963" t="s">
        <v>17640</v>
      </c>
      <c r="K963" t="s">
        <v>74</v>
      </c>
      <c r="L963" t="s">
        <v>74</v>
      </c>
      <c r="M963" t="s">
        <v>78</v>
      </c>
      <c r="N963" t="s">
        <v>79</v>
      </c>
      <c r="O963" t="s">
        <v>74</v>
      </c>
      <c r="P963" t="s">
        <v>74</v>
      </c>
      <c r="Q963" t="s">
        <v>74</v>
      </c>
      <c r="R963" t="s">
        <v>74</v>
      </c>
      <c r="S963" t="s">
        <v>74</v>
      </c>
      <c r="T963" t="s">
        <v>17641</v>
      </c>
      <c r="U963" t="s">
        <v>17642</v>
      </c>
      <c r="V963" t="s">
        <v>17643</v>
      </c>
      <c r="W963" t="s">
        <v>17644</v>
      </c>
      <c r="X963" t="s">
        <v>17645</v>
      </c>
      <c r="Y963" t="s">
        <v>17646</v>
      </c>
      <c r="Z963" t="s">
        <v>17647</v>
      </c>
      <c r="AA963" t="s">
        <v>74</v>
      </c>
      <c r="AB963" t="s">
        <v>74</v>
      </c>
      <c r="AC963" t="s">
        <v>17648</v>
      </c>
      <c r="AD963" t="s">
        <v>10095</v>
      </c>
      <c r="AE963" t="s">
        <v>17649</v>
      </c>
      <c r="AF963" t="s">
        <v>74</v>
      </c>
      <c r="AG963">
        <v>43</v>
      </c>
      <c r="AH963">
        <v>2</v>
      </c>
      <c r="AI963">
        <v>2</v>
      </c>
      <c r="AJ963">
        <v>0</v>
      </c>
      <c r="AK963">
        <v>11</v>
      </c>
      <c r="AL963" t="s">
        <v>250</v>
      </c>
      <c r="AM963" t="s">
        <v>251</v>
      </c>
      <c r="AN963" t="s">
        <v>252</v>
      </c>
      <c r="AO963" t="s">
        <v>17650</v>
      </c>
      <c r="AP963" t="s">
        <v>74</v>
      </c>
      <c r="AQ963" t="s">
        <v>74</v>
      </c>
      <c r="AR963" t="s">
        <v>17651</v>
      </c>
      <c r="AS963" t="s">
        <v>17652</v>
      </c>
      <c r="AT963" t="s">
        <v>15792</v>
      </c>
      <c r="AU963">
        <v>2011</v>
      </c>
      <c r="AV963">
        <v>32</v>
      </c>
      <c r="AW963">
        <v>3</v>
      </c>
      <c r="AX963" t="s">
        <v>74</v>
      </c>
      <c r="AY963" t="s">
        <v>74</v>
      </c>
      <c r="AZ963" t="s">
        <v>74</v>
      </c>
      <c r="BA963" t="s">
        <v>74</v>
      </c>
      <c r="BB963">
        <v>383</v>
      </c>
      <c r="BC963">
        <v>395</v>
      </c>
      <c r="BD963" t="s">
        <v>74</v>
      </c>
      <c r="BE963" t="s">
        <v>17653</v>
      </c>
      <c r="BF963" t="str">
        <f>HYPERLINK("http://dx.doi.org/10.1007/s11001-011-9115-3","http://dx.doi.org/10.1007/s11001-011-9115-3")</f>
        <v>http://dx.doi.org/10.1007/s11001-011-9115-3</v>
      </c>
      <c r="BG963" t="s">
        <v>74</v>
      </c>
      <c r="BH963" t="s">
        <v>74</v>
      </c>
      <c r="BI963">
        <v>13</v>
      </c>
      <c r="BJ963" t="s">
        <v>17654</v>
      </c>
      <c r="BK963" t="s">
        <v>100</v>
      </c>
      <c r="BL963" t="s">
        <v>17654</v>
      </c>
      <c r="BM963" t="s">
        <v>17655</v>
      </c>
      <c r="BN963" t="s">
        <v>74</v>
      </c>
      <c r="BO963" t="s">
        <v>342</v>
      </c>
      <c r="BP963" t="s">
        <v>74</v>
      </c>
      <c r="BQ963" t="s">
        <v>74</v>
      </c>
      <c r="BR963" t="s">
        <v>102</v>
      </c>
      <c r="BS963" t="s">
        <v>17656</v>
      </c>
      <c r="BT963" t="str">
        <f>HYPERLINK("https%3A%2F%2Fwww.webofscience.com%2Fwos%2Fwoscc%2Ffull-record%2FWOS:000294015000003","View Full Record in Web of Science")</f>
        <v>View Full Record in Web of Science</v>
      </c>
    </row>
    <row r="964" spans="1:72" x14ac:dyDescent="0.15">
      <c r="A964" t="s">
        <v>72</v>
      </c>
      <c r="B964" t="s">
        <v>17657</v>
      </c>
      <c r="C964" t="s">
        <v>74</v>
      </c>
      <c r="D964" t="s">
        <v>74</v>
      </c>
      <c r="E964" t="s">
        <v>74</v>
      </c>
      <c r="F964" t="s">
        <v>17658</v>
      </c>
      <c r="G964" t="s">
        <v>74</v>
      </c>
      <c r="H964" t="s">
        <v>74</v>
      </c>
      <c r="I964" t="s">
        <v>17659</v>
      </c>
      <c r="J964" t="s">
        <v>17660</v>
      </c>
      <c r="K964" t="s">
        <v>74</v>
      </c>
      <c r="L964" t="s">
        <v>74</v>
      </c>
      <c r="M964" t="s">
        <v>78</v>
      </c>
      <c r="N964" t="s">
        <v>79</v>
      </c>
      <c r="O964" t="s">
        <v>74</v>
      </c>
      <c r="P964" t="s">
        <v>74</v>
      </c>
      <c r="Q964" t="s">
        <v>74</v>
      </c>
      <c r="R964" t="s">
        <v>74</v>
      </c>
      <c r="S964" t="s">
        <v>74</v>
      </c>
      <c r="T964" t="s">
        <v>17661</v>
      </c>
      <c r="U964" t="s">
        <v>17662</v>
      </c>
      <c r="V964" t="s">
        <v>17663</v>
      </c>
      <c r="W964" t="s">
        <v>17664</v>
      </c>
      <c r="X964" t="s">
        <v>17665</v>
      </c>
      <c r="Y964" t="s">
        <v>17666</v>
      </c>
      <c r="Z964" t="s">
        <v>17667</v>
      </c>
      <c r="AA964" t="s">
        <v>17668</v>
      </c>
      <c r="AB964" t="s">
        <v>17669</v>
      </c>
      <c r="AC964" t="s">
        <v>74</v>
      </c>
      <c r="AD964" t="s">
        <v>74</v>
      </c>
      <c r="AE964" t="s">
        <v>74</v>
      </c>
      <c r="AF964" t="s">
        <v>74</v>
      </c>
      <c r="AG964">
        <v>31</v>
      </c>
      <c r="AH964">
        <v>2</v>
      </c>
      <c r="AI964">
        <v>2</v>
      </c>
      <c r="AJ964">
        <v>0</v>
      </c>
      <c r="AK964">
        <v>8</v>
      </c>
      <c r="AL964" t="s">
        <v>17670</v>
      </c>
      <c r="AM964" t="s">
        <v>17671</v>
      </c>
      <c r="AN964" t="s">
        <v>17672</v>
      </c>
      <c r="AO964" t="s">
        <v>17673</v>
      </c>
      <c r="AP964" t="s">
        <v>74</v>
      </c>
      <c r="AQ964" t="s">
        <v>74</v>
      </c>
      <c r="AR964" t="s">
        <v>17674</v>
      </c>
      <c r="AS964" t="s">
        <v>17675</v>
      </c>
      <c r="AT964" t="s">
        <v>15792</v>
      </c>
      <c r="AU964">
        <v>2011</v>
      </c>
      <c r="AV964">
        <v>56</v>
      </c>
      <c r="AW964">
        <v>3</v>
      </c>
      <c r="AX964" t="s">
        <v>74</v>
      </c>
      <c r="AY964" t="s">
        <v>74</v>
      </c>
      <c r="AZ964" t="s">
        <v>74</v>
      </c>
      <c r="BA964" t="s">
        <v>74</v>
      </c>
      <c r="BB964">
        <v>305</v>
      </c>
      <c r="BC964">
        <v>309</v>
      </c>
      <c r="BD964" t="s">
        <v>74</v>
      </c>
      <c r="BE964" t="s">
        <v>17676</v>
      </c>
      <c r="BF964" t="str">
        <f>HYPERLINK("http://dx.doi.org/10.2478/s11686-011-0061-7","http://dx.doi.org/10.2478/s11686-011-0061-7")</f>
        <v>http://dx.doi.org/10.2478/s11686-011-0061-7</v>
      </c>
      <c r="BG964" t="s">
        <v>74</v>
      </c>
      <c r="BH964" t="s">
        <v>74</v>
      </c>
      <c r="BI964">
        <v>5</v>
      </c>
      <c r="BJ964" t="s">
        <v>17677</v>
      </c>
      <c r="BK964" t="s">
        <v>100</v>
      </c>
      <c r="BL964" t="s">
        <v>17677</v>
      </c>
      <c r="BM964" t="s">
        <v>17678</v>
      </c>
      <c r="BN964" t="s">
        <v>74</v>
      </c>
      <c r="BO964" t="s">
        <v>316</v>
      </c>
      <c r="BP964" t="s">
        <v>74</v>
      </c>
      <c r="BQ964" t="s">
        <v>74</v>
      </c>
      <c r="BR964" t="s">
        <v>102</v>
      </c>
      <c r="BS964" t="s">
        <v>17679</v>
      </c>
      <c r="BT964" t="str">
        <f>HYPERLINK("https%3A%2F%2Fwww.webofscience.com%2Fwos%2Fwoscc%2Ffull-record%2FWOS:000293558200011","View Full Record in Web of Science")</f>
        <v>View Full Record in Web of Science</v>
      </c>
    </row>
    <row r="965" spans="1:72" x14ac:dyDescent="0.15">
      <c r="A965" t="s">
        <v>72</v>
      </c>
      <c r="B965" t="s">
        <v>17680</v>
      </c>
      <c r="C965" t="s">
        <v>74</v>
      </c>
      <c r="D965" t="s">
        <v>74</v>
      </c>
      <c r="E965" t="s">
        <v>74</v>
      </c>
      <c r="F965" t="s">
        <v>17681</v>
      </c>
      <c r="G965" t="s">
        <v>74</v>
      </c>
      <c r="H965" t="s">
        <v>74</v>
      </c>
      <c r="I965" t="s">
        <v>17682</v>
      </c>
      <c r="J965" t="s">
        <v>17319</v>
      </c>
      <c r="K965" t="s">
        <v>74</v>
      </c>
      <c r="L965" t="s">
        <v>74</v>
      </c>
      <c r="M965" t="s">
        <v>78</v>
      </c>
      <c r="N965" t="s">
        <v>79</v>
      </c>
      <c r="O965" t="s">
        <v>74</v>
      </c>
      <c r="P965" t="s">
        <v>74</v>
      </c>
      <c r="Q965" t="s">
        <v>74</v>
      </c>
      <c r="R965" t="s">
        <v>74</v>
      </c>
      <c r="S965" t="s">
        <v>74</v>
      </c>
      <c r="T965" t="s">
        <v>17683</v>
      </c>
      <c r="U965" t="s">
        <v>17684</v>
      </c>
      <c r="V965" t="s">
        <v>17685</v>
      </c>
      <c r="W965" t="s">
        <v>17686</v>
      </c>
      <c r="X965" t="s">
        <v>17687</v>
      </c>
      <c r="Y965" t="s">
        <v>17688</v>
      </c>
      <c r="Z965" t="s">
        <v>17689</v>
      </c>
      <c r="AA965" t="s">
        <v>17690</v>
      </c>
      <c r="AB965" t="s">
        <v>17691</v>
      </c>
      <c r="AC965" t="s">
        <v>17692</v>
      </c>
      <c r="AD965" t="s">
        <v>17693</v>
      </c>
      <c r="AE965" t="s">
        <v>17694</v>
      </c>
      <c r="AF965" t="s">
        <v>74</v>
      </c>
      <c r="AG965">
        <v>43</v>
      </c>
      <c r="AH965">
        <v>21</v>
      </c>
      <c r="AI965">
        <v>23</v>
      </c>
      <c r="AJ965">
        <v>0</v>
      </c>
      <c r="AK965">
        <v>22</v>
      </c>
      <c r="AL965" t="s">
        <v>2832</v>
      </c>
      <c r="AM965" t="s">
        <v>796</v>
      </c>
      <c r="AN965" t="s">
        <v>797</v>
      </c>
      <c r="AO965" t="s">
        <v>17330</v>
      </c>
      <c r="AP965" t="s">
        <v>17331</v>
      </c>
      <c r="AQ965" t="s">
        <v>74</v>
      </c>
      <c r="AR965" t="s">
        <v>17332</v>
      </c>
      <c r="AS965" t="s">
        <v>17333</v>
      </c>
      <c r="AT965" t="s">
        <v>15792</v>
      </c>
      <c r="AU965">
        <v>2011</v>
      </c>
      <c r="AV965">
        <v>32</v>
      </c>
      <c r="AW965">
        <v>3</v>
      </c>
      <c r="AX965" t="s">
        <v>74</v>
      </c>
      <c r="AY965" t="s">
        <v>74</v>
      </c>
      <c r="AZ965" t="s">
        <v>74</v>
      </c>
      <c r="BA965" t="s">
        <v>74</v>
      </c>
      <c r="BB965">
        <v>320</v>
      </c>
      <c r="BC965">
        <v>334</v>
      </c>
      <c r="BD965" t="s">
        <v>74</v>
      </c>
      <c r="BE965" t="s">
        <v>17695</v>
      </c>
      <c r="BF965" t="str">
        <f>HYPERLINK("http://dx.doi.org/10.1111/j.1439-0485.2011.00472.x","http://dx.doi.org/10.1111/j.1439-0485.2011.00472.x")</f>
        <v>http://dx.doi.org/10.1111/j.1439-0485.2011.00472.x</v>
      </c>
      <c r="BG965" t="s">
        <v>74</v>
      </c>
      <c r="BH965" t="s">
        <v>74</v>
      </c>
      <c r="BI965">
        <v>15</v>
      </c>
      <c r="BJ965" t="s">
        <v>1015</v>
      </c>
      <c r="BK965" t="s">
        <v>100</v>
      </c>
      <c r="BL965" t="s">
        <v>1015</v>
      </c>
      <c r="BM965" t="s">
        <v>17335</v>
      </c>
      <c r="BN965" t="s">
        <v>74</v>
      </c>
      <c r="BO965" t="s">
        <v>74</v>
      </c>
      <c r="BP965" t="s">
        <v>74</v>
      </c>
      <c r="BQ965" t="s">
        <v>74</v>
      </c>
      <c r="BR965" t="s">
        <v>102</v>
      </c>
      <c r="BS965" t="s">
        <v>17696</v>
      </c>
      <c r="BT965" t="str">
        <f>HYPERLINK("https%3A%2F%2Fwww.webofscience.com%2Fwos%2Fwoscc%2Ffull-record%2FWOS:000293560400008","View Full Record in Web of Science")</f>
        <v>View Full Record in Web of Science</v>
      </c>
    </row>
    <row r="966" spans="1:72" x14ac:dyDescent="0.15">
      <c r="A966" t="s">
        <v>72</v>
      </c>
      <c r="B966" t="s">
        <v>17697</v>
      </c>
      <c r="C966" t="s">
        <v>74</v>
      </c>
      <c r="D966" t="s">
        <v>74</v>
      </c>
      <c r="E966" t="s">
        <v>74</v>
      </c>
      <c r="F966" t="s">
        <v>17698</v>
      </c>
      <c r="G966" t="s">
        <v>74</v>
      </c>
      <c r="H966" t="s">
        <v>74</v>
      </c>
      <c r="I966" t="s">
        <v>17699</v>
      </c>
      <c r="J966" t="s">
        <v>2376</v>
      </c>
      <c r="K966" t="s">
        <v>74</v>
      </c>
      <c r="L966" t="s">
        <v>74</v>
      </c>
      <c r="M966" t="s">
        <v>78</v>
      </c>
      <c r="N966" t="s">
        <v>79</v>
      </c>
      <c r="O966" t="s">
        <v>74</v>
      </c>
      <c r="P966" t="s">
        <v>74</v>
      </c>
      <c r="Q966" t="s">
        <v>74</v>
      </c>
      <c r="R966" t="s">
        <v>74</v>
      </c>
      <c r="S966" t="s">
        <v>74</v>
      </c>
      <c r="T966" t="s">
        <v>17700</v>
      </c>
      <c r="U966" t="s">
        <v>17701</v>
      </c>
      <c r="V966" t="s">
        <v>17702</v>
      </c>
      <c r="W966" t="s">
        <v>17703</v>
      </c>
      <c r="X966" t="s">
        <v>17704</v>
      </c>
      <c r="Y966" t="s">
        <v>17705</v>
      </c>
      <c r="Z966" t="s">
        <v>17706</v>
      </c>
      <c r="AA966" t="s">
        <v>17707</v>
      </c>
      <c r="AB966" t="s">
        <v>17708</v>
      </c>
      <c r="AC966" t="s">
        <v>17709</v>
      </c>
      <c r="AD966" t="s">
        <v>17710</v>
      </c>
      <c r="AE966" t="s">
        <v>17711</v>
      </c>
      <c r="AF966" t="s">
        <v>74</v>
      </c>
      <c r="AG966">
        <v>92</v>
      </c>
      <c r="AH966">
        <v>95</v>
      </c>
      <c r="AI966">
        <v>101</v>
      </c>
      <c r="AJ966">
        <v>2</v>
      </c>
      <c r="AK966">
        <v>52</v>
      </c>
      <c r="AL966" t="s">
        <v>155</v>
      </c>
      <c r="AM966" t="s">
        <v>156</v>
      </c>
      <c r="AN966" t="s">
        <v>157</v>
      </c>
      <c r="AO966" t="s">
        <v>2387</v>
      </c>
      <c r="AP966" t="s">
        <v>2388</v>
      </c>
      <c r="AQ966" t="s">
        <v>74</v>
      </c>
      <c r="AR966" t="s">
        <v>2389</v>
      </c>
      <c r="AS966" t="s">
        <v>2390</v>
      </c>
      <c r="AT966" t="s">
        <v>15792</v>
      </c>
      <c r="AU966">
        <v>2011</v>
      </c>
      <c r="AV966">
        <v>58</v>
      </c>
      <c r="AW966" t="s">
        <v>16980</v>
      </c>
      <c r="AX966" t="s">
        <v>74</v>
      </c>
      <c r="AY966" t="s">
        <v>74</v>
      </c>
      <c r="AZ966" t="s">
        <v>74</v>
      </c>
      <c r="BA966" t="s">
        <v>74</v>
      </c>
      <c r="BB966">
        <v>1837</v>
      </c>
      <c r="BC966">
        <v>1847</v>
      </c>
      <c r="BD966" t="s">
        <v>74</v>
      </c>
      <c r="BE966" t="s">
        <v>17712</v>
      </c>
      <c r="BF966" t="str">
        <f>HYPERLINK("http://dx.doi.org/10.1016/j.dsr2.2010.10.063","http://dx.doi.org/10.1016/j.dsr2.2010.10.063")</f>
        <v>http://dx.doi.org/10.1016/j.dsr2.2010.10.063</v>
      </c>
      <c r="BG966" t="s">
        <v>74</v>
      </c>
      <c r="BH966" t="s">
        <v>74</v>
      </c>
      <c r="BI966">
        <v>11</v>
      </c>
      <c r="BJ966" t="s">
        <v>496</v>
      </c>
      <c r="BK966" t="s">
        <v>100</v>
      </c>
      <c r="BL966" t="s">
        <v>496</v>
      </c>
      <c r="BM966" t="s">
        <v>16982</v>
      </c>
      <c r="BN966" t="s">
        <v>74</v>
      </c>
      <c r="BO966" t="s">
        <v>74</v>
      </c>
      <c r="BP966" t="s">
        <v>74</v>
      </c>
      <c r="BQ966" t="s">
        <v>74</v>
      </c>
      <c r="BR966" t="s">
        <v>102</v>
      </c>
      <c r="BS966" t="s">
        <v>17713</v>
      </c>
      <c r="BT966" t="str">
        <f>HYPERLINK("https%3A%2F%2Fwww.webofscience.com%2Fwos%2Fwoscc%2Ffull-record%2FWOS:000293480300009","View Full Record in Web of Science")</f>
        <v>View Full Record in Web of Science</v>
      </c>
    </row>
    <row r="967" spans="1:72" x14ac:dyDescent="0.15">
      <c r="A967" t="s">
        <v>72</v>
      </c>
      <c r="B967" t="s">
        <v>17714</v>
      </c>
      <c r="C967" t="s">
        <v>74</v>
      </c>
      <c r="D967" t="s">
        <v>74</v>
      </c>
      <c r="E967" t="s">
        <v>74</v>
      </c>
      <c r="F967" t="s">
        <v>17715</v>
      </c>
      <c r="G967" t="s">
        <v>74</v>
      </c>
      <c r="H967" t="s">
        <v>74</v>
      </c>
      <c r="I967" t="s">
        <v>17716</v>
      </c>
      <c r="J967" t="s">
        <v>17717</v>
      </c>
      <c r="K967" t="s">
        <v>74</v>
      </c>
      <c r="L967" t="s">
        <v>74</v>
      </c>
      <c r="M967" t="s">
        <v>78</v>
      </c>
      <c r="N967" t="s">
        <v>79</v>
      </c>
      <c r="O967" t="s">
        <v>74</v>
      </c>
      <c r="P967" t="s">
        <v>74</v>
      </c>
      <c r="Q967" t="s">
        <v>74</v>
      </c>
      <c r="R967" t="s">
        <v>74</v>
      </c>
      <c r="S967" t="s">
        <v>74</v>
      </c>
      <c r="T967" t="s">
        <v>17718</v>
      </c>
      <c r="U967" t="s">
        <v>17719</v>
      </c>
      <c r="V967" t="s">
        <v>17720</v>
      </c>
      <c r="W967" t="s">
        <v>17721</v>
      </c>
      <c r="X967" t="s">
        <v>17722</v>
      </c>
      <c r="Y967" t="s">
        <v>17723</v>
      </c>
      <c r="Z967" t="s">
        <v>17724</v>
      </c>
      <c r="AA967" t="s">
        <v>74</v>
      </c>
      <c r="AB967" t="s">
        <v>74</v>
      </c>
      <c r="AC967" t="s">
        <v>17725</v>
      </c>
      <c r="AD967" t="s">
        <v>17726</v>
      </c>
      <c r="AE967" t="s">
        <v>17727</v>
      </c>
      <c r="AF967" t="s">
        <v>74</v>
      </c>
      <c r="AG967">
        <v>43</v>
      </c>
      <c r="AH967">
        <v>27</v>
      </c>
      <c r="AI967">
        <v>27</v>
      </c>
      <c r="AJ967">
        <v>0</v>
      </c>
      <c r="AK967">
        <v>26</v>
      </c>
      <c r="AL967" t="s">
        <v>250</v>
      </c>
      <c r="AM967" t="s">
        <v>251</v>
      </c>
      <c r="AN967" t="s">
        <v>252</v>
      </c>
      <c r="AO967" t="s">
        <v>17728</v>
      </c>
      <c r="AP967" t="s">
        <v>17729</v>
      </c>
      <c r="AQ967" t="s">
        <v>74</v>
      </c>
      <c r="AR967" t="s">
        <v>17717</v>
      </c>
      <c r="AS967" t="s">
        <v>17730</v>
      </c>
      <c r="AT967" t="s">
        <v>15792</v>
      </c>
      <c r="AU967">
        <v>2011</v>
      </c>
      <c r="AV967">
        <v>673</v>
      </c>
      <c r="AW967">
        <v>1</v>
      </c>
      <c r="AX967" t="s">
        <v>74</v>
      </c>
      <c r="AY967" t="s">
        <v>74</v>
      </c>
      <c r="AZ967" t="s">
        <v>74</v>
      </c>
      <c r="BA967" t="s">
        <v>74</v>
      </c>
      <c r="BB967">
        <v>205</v>
      </c>
      <c r="BC967">
        <v>214</v>
      </c>
      <c r="BD967" t="s">
        <v>74</v>
      </c>
      <c r="BE967" t="s">
        <v>17731</v>
      </c>
      <c r="BF967" t="str">
        <f>HYPERLINK("http://dx.doi.org/10.1007/s10750-011-0780-7","http://dx.doi.org/10.1007/s10750-011-0780-7")</f>
        <v>http://dx.doi.org/10.1007/s10750-011-0780-7</v>
      </c>
      <c r="BG967" t="s">
        <v>74</v>
      </c>
      <c r="BH967" t="s">
        <v>74</v>
      </c>
      <c r="BI967">
        <v>10</v>
      </c>
      <c r="BJ967" t="s">
        <v>1015</v>
      </c>
      <c r="BK967" t="s">
        <v>100</v>
      </c>
      <c r="BL967" t="s">
        <v>1015</v>
      </c>
      <c r="BM967" t="s">
        <v>17732</v>
      </c>
      <c r="BN967" t="s">
        <v>74</v>
      </c>
      <c r="BO967" t="s">
        <v>74</v>
      </c>
      <c r="BP967" t="s">
        <v>74</v>
      </c>
      <c r="BQ967" t="s">
        <v>74</v>
      </c>
      <c r="BR967" t="s">
        <v>102</v>
      </c>
      <c r="BS967" t="s">
        <v>17733</v>
      </c>
      <c r="BT967" t="str">
        <f>HYPERLINK("https%3A%2F%2Fwww.webofscience.com%2Fwos%2Fwoscc%2Ffull-record%2FWOS:000293162400016","View Full Record in Web of Science")</f>
        <v>View Full Record in Web of Science</v>
      </c>
    </row>
    <row r="968" spans="1:72" x14ac:dyDescent="0.15">
      <c r="A968" t="s">
        <v>72</v>
      </c>
      <c r="B968" t="s">
        <v>17734</v>
      </c>
      <c r="C968" t="s">
        <v>74</v>
      </c>
      <c r="D968" t="s">
        <v>74</v>
      </c>
      <c r="E968" t="s">
        <v>74</v>
      </c>
      <c r="F968" t="s">
        <v>17735</v>
      </c>
      <c r="G968" t="s">
        <v>74</v>
      </c>
      <c r="H968" t="s">
        <v>74</v>
      </c>
      <c r="I968" t="s">
        <v>17736</v>
      </c>
      <c r="J968" t="s">
        <v>5283</v>
      </c>
      <c r="K968" t="s">
        <v>74</v>
      </c>
      <c r="L968" t="s">
        <v>74</v>
      </c>
      <c r="M968" t="s">
        <v>78</v>
      </c>
      <c r="N968" t="s">
        <v>79</v>
      </c>
      <c r="O968" t="s">
        <v>74</v>
      </c>
      <c r="P968" t="s">
        <v>74</v>
      </c>
      <c r="Q968" t="s">
        <v>74</v>
      </c>
      <c r="R968" t="s">
        <v>74</v>
      </c>
      <c r="S968" t="s">
        <v>74</v>
      </c>
      <c r="T968" t="s">
        <v>17737</v>
      </c>
      <c r="U968" t="s">
        <v>17738</v>
      </c>
      <c r="V968" t="s">
        <v>17739</v>
      </c>
      <c r="W968" t="s">
        <v>17740</v>
      </c>
      <c r="X968" t="s">
        <v>17741</v>
      </c>
      <c r="Y968" t="s">
        <v>17742</v>
      </c>
      <c r="Z968" t="s">
        <v>17743</v>
      </c>
      <c r="AA968" t="s">
        <v>17744</v>
      </c>
      <c r="AB968" t="s">
        <v>17745</v>
      </c>
      <c r="AC968" t="s">
        <v>17746</v>
      </c>
      <c r="AD968" t="s">
        <v>17746</v>
      </c>
      <c r="AE968" t="s">
        <v>17747</v>
      </c>
      <c r="AF968" t="s">
        <v>74</v>
      </c>
      <c r="AG968">
        <v>35</v>
      </c>
      <c r="AH968">
        <v>7</v>
      </c>
      <c r="AI968">
        <v>8</v>
      </c>
      <c r="AJ968">
        <v>0</v>
      </c>
      <c r="AK968">
        <v>5</v>
      </c>
      <c r="AL968" t="s">
        <v>250</v>
      </c>
      <c r="AM968" t="s">
        <v>413</v>
      </c>
      <c r="AN968" t="s">
        <v>514</v>
      </c>
      <c r="AO968" t="s">
        <v>5295</v>
      </c>
      <c r="AP968" t="s">
        <v>5296</v>
      </c>
      <c r="AQ968" t="s">
        <v>74</v>
      </c>
      <c r="AR968" t="s">
        <v>5297</v>
      </c>
      <c r="AS968" t="s">
        <v>5298</v>
      </c>
      <c r="AT968" t="s">
        <v>15792</v>
      </c>
      <c r="AU968">
        <v>2011</v>
      </c>
      <c r="AV968">
        <v>34</v>
      </c>
      <c r="AW968">
        <v>9</v>
      </c>
      <c r="AX968" t="s">
        <v>74</v>
      </c>
      <c r="AY968" t="s">
        <v>74</v>
      </c>
      <c r="AZ968" t="s">
        <v>74</v>
      </c>
      <c r="BA968" t="s">
        <v>74</v>
      </c>
      <c r="BB968">
        <v>1285</v>
      </c>
      <c r="BC968">
        <v>1299</v>
      </c>
      <c r="BD968" t="s">
        <v>74</v>
      </c>
      <c r="BE968" t="s">
        <v>17748</v>
      </c>
      <c r="BF968" t="str">
        <f>HYPERLINK("http://dx.doi.org/10.1007/s00300-011-0972-7","http://dx.doi.org/10.1007/s00300-011-0972-7")</f>
        <v>http://dx.doi.org/10.1007/s00300-011-0972-7</v>
      </c>
      <c r="BG968" t="s">
        <v>74</v>
      </c>
      <c r="BH968" t="s">
        <v>74</v>
      </c>
      <c r="BI968">
        <v>15</v>
      </c>
      <c r="BJ968" t="s">
        <v>5300</v>
      </c>
      <c r="BK968" t="s">
        <v>100</v>
      </c>
      <c r="BL968" t="s">
        <v>3505</v>
      </c>
      <c r="BM968" t="s">
        <v>17391</v>
      </c>
      <c r="BN968" t="s">
        <v>74</v>
      </c>
      <c r="BO968" t="s">
        <v>74</v>
      </c>
      <c r="BP968" t="s">
        <v>74</v>
      </c>
      <c r="BQ968" t="s">
        <v>74</v>
      </c>
      <c r="BR968" t="s">
        <v>102</v>
      </c>
      <c r="BS968" t="s">
        <v>17749</v>
      </c>
      <c r="BT968" t="str">
        <f>HYPERLINK("https%3A%2F%2Fwww.webofscience.com%2Fwos%2Fwoscc%2Ffull-record%2FWOS:000293025100003","View Full Record in Web of Science")</f>
        <v>View Full Record in Web of Science</v>
      </c>
    </row>
    <row r="969" spans="1:72" x14ac:dyDescent="0.15">
      <c r="A969" t="s">
        <v>72</v>
      </c>
      <c r="B969" t="s">
        <v>17750</v>
      </c>
      <c r="C969" t="s">
        <v>74</v>
      </c>
      <c r="D969" t="s">
        <v>74</v>
      </c>
      <c r="E969" t="s">
        <v>74</v>
      </c>
      <c r="F969" t="s">
        <v>17751</v>
      </c>
      <c r="G969" t="s">
        <v>74</v>
      </c>
      <c r="H969" t="s">
        <v>74</v>
      </c>
      <c r="I969" t="s">
        <v>17752</v>
      </c>
      <c r="J969" t="s">
        <v>5283</v>
      </c>
      <c r="K969" t="s">
        <v>74</v>
      </c>
      <c r="L969" t="s">
        <v>74</v>
      </c>
      <c r="M969" t="s">
        <v>78</v>
      </c>
      <c r="N969" t="s">
        <v>79</v>
      </c>
      <c r="O969" t="s">
        <v>74</v>
      </c>
      <c r="P969" t="s">
        <v>74</v>
      </c>
      <c r="Q969" t="s">
        <v>74</v>
      </c>
      <c r="R969" t="s">
        <v>74</v>
      </c>
      <c r="S969" t="s">
        <v>74</v>
      </c>
      <c r="T969" t="s">
        <v>17753</v>
      </c>
      <c r="U969" t="s">
        <v>17754</v>
      </c>
      <c r="V969" t="s">
        <v>17755</v>
      </c>
      <c r="W969" t="s">
        <v>17756</v>
      </c>
      <c r="X969" t="s">
        <v>17757</v>
      </c>
      <c r="Y969" t="s">
        <v>17758</v>
      </c>
      <c r="Z969" t="s">
        <v>17759</v>
      </c>
      <c r="AA969" t="s">
        <v>74</v>
      </c>
      <c r="AB969" t="s">
        <v>17760</v>
      </c>
      <c r="AC969" t="s">
        <v>17761</v>
      </c>
      <c r="AD969" t="s">
        <v>17762</v>
      </c>
      <c r="AE969" t="s">
        <v>17763</v>
      </c>
      <c r="AF969" t="s">
        <v>74</v>
      </c>
      <c r="AG969">
        <v>52</v>
      </c>
      <c r="AH969">
        <v>12</v>
      </c>
      <c r="AI969">
        <v>12</v>
      </c>
      <c r="AJ969">
        <v>0</v>
      </c>
      <c r="AK969">
        <v>20</v>
      </c>
      <c r="AL969" t="s">
        <v>250</v>
      </c>
      <c r="AM969" t="s">
        <v>413</v>
      </c>
      <c r="AN969" t="s">
        <v>490</v>
      </c>
      <c r="AO969" t="s">
        <v>5295</v>
      </c>
      <c r="AP969" t="s">
        <v>5296</v>
      </c>
      <c r="AQ969" t="s">
        <v>74</v>
      </c>
      <c r="AR969" t="s">
        <v>5297</v>
      </c>
      <c r="AS969" t="s">
        <v>5298</v>
      </c>
      <c r="AT969" t="s">
        <v>15792</v>
      </c>
      <c r="AU969">
        <v>2011</v>
      </c>
      <c r="AV969">
        <v>34</v>
      </c>
      <c r="AW969">
        <v>9</v>
      </c>
      <c r="AX969" t="s">
        <v>74</v>
      </c>
      <c r="AY969" t="s">
        <v>74</v>
      </c>
      <c r="AZ969" t="s">
        <v>74</v>
      </c>
      <c r="BA969" t="s">
        <v>74</v>
      </c>
      <c r="BB969">
        <v>1319</v>
      </c>
      <c r="BC969">
        <v>1333</v>
      </c>
      <c r="BD969" t="s">
        <v>74</v>
      </c>
      <c r="BE969" t="s">
        <v>17764</v>
      </c>
      <c r="BF969" t="str">
        <f>HYPERLINK("http://dx.doi.org/10.1007/s00300-011-0962-9","http://dx.doi.org/10.1007/s00300-011-0962-9")</f>
        <v>http://dx.doi.org/10.1007/s00300-011-0962-9</v>
      </c>
      <c r="BG969" t="s">
        <v>74</v>
      </c>
      <c r="BH969" t="s">
        <v>74</v>
      </c>
      <c r="BI969">
        <v>15</v>
      </c>
      <c r="BJ969" t="s">
        <v>5300</v>
      </c>
      <c r="BK969" t="s">
        <v>100</v>
      </c>
      <c r="BL969" t="s">
        <v>3505</v>
      </c>
      <c r="BM969" t="s">
        <v>17391</v>
      </c>
      <c r="BN969" t="s">
        <v>74</v>
      </c>
      <c r="BO969" t="s">
        <v>74</v>
      </c>
      <c r="BP969" t="s">
        <v>74</v>
      </c>
      <c r="BQ969" t="s">
        <v>74</v>
      </c>
      <c r="BR969" t="s">
        <v>102</v>
      </c>
      <c r="BS969" t="s">
        <v>17765</v>
      </c>
      <c r="BT969" t="str">
        <f>HYPERLINK("https%3A%2F%2Fwww.webofscience.com%2Fwos%2Fwoscc%2Ffull-record%2FWOS:000293025100005","View Full Record in Web of Science")</f>
        <v>View Full Record in Web of Science</v>
      </c>
    </row>
    <row r="970" spans="1:72" x14ac:dyDescent="0.15">
      <c r="A970" t="s">
        <v>72</v>
      </c>
      <c r="B970" t="s">
        <v>17766</v>
      </c>
      <c r="C970" t="s">
        <v>74</v>
      </c>
      <c r="D970" t="s">
        <v>74</v>
      </c>
      <c r="E970" t="s">
        <v>74</v>
      </c>
      <c r="F970" t="s">
        <v>17767</v>
      </c>
      <c r="G970" t="s">
        <v>74</v>
      </c>
      <c r="H970" t="s">
        <v>74</v>
      </c>
      <c r="I970" t="s">
        <v>17768</v>
      </c>
      <c r="J970" t="s">
        <v>5283</v>
      </c>
      <c r="K970" t="s">
        <v>74</v>
      </c>
      <c r="L970" t="s">
        <v>74</v>
      </c>
      <c r="M970" t="s">
        <v>78</v>
      </c>
      <c r="N970" t="s">
        <v>79</v>
      </c>
      <c r="O970" t="s">
        <v>74</v>
      </c>
      <c r="P970" t="s">
        <v>74</v>
      </c>
      <c r="Q970" t="s">
        <v>74</v>
      </c>
      <c r="R970" t="s">
        <v>74</v>
      </c>
      <c r="S970" t="s">
        <v>74</v>
      </c>
      <c r="T970" t="s">
        <v>17769</v>
      </c>
      <c r="U970" t="s">
        <v>17770</v>
      </c>
      <c r="V970" t="s">
        <v>17771</v>
      </c>
      <c r="W970" t="s">
        <v>17772</v>
      </c>
      <c r="X970" t="s">
        <v>17773</v>
      </c>
      <c r="Y970" t="s">
        <v>17774</v>
      </c>
      <c r="Z970" t="s">
        <v>17775</v>
      </c>
      <c r="AA970" t="s">
        <v>17776</v>
      </c>
      <c r="AB970" t="s">
        <v>17777</v>
      </c>
      <c r="AC970" t="s">
        <v>17778</v>
      </c>
      <c r="AD970" t="s">
        <v>17779</v>
      </c>
      <c r="AE970" t="s">
        <v>17780</v>
      </c>
      <c r="AF970" t="s">
        <v>74</v>
      </c>
      <c r="AG970">
        <v>36</v>
      </c>
      <c r="AH970">
        <v>1</v>
      </c>
      <c r="AI970">
        <v>1</v>
      </c>
      <c r="AJ970">
        <v>0</v>
      </c>
      <c r="AK970">
        <v>7</v>
      </c>
      <c r="AL970" t="s">
        <v>250</v>
      </c>
      <c r="AM970" t="s">
        <v>413</v>
      </c>
      <c r="AN970" t="s">
        <v>514</v>
      </c>
      <c r="AO970" t="s">
        <v>5295</v>
      </c>
      <c r="AP970" t="s">
        <v>5296</v>
      </c>
      <c r="AQ970" t="s">
        <v>74</v>
      </c>
      <c r="AR970" t="s">
        <v>5297</v>
      </c>
      <c r="AS970" t="s">
        <v>5298</v>
      </c>
      <c r="AT970" t="s">
        <v>15792</v>
      </c>
      <c r="AU970">
        <v>2011</v>
      </c>
      <c r="AV970">
        <v>34</v>
      </c>
      <c r="AW970">
        <v>9</v>
      </c>
      <c r="AX970" t="s">
        <v>74</v>
      </c>
      <c r="AY970" t="s">
        <v>74</v>
      </c>
      <c r="AZ970" t="s">
        <v>74</v>
      </c>
      <c r="BA970" t="s">
        <v>74</v>
      </c>
      <c r="BB970">
        <v>1335</v>
      </c>
      <c r="BC970">
        <v>1347</v>
      </c>
      <c r="BD970" t="s">
        <v>74</v>
      </c>
      <c r="BE970" t="s">
        <v>17781</v>
      </c>
      <c r="BF970" t="str">
        <f>HYPERLINK("http://dx.doi.org/10.1007/s00300-011-0983-4","http://dx.doi.org/10.1007/s00300-011-0983-4")</f>
        <v>http://dx.doi.org/10.1007/s00300-011-0983-4</v>
      </c>
      <c r="BG970" t="s">
        <v>74</v>
      </c>
      <c r="BH970" t="s">
        <v>74</v>
      </c>
      <c r="BI970">
        <v>13</v>
      </c>
      <c r="BJ970" t="s">
        <v>5300</v>
      </c>
      <c r="BK970" t="s">
        <v>100</v>
      </c>
      <c r="BL970" t="s">
        <v>3505</v>
      </c>
      <c r="BM970" t="s">
        <v>17391</v>
      </c>
      <c r="BN970" t="s">
        <v>74</v>
      </c>
      <c r="BO970" t="s">
        <v>74</v>
      </c>
      <c r="BP970" t="s">
        <v>74</v>
      </c>
      <c r="BQ970" t="s">
        <v>74</v>
      </c>
      <c r="BR970" t="s">
        <v>102</v>
      </c>
      <c r="BS970" t="s">
        <v>17782</v>
      </c>
      <c r="BT970" t="str">
        <f>HYPERLINK("https%3A%2F%2Fwww.webofscience.com%2Fwos%2Fwoscc%2Ffull-record%2FWOS:000293025100006","View Full Record in Web of Science")</f>
        <v>View Full Record in Web of Science</v>
      </c>
    </row>
    <row r="971" spans="1:72" x14ac:dyDescent="0.15">
      <c r="A971" t="s">
        <v>72</v>
      </c>
      <c r="B971" t="s">
        <v>17783</v>
      </c>
      <c r="C971" t="s">
        <v>74</v>
      </c>
      <c r="D971" t="s">
        <v>74</v>
      </c>
      <c r="E971" t="s">
        <v>74</v>
      </c>
      <c r="F971" t="s">
        <v>17784</v>
      </c>
      <c r="G971" t="s">
        <v>74</v>
      </c>
      <c r="H971" t="s">
        <v>74</v>
      </c>
      <c r="I971" t="s">
        <v>17785</v>
      </c>
      <c r="J971" t="s">
        <v>17786</v>
      </c>
      <c r="K971" t="s">
        <v>74</v>
      </c>
      <c r="L971" t="s">
        <v>74</v>
      </c>
      <c r="M971" t="s">
        <v>78</v>
      </c>
      <c r="N971" t="s">
        <v>79</v>
      </c>
      <c r="O971" t="s">
        <v>74</v>
      </c>
      <c r="P971" t="s">
        <v>74</v>
      </c>
      <c r="Q971" t="s">
        <v>74</v>
      </c>
      <c r="R971" t="s">
        <v>74</v>
      </c>
      <c r="S971" t="s">
        <v>74</v>
      </c>
      <c r="T971" t="s">
        <v>17787</v>
      </c>
      <c r="U971" t="s">
        <v>17788</v>
      </c>
      <c r="V971" t="s">
        <v>17789</v>
      </c>
      <c r="W971" t="s">
        <v>17790</v>
      </c>
      <c r="X971" t="s">
        <v>17791</v>
      </c>
      <c r="Y971" t="s">
        <v>17792</v>
      </c>
      <c r="Z971" t="s">
        <v>17793</v>
      </c>
      <c r="AA971" t="s">
        <v>17794</v>
      </c>
      <c r="AB971" t="s">
        <v>17795</v>
      </c>
      <c r="AC971" t="s">
        <v>17796</v>
      </c>
      <c r="AD971" t="s">
        <v>17797</v>
      </c>
      <c r="AE971" t="s">
        <v>17798</v>
      </c>
      <c r="AF971" t="s">
        <v>74</v>
      </c>
      <c r="AG971">
        <v>66</v>
      </c>
      <c r="AH971">
        <v>26</v>
      </c>
      <c r="AI971">
        <v>28</v>
      </c>
      <c r="AJ971">
        <v>0</v>
      </c>
      <c r="AK971">
        <v>21</v>
      </c>
      <c r="AL971" t="s">
        <v>3235</v>
      </c>
      <c r="AM971" t="s">
        <v>588</v>
      </c>
      <c r="AN971" t="s">
        <v>3236</v>
      </c>
      <c r="AO971" t="s">
        <v>17799</v>
      </c>
      <c r="AP971" t="s">
        <v>17800</v>
      </c>
      <c r="AQ971" t="s">
        <v>74</v>
      </c>
      <c r="AR971" t="s">
        <v>17801</v>
      </c>
      <c r="AS971" t="s">
        <v>17802</v>
      </c>
      <c r="AT971" t="s">
        <v>15792</v>
      </c>
      <c r="AU971">
        <v>2011</v>
      </c>
      <c r="AV971">
        <v>60</v>
      </c>
      <c r="AW971">
        <v>3</v>
      </c>
      <c r="AX971" t="s">
        <v>74</v>
      </c>
      <c r="AY971" t="s">
        <v>74</v>
      </c>
      <c r="AZ971" t="s">
        <v>74</v>
      </c>
      <c r="BA971" t="s">
        <v>74</v>
      </c>
      <c r="BB971">
        <v>305</v>
      </c>
      <c r="BC971">
        <v>316</v>
      </c>
      <c r="BD971" t="s">
        <v>74</v>
      </c>
      <c r="BE971" t="s">
        <v>17803</v>
      </c>
      <c r="BF971" t="str">
        <f>HYPERLINK("http://dx.doi.org/10.1016/j.ympev.2011.03.008","http://dx.doi.org/10.1016/j.ympev.2011.03.008")</f>
        <v>http://dx.doi.org/10.1016/j.ympev.2011.03.008</v>
      </c>
      <c r="BG971" t="s">
        <v>74</v>
      </c>
      <c r="BH971" t="s">
        <v>74</v>
      </c>
      <c r="BI971">
        <v>12</v>
      </c>
      <c r="BJ971" t="s">
        <v>17804</v>
      </c>
      <c r="BK971" t="s">
        <v>100</v>
      </c>
      <c r="BL971" t="s">
        <v>17804</v>
      </c>
      <c r="BM971" t="s">
        <v>17805</v>
      </c>
      <c r="BN971">
        <v>21402163</v>
      </c>
      <c r="BO971" t="s">
        <v>74</v>
      </c>
      <c r="BP971" t="s">
        <v>74</v>
      </c>
      <c r="BQ971" t="s">
        <v>74</v>
      </c>
      <c r="BR971" t="s">
        <v>102</v>
      </c>
      <c r="BS971" t="s">
        <v>17806</v>
      </c>
      <c r="BT971" t="str">
        <f>HYPERLINK("https%3A%2F%2Fwww.webofscience.com%2Fwos%2Fwoscc%2Ffull-record%2FWOS:000292580200004","View Full Record in Web of Science")</f>
        <v>View Full Record in Web of Science</v>
      </c>
    </row>
    <row r="972" spans="1:72" x14ac:dyDescent="0.15">
      <c r="A972" t="s">
        <v>72</v>
      </c>
      <c r="B972" t="s">
        <v>17807</v>
      </c>
      <c r="C972" t="s">
        <v>74</v>
      </c>
      <c r="D972" t="s">
        <v>74</v>
      </c>
      <c r="E972" t="s">
        <v>74</v>
      </c>
      <c r="F972" t="s">
        <v>17808</v>
      </c>
      <c r="G972" t="s">
        <v>74</v>
      </c>
      <c r="H972" t="s">
        <v>74</v>
      </c>
      <c r="I972" t="s">
        <v>17809</v>
      </c>
      <c r="J972" t="s">
        <v>17810</v>
      </c>
      <c r="K972" t="s">
        <v>74</v>
      </c>
      <c r="L972" t="s">
        <v>74</v>
      </c>
      <c r="M972" t="s">
        <v>78</v>
      </c>
      <c r="N972" t="s">
        <v>79</v>
      </c>
      <c r="O972" t="s">
        <v>74</v>
      </c>
      <c r="P972" t="s">
        <v>74</v>
      </c>
      <c r="Q972" t="s">
        <v>74</v>
      </c>
      <c r="R972" t="s">
        <v>74</v>
      </c>
      <c r="S972" t="s">
        <v>74</v>
      </c>
      <c r="T972" t="s">
        <v>17811</v>
      </c>
      <c r="U972" t="s">
        <v>17812</v>
      </c>
      <c r="V972" t="s">
        <v>17813</v>
      </c>
      <c r="W972" t="s">
        <v>17814</v>
      </c>
      <c r="X972" t="s">
        <v>17815</v>
      </c>
      <c r="Y972" t="s">
        <v>17816</v>
      </c>
      <c r="Z972" t="s">
        <v>17817</v>
      </c>
      <c r="AA972" t="s">
        <v>74</v>
      </c>
      <c r="AB972" t="s">
        <v>74</v>
      </c>
      <c r="AC972" t="s">
        <v>17818</v>
      </c>
      <c r="AD972" t="s">
        <v>17819</v>
      </c>
      <c r="AE972" t="s">
        <v>17820</v>
      </c>
      <c r="AF972" t="s">
        <v>74</v>
      </c>
      <c r="AG972">
        <v>111</v>
      </c>
      <c r="AH972">
        <v>0</v>
      </c>
      <c r="AI972">
        <v>0</v>
      </c>
      <c r="AJ972">
        <v>1</v>
      </c>
      <c r="AK972">
        <v>6</v>
      </c>
      <c r="AL972" t="s">
        <v>17670</v>
      </c>
      <c r="AM972" t="s">
        <v>17671</v>
      </c>
      <c r="AN972" t="s">
        <v>17672</v>
      </c>
      <c r="AO972" t="s">
        <v>17821</v>
      </c>
      <c r="AP972" t="s">
        <v>74</v>
      </c>
      <c r="AQ972" t="s">
        <v>74</v>
      </c>
      <c r="AR972" t="s">
        <v>17810</v>
      </c>
      <c r="AS972" t="s">
        <v>17822</v>
      </c>
      <c r="AT972" t="s">
        <v>15792</v>
      </c>
      <c r="AU972">
        <v>2011</v>
      </c>
      <c r="AV972">
        <v>38</v>
      </c>
      <c r="AW972">
        <v>3</v>
      </c>
      <c r="AX972" t="s">
        <v>74</v>
      </c>
      <c r="AY972" t="s">
        <v>74</v>
      </c>
      <c r="AZ972" t="s">
        <v>339</v>
      </c>
      <c r="BA972" t="s">
        <v>74</v>
      </c>
      <c r="BB972">
        <v>303</v>
      </c>
      <c r="BC972">
        <v>313</v>
      </c>
      <c r="BD972" t="s">
        <v>74</v>
      </c>
      <c r="BE972" t="s">
        <v>17823</v>
      </c>
      <c r="BF972" t="str">
        <f>HYPERLINK("http://dx.doi.org/10.2478/s13386-011-0036-3","http://dx.doi.org/10.2478/s13386-011-0036-3")</f>
        <v>http://dx.doi.org/10.2478/s13386-011-0036-3</v>
      </c>
      <c r="BG972" t="s">
        <v>74</v>
      </c>
      <c r="BH972" t="s">
        <v>74</v>
      </c>
      <c r="BI972">
        <v>11</v>
      </c>
      <c r="BJ972" t="s">
        <v>287</v>
      </c>
      <c r="BK972" t="s">
        <v>100</v>
      </c>
      <c r="BL972" t="s">
        <v>288</v>
      </c>
      <c r="BM972" t="s">
        <v>17824</v>
      </c>
      <c r="BN972" t="s">
        <v>74</v>
      </c>
      <c r="BO972" t="s">
        <v>316</v>
      </c>
      <c r="BP972" t="s">
        <v>74</v>
      </c>
      <c r="BQ972" t="s">
        <v>74</v>
      </c>
      <c r="BR972" t="s">
        <v>102</v>
      </c>
      <c r="BS972" t="s">
        <v>17825</v>
      </c>
      <c r="BT972" t="str">
        <f>HYPERLINK("https%3A%2F%2Fwww.webofscience.com%2Fwos%2Fwoscc%2Ffull-record%2FWOS:000291941300014","View Full Record in Web of Science")</f>
        <v>View Full Record in Web of Science</v>
      </c>
    </row>
    <row r="973" spans="1:72" x14ac:dyDescent="0.15">
      <c r="A973" t="s">
        <v>72</v>
      </c>
      <c r="B973" t="s">
        <v>17826</v>
      </c>
      <c r="C973" t="s">
        <v>74</v>
      </c>
      <c r="D973" t="s">
        <v>74</v>
      </c>
      <c r="E973" t="s">
        <v>74</v>
      </c>
      <c r="F973" t="s">
        <v>17827</v>
      </c>
      <c r="G973" t="s">
        <v>74</v>
      </c>
      <c r="H973" t="s">
        <v>74</v>
      </c>
      <c r="I973" t="s">
        <v>17828</v>
      </c>
      <c r="J973" t="s">
        <v>6010</v>
      </c>
      <c r="K973" t="s">
        <v>74</v>
      </c>
      <c r="L973" t="s">
        <v>74</v>
      </c>
      <c r="M973" t="s">
        <v>78</v>
      </c>
      <c r="N973" t="s">
        <v>79</v>
      </c>
      <c r="O973" t="s">
        <v>74</v>
      </c>
      <c r="P973" t="s">
        <v>74</v>
      </c>
      <c r="Q973" t="s">
        <v>74</v>
      </c>
      <c r="R973" t="s">
        <v>74</v>
      </c>
      <c r="S973" t="s">
        <v>74</v>
      </c>
      <c r="T973" t="s">
        <v>17829</v>
      </c>
      <c r="U973" t="s">
        <v>17830</v>
      </c>
      <c r="V973" t="s">
        <v>17831</v>
      </c>
      <c r="W973" t="s">
        <v>17832</v>
      </c>
      <c r="X973" t="s">
        <v>3573</v>
      </c>
      <c r="Y973" t="s">
        <v>17833</v>
      </c>
      <c r="Z973" t="s">
        <v>17834</v>
      </c>
      <c r="AA973" t="s">
        <v>74</v>
      </c>
      <c r="AB973" t="s">
        <v>74</v>
      </c>
      <c r="AC973" t="s">
        <v>74</v>
      </c>
      <c r="AD973" t="s">
        <v>74</v>
      </c>
      <c r="AE973" t="s">
        <v>74</v>
      </c>
      <c r="AF973" t="s">
        <v>74</v>
      </c>
      <c r="AG973">
        <v>20</v>
      </c>
      <c r="AH973">
        <v>35</v>
      </c>
      <c r="AI973">
        <v>38</v>
      </c>
      <c r="AJ973">
        <v>0</v>
      </c>
      <c r="AK973">
        <v>23</v>
      </c>
      <c r="AL973" t="s">
        <v>2917</v>
      </c>
      <c r="AM973" t="s">
        <v>156</v>
      </c>
      <c r="AN973" t="s">
        <v>2918</v>
      </c>
      <c r="AO973" t="s">
        <v>6019</v>
      </c>
      <c r="AP973" t="s">
        <v>74</v>
      </c>
      <c r="AQ973" t="s">
        <v>74</v>
      </c>
      <c r="AR973" t="s">
        <v>6021</v>
      </c>
      <c r="AS973" t="s">
        <v>6022</v>
      </c>
      <c r="AT973" t="s">
        <v>15792</v>
      </c>
      <c r="AU973">
        <v>2011</v>
      </c>
      <c r="AV973">
        <v>35</v>
      </c>
      <c r="AW973">
        <v>5</v>
      </c>
      <c r="AX973" t="s">
        <v>74</v>
      </c>
      <c r="AY973" t="s">
        <v>74</v>
      </c>
      <c r="AZ973" t="s">
        <v>74</v>
      </c>
      <c r="BA973" t="s">
        <v>74</v>
      </c>
      <c r="BB973">
        <v>732</v>
      </c>
      <c r="BC973">
        <v>736</v>
      </c>
      <c r="BD973" t="s">
        <v>74</v>
      </c>
      <c r="BE973" t="s">
        <v>17835</v>
      </c>
      <c r="BF973" t="str">
        <f>HYPERLINK("http://dx.doi.org/10.1016/j.marpol.2011.02.004","http://dx.doi.org/10.1016/j.marpol.2011.02.004")</f>
        <v>http://dx.doi.org/10.1016/j.marpol.2011.02.004</v>
      </c>
      <c r="BG973" t="s">
        <v>74</v>
      </c>
      <c r="BH973" t="s">
        <v>74</v>
      </c>
      <c r="BI973">
        <v>5</v>
      </c>
      <c r="BJ973" t="s">
        <v>6024</v>
      </c>
      <c r="BK973" t="s">
        <v>6025</v>
      </c>
      <c r="BL973" t="s">
        <v>6026</v>
      </c>
      <c r="BM973" t="s">
        <v>17836</v>
      </c>
      <c r="BN973" t="s">
        <v>74</v>
      </c>
      <c r="BO973" t="s">
        <v>74</v>
      </c>
      <c r="BP973" t="s">
        <v>74</v>
      </c>
      <c r="BQ973" t="s">
        <v>74</v>
      </c>
      <c r="BR973" t="s">
        <v>102</v>
      </c>
      <c r="BS973" t="s">
        <v>17837</v>
      </c>
      <c r="BT973" t="str">
        <f>HYPERLINK("https%3A%2F%2Fwww.webofscience.com%2Fwos%2Fwoscc%2Ffull-record%2FWOS:000290749500021","View Full Record in Web of Science")</f>
        <v>View Full Record in Web of Science</v>
      </c>
    </row>
    <row r="974" spans="1:72" x14ac:dyDescent="0.15">
      <c r="A974" t="s">
        <v>72</v>
      </c>
      <c r="B974" t="s">
        <v>17838</v>
      </c>
      <c r="C974" t="s">
        <v>74</v>
      </c>
      <c r="D974" t="s">
        <v>74</v>
      </c>
      <c r="E974" t="s">
        <v>74</v>
      </c>
      <c r="F974" t="s">
        <v>17839</v>
      </c>
      <c r="G974" t="s">
        <v>74</v>
      </c>
      <c r="H974" t="s">
        <v>74</v>
      </c>
      <c r="I974" t="s">
        <v>17840</v>
      </c>
      <c r="J974" t="s">
        <v>7726</v>
      </c>
      <c r="K974" t="s">
        <v>74</v>
      </c>
      <c r="L974" t="s">
        <v>74</v>
      </c>
      <c r="M974" t="s">
        <v>78</v>
      </c>
      <c r="N974" t="s">
        <v>79</v>
      </c>
      <c r="O974" t="s">
        <v>74</v>
      </c>
      <c r="P974" t="s">
        <v>74</v>
      </c>
      <c r="Q974" t="s">
        <v>74</v>
      </c>
      <c r="R974" t="s">
        <v>74</v>
      </c>
      <c r="S974" t="s">
        <v>74</v>
      </c>
      <c r="T974" t="s">
        <v>17841</v>
      </c>
      <c r="U974" t="s">
        <v>17842</v>
      </c>
      <c r="V974" t="s">
        <v>17843</v>
      </c>
      <c r="W974" t="s">
        <v>17844</v>
      </c>
      <c r="X974" t="s">
        <v>17845</v>
      </c>
      <c r="Y974" t="s">
        <v>17846</v>
      </c>
      <c r="Z974" t="s">
        <v>17847</v>
      </c>
      <c r="AA974" t="s">
        <v>17848</v>
      </c>
      <c r="AB974" t="s">
        <v>17849</v>
      </c>
      <c r="AC974" t="s">
        <v>17850</v>
      </c>
      <c r="AD974" t="s">
        <v>17851</v>
      </c>
      <c r="AE974" t="s">
        <v>17852</v>
      </c>
      <c r="AF974" t="s">
        <v>74</v>
      </c>
      <c r="AG974">
        <v>38</v>
      </c>
      <c r="AH974">
        <v>14</v>
      </c>
      <c r="AI974">
        <v>18</v>
      </c>
      <c r="AJ974">
        <v>0</v>
      </c>
      <c r="AK974">
        <v>18</v>
      </c>
      <c r="AL974" t="s">
        <v>3479</v>
      </c>
      <c r="AM974" t="s">
        <v>334</v>
      </c>
      <c r="AN974" t="s">
        <v>3480</v>
      </c>
      <c r="AO974" t="s">
        <v>7739</v>
      </c>
      <c r="AP974" t="s">
        <v>74</v>
      </c>
      <c r="AQ974" t="s">
        <v>74</v>
      </c>
      <c r="AR974" t="s">
        <v>7741</v>
      </c>
      <c r="AS974" t="s">
        <v>7742</v>
      </c>
      <c r="AT974" t="s">
        <v>17853</v>
      </c>
      <c r="AU974">
        <v>2011</v>
      </c>
      <c r="AV974">
        <v>405</v>
      </c>
      <c r="AW974" t="s">
        <v>1776</v>
      </c>
      <c r="AX974" t="s">
        <v>74</v>
      </c>
      <c r="AY974" t="s">
        <v>74</v>
      </c>
      <c r="AZ974" t="s">
        <v>74</v>
      </c>
      <c r="BA974" t="s">
        <v>74</v>
      </c>
      <c r="BB974">
        <v>68</v>
      </c>
      <c r="BC974">
        <v>72</v>
      </c>
      <c r="BD974" t="s">
        <v>74</v>
      </c>
      <c r="BE974" t="s">
        <v>17854</v>
      </c>
      <c r="BF974" t="str">
        <f>HYPERLINK("http://dx.doi.org/10.1016/j.jembe.2011.05.014","http://dx.doi.org/10.1016/j.jembe.2011.05.014")</f>
        <v>http://dx.doi.org/10.1016/j.jembe.2011.05.014</v>
      </c>
      <c r="BG974" t="s">
        <v>74</v>
      </c>
      <c r="BH974" t="s">
        <v>74</v>
      </c>
      <c r="BI974">
        <v>5</v>
      </c>
      <c r="BJ974" t="s">
        <v>4394</v>
      </c>
      <c r="BK974" t="s">
        <v>100</v>
      </c>
      <c r="BL974" t="s">
        <v>4395</v>
      </c>
      <c r="BM974" t="s">
        <v>17855</v>
      </c>
      <c r="BN974" t="s">
        <v>74</v>
      </c>
      <c r="BO974" t="s">
        <v>74</v>
      </c>
      <c r="BP974" t="s">
        <v>74</v>
      </c>
      <c r="BQ974" t="s">
        <v>74</v>
      </c>
      <c r="BR974" t="s">
        <v>102</v>
      </c>
      <c r="BS974" t="s">
        <v>17856</v>
      </c>
      <c r="BT974" t="str">
        <f>HYPERLINK("https%3A%2F%2Fwww.webofscience.com%2Fwos%2Fwoscc%2Ffull-record%2FWOS:000293047800009","View Full Record in Web of Science")</f>
        <v>View Full Record in Web of Science</v>
      </c>
    </row>
    <row r="975" spans="1:72" x14ac:dyDescent="0.15">
      <c r="A975" t="s">
        <v>72</v>
      </c>
      <c r="B975" t="s">
        <v>17857</v>
      </c>
      <c r="C975" t="s">
        <v>74</v>
      </c>
      <c r="D975" t="s">
        <v>74</v>
      </c>
      <c r="E975" t="s">
        <v>74</v>
      </c>
      <c r="F975" t="s">
        <v>17858</v>
      </c>
      <c r="G975" t="s">
        <v>74</v>
      </c>
      <c r="H975" t="s">
        <v>74</v>
      </c>
      <c r="I975" t="s">
        <v>17859</v>
      </c>
      <c r="J975" t="s">
        <v>17860</v>
      </c>
      <c r="K975" t="s">
        <v>74</v>
      </c>
      <c r="L975" t="s">
        <v>74</v>
      </c>
      <c r="M975" t="s">
        <v>78</v>
      </c>
      <c r="N975" t="s">
        <v>79</v>
      </c>
      <c r="O975" t="s">
        <v>74</v>
      </c>
      <c r="P975" t="s">
        <v>74</v>
      </c>
      <c r="Q975" t="s">
        <v>74</v>
      </c>
      <c r="R975" t="s">
        <v>74</v>
      </c>
      <c r="S975" t="s">
        <v>74</v>
      </c>
      <c r="T975" t="s">
        <v>17861</v>
      </c>
      <c r="U975" t="s">
        <v>17862</v>
      </c>
      <c r="V975" t="s">
        <v>17863</v>
      </c>
      <c r="W975" t="s">
        <v>17864</v>
      </c>
      <c r="X975" t="s">
        <v>17865</v>
      </c>
      <c r="Y975" t="s">
        <v>17866</v>
      </c>
      <c r="Z975" t="s">
        <v>17867</v>
      </c>
      <c r="AA975" t="s">
        <v>17868</v>
      </c>
      <c r="AB975" t="s">
        <v>17869</v>
      </c>
      <c r="AC975" t="s">
        <v>17870</v>
      </c>
      <c r="AD975" t="s">
        <v>17871</v>
      </c>
      <c r="AE975" t="s">
        <v>17872</v>
      </c>
      <c r="AF975" t="s">
        <v>74</v>
      </c>
      <c r="AG975">
        <v>41</v>
      </c>
      <c r="AH975">
        <v>24</v>
      </c>
      <c r="AI975">
        <v>28</v>
      </c>
      <c r="AJ975">
        <v>2</v>
      </c>
      <c r="AK975">
        <v>34</v>
      </c>
      <c r="AL975" t="s">
        <v>2832</v>
      </c>
      <c r="AM975" t="s">
        <v>796</v>
      </c>
      <c r="AN975" t="s">
        <v>797</v>
      </c>
      <c r="AO975" t="s">
        <v>17873</v>
      </c>
      <c r="AP975" t="s">
        <v>17874</v>
      </c>
      <c r="AQ975" t="s">
        <v>74</v>
      </c>
      <c r="AR975" t="s">
        <v>17875</v>
      </c>
      <c r="AS975" t="s">
        <v>17876</v>
      </c>
      <c r="AT975" t="s">
        <v>17877</v>
      </c>
      <c r="AU975">
        <v>2011</v>
      </c>
      <c r="AV975">
        <v>25</v>
      </c>
      <c r="AW975">
        <v>18</v>
      </c>
      <c r="AX975" t="s">
        <v>74</v>
      </c>
      <c r="AY975" t="s">
        <v>74</v>
      </c>
      <c r="AZ975" t="s">
        <v>74</v>
      </c>
      <c r="BA975" t="s">
        <v>74</v>
      </c>
      <c r="BB975">
        <v>2868</v>
      </c>
      <c r="BC975">
        <v>2877</v>
      </c>
      <c r="BD975" t="s">
        <v>74</v>
      </c>
      <c r="BE975" t="s">
        <v>17878</v>
      </c>
      <c r="BF975" t="str">
        <f>HYPERLINK("http://dx.doi.org/10.1002/hyp.8049","http://dx.doi.org/10.1002/hyp.8049")</f>
        <v>http://dx.doi.org/10.1002/hyp.8049</v>
      </c>
      <c r="BG975" t="s">
        <v>74</v>
      </c>
      <c r="BH975" t="s">
        <v>74</v>
      </c>
      <c r="BI975">
        <v>10</v>
      </c>
      <c r="BJ975" t="s">
        <v>5840</v>
      </c>
      <c r="BK975" t="s">
        <v>100</v>
      </c>
      <c r="BL975" t="s">
        <v>5840</v>
      </c>
      <c r="BM975" t="s">
        <v>17879</v>
      </c>
      <c r="BN975" t="s">
        <v>74</v>
      </c>
      <c r="BO975" t="s">
        <v>74</v>
      </c>
      <c r="BP975" t="s">
        <v>74</v>
      </c>
      <c r="BQ975" t="s">
        <v>74</v>
      </c>
      <c r="BR975" t="s">
        <v>102</v>
      </c>
      <c r="BS975" t="s">
        <v>17880</v>
      </c>
      <c r="BT975" t="str">
        <f>HYPERLINK("https%3A%2F%2Fwww.webofscience.com%2Fwos%2Fwoscc%2Ffull-record%2FWOS:000294201200009","View Full Record in Web of Science")</f>
        <v>View Full Record in Web of Science</v>
      </c>
    </row>
    <row r="976" spans="1:72" x14ac:dyDescent="0.15">
      <c r="A976" t="s">
        <v>72</v>
      </c>
      <c r="B976" t="s">
        <v>17881</v>
      </c>
      <c r="C976" t="s">
        <v>74</v>
      </c>
      <c r="D976" t="s">
        <v>74</v>
      </c>
      <c r="E976" t="s">
        <v>74</v>
      </c>
      <c r="F976" t="s">
        <v>17882</v>
      </c>
      <c r="G976" t="s">
        <v>74</v>
      </c>
      <c r="H976" t="s">
        <v>74</v>
      </c>
      <c r="I976" t="s">
        <v>17883</v>
      </c>
      <c r="J976" t="s">
        <v>17884</v>
      </c>
      <c r="K976" t="s">
        <v>74</v>
      </c>
      <c r="L976" t="s">
        <v>74</v>
      </c>
      <c r="M976" t="s">
        <v>78</v>
      </c>
      <c r="N976" t="s">
        <v>52</v>
      </c>
      <c r="O976" t="s">
        <v>17885</v>
      </c>
      <c r="P976" t="s">
        <v>17886</v>
      </c>
      <c r="Q976" t="s">
        <v>17887</v>
      </c>
      <c r="R976" t="s">
        <v>74</v>
      </c>
      <c r="S976" t="s">
        <v>74</v>
      </c>
      <c r="T976" t="s">
        <v>74</v>
      </c>
      <c r="U976" t="s">
        <v>74</v>
      </c>
      <c r="V976" t="s">
        <v>74</v>
      </c>
      <c r="W976" t="s">
        <v>17888</v>
      </c>
      <c r="X976" t="s">
        <v>17889</v>
      </c>
      <c r="Y976" t="s">
        <v>74</v>
      </c>
      <c r="Z976" t="s">
        <v>17890</v>
      </c>
      <c r="AA976" t="s">
        <v>17891</v>
      </c>
      <c r="AB976" t="s">
        <v>17892</v>
      </c>
      <c r="AC976" t="s">
        <v>74</v>
      </c>
      <c r="AD976" t="s">
        <v>74</v>
      </c>
      <c r="AE976" t="s">
        <v>74</v>
      </c>
      <c r="AF976" t="s">
        <v>74</v>
      </c>
      <c r="AG976">
        <v>0</v>
      </c>
      <c r="AH976">
        <v>0</v>
      </c>
      <c r="AI976">
        <v>0</v>
      </c>
      <c r="AJ976">
        <v>0</v>
      </c>
      <c r="AK976">
        <v>6</v>
      </c>
      <c r="AL976" t="s">
        <v>3802</v>
      </c>
      <c r="AM976" t="s">
        <v>985</v>
      </c>
      <c r="AN976" t="s">
        <v>3803</v>
      </c>
      <c r="AO976" t="s">
        <v>17893</v>
      </c>
      <c r="AP976" t="s">
        <v>74</v>
      </c>
      <c r="AQ976" t="s">
        <v>74</v>
      </c>
      <c r="AR976" t="s">
        <v>17894</v>
      </c>
      <c r="AS976" t="s">
        <v>17895</v>
      </c>
      <c r="AT976" t="s">
        <v>17896</v>
      </c>
      <c r="AU976">
        <v>2011</v>
      </c>
      <c r="AV976">
        <v>242</v>
      </c>
      <c r="AW976" t="s">
        <v>74</v>
      </c>
      <c r="AX976" t="s">
        <v>74</v>
      </c>
      <c r="AY976" t="s">
        <v>74</v>
      </c>
      <c r="AZ976" t="s">
        <v>74</v>
      </c>
      <c r="BA976" t="s">
        <v>17897</v>
      </c>
      <c r="BB976" t="s">
        <v>74</v>
      </c>
      <c r="BC976" t="s">
        <v>74</v>
      </c>
      <c r="BD976" t="s">
        <v>74</v>
      </c>
      <c r="BE976" t="s">
        <v>74</v>
      </c>
      <c r="BF976" t="s">
        <v>74</v>
      </c>
      <c r="BG976" t="s">
        <v>74</v>
      </c>
      <c r="BH976" t="s">
        <v>74</v>
      </c>
      <c r="BI976">
        <v>1</v>
      </c>
      <c r="BJ976" t="s">
        <v>747</v>
      </c>
      <c r="BK976" t="s">
        <v>259</v>
      </c>
      <c r="BL976" t="s">
        <v>722</v>
      </c>
      <c r="BM976" t="s">
        <v>17898</v>
      </c>
      <c r="BN976" t="s">
        <v>74</v>
      </c>
      <c r="BO976" t="s">
        <v>74</v>
      </c>
      <c r="BP976" t="s">
        <v>74</v>
      </c>
      <c r="BQ976" t="s">
        <v>74</v>
      </c>
      <c r="BR976" t="s">
        <v>102</v>
      </c>
      <c r="BS976" t="s">
        <v>17899</v>
      </c>
      <c r="BT976" t="str">
        <f>HYPERLINK("https%3A%2F%2Fwww.webofscience.com%2Fwos%2Fwoscc%2Ffull-record%2FWOS:000299378302373","View Full Record in Web of Science")</f>
        <v>View Full Record in Web of Science</v>
      </c>
    </row>
    <row r="977" spans="1:72" x14ac:dyDescent="0.15">
      <c r="A977" t="s">
        <v>72</v>
      </c>
      <c r="B977" t="s">
        <v>17900</v>
      </c>
      <c r="C977" t="s">
        <v>74</v>
      </c>
      <c r="D977" t="s">
        <v>74</v>
      </c>
      <c r="E977" t="s">
        <v>74</v>
      </c>
      <c r="F977" t="s">
        <v>17901</v>
      </c>
      <c r="G977" t="s">
        <v>74</v>
      </c>
      <c r="H977" t="s">
        <v>74</v>
      </c>
      <c r="I977" t="s">
        <v>17902</v>
      </c>
      <c r="J977" t="s">
        <v>6055</v>
      </c>
      <c r="K977" t="s">
        <v>74</v>
      </c>
      <c r="L977" t="s">
        <v>74</v>
      </c>
      <c r="M977" t="s">
        <v>78</v>
      </c>
      <c r="N977" t="s">
        <v>79</v>
      </c>
      <c r="O977" t="s">
        <v>74</v>
      </c>
      <c r="P977" t="s">
        <v>74</v>
      </c>
      <c r="Q977" t="s">
        <v>74</v>
      </c>
      <c r="R977" t="s">
        <v>74</v>
      </c>
      <c r="S977" t="s">
        <v>74</v>
      </c>
      <c r="T977" t="s">
        <v>74</v>
      </c>
      <c r="U977" t="s">
        <v>17903</v>
      </c>
      <c r="V977" t="s">
        <v>17904</v>
      </c>
      <c r="W977" t="s">
        <v>17905</v>
      </c>
      <c r="X977" t="s">
        <v>17906</v>
      </c>
      <c r="Y977" t="s">
        <v>6564</v>
      </c>
      <c r="Z977" t="s">
        <v>6565</v>
      </c>
      <c r="AA977" t="s">
        <v>17907</v>
      </c>
      <c r="AB977" t="s">
        <v>17908</v>
      </c>
      <c r="AC977" t="s">
        <v>17909</v>
      </c>
      <c r="AD977" t="s">
        <v>17910</v>
      </c>
      <c r="AE977" t="s">
        <v>17911</v>
      </c>
      <c r="AF977" t="s">
        <v>74</v>
      </c>
      <c r="AG977">
        <v>14</v>
      </c>
      <c r="AH977">
        <v>38</v>
      </c>
      <c r="AI977">
        <v>43</v>
      </c>
      <c r="AJ977">
        <v>0</v>
      </c>
      <c r="AK977">
        <v>13</v>
      </c>
      <c r="AL977" t="s">
        <v>1498</v>
      </c>
      <c r="AM977" t="s">
        <v>985</v>
      </c>
      <c r="AN977" t="s">
        <v>1499</v>
      </c>
      <c r="AO977" t="s">
        <v>6066</v>
      </c>
      <c r="AP977" t="s">
        <v>74</v>
      </c>
      <c r="AQ977" t="s">
        <v>74</v>
      </c>
      <c r="AR977" t="s">
        <v>6068</v>
      </c>
      <c r="AS977" t="s">
        <v>6069</v>
      </c>
      <c r="AT977" t="s">
        <v>17912</v>
      </c>
      <c r="AU977">
        <v>2011</v>
      </c>
      <c r="AV977">
        <v>38</v>
      </c>
      <c r="AW977" t="s">
        <v>74</v>
      </c>
      <c r="AX977" t="s">
        <v>74</v>
      </c>
      <c r="AY977" t="s">
        <v>74</v>
      </c>
      <c r="AZ977" t="s">
        <v>74</v>
      </c>
      <c r="BA977" t="s">
        <v>74</v>
      </c>
      <c r="BB977" t="s">
        <v>74</v>
      </c>
      <c r="BC977" t="s">
        <v>74</v>
      </c>
      <c r="BD977" t="s">
        <v>17913</v>
      </c>
      <c r="BE977" t="s">
        <v>17914</v>
      </c>
      <c r="BF977" t="str">
        <f>HYPERLINK("http://dx.doi.org/10.1029/2011GL048373","http://dx.doi.org/10.1029/2011GL048373")</f>
        <v>http://dx.doi.org/10.1029/2011GL048373</v>
      </c>
      <c r="BG977" t="s">
        <v>74</v>
      </c>
      <c r="BH977" t="s">
        <v>74</v>
      </c>
      <c r="BI977">
        <v>5</v>
      </c>
      <c r="BJ977" t="s">
        <v>287</v>
      </c>
      <c r="BK977" t="s">
        <v>100</v>
      </c>
      <c r="BL977" t="s">
        <v>288</v>
      </c>
      <c r="BM977" t="s">
        <v>17915</v>
      </c>
      <c r="BN977" t="s">
        <v>74</v>
      </c>
      <c r="BO977" t="s">
        <v>74</v>
      </c>
      <c r="BP977" t="s">
        <v>74</v>
      </c>
      <c r="BQ977" t="s">
        <v>74</v>
      </c>
      <c r="BR977" t="s">
        <v>102</v>
      </c>
      <c r="BS977" t="s">
        <v>17916</v>
      </c>
      <c r="BT977" t="str">
        <f>HYPERLINK("https%3A%2F%2Fwww.webofscience.com%2Fwos%2Fwoscc%2Ffull-record%2FWOS:000294368500003","View Full Record in Web of Science")</f>
        <v>View Full Record in Web of Science</v>
      </c>
    </row>
    <row r="978" spans="1:72" x14ac:dyDescent="0.15">
      <c r="A978" t="s">
        <v>72</v>
      </c>
      <c r="B978" t="s">
        <v>17917</v>
      </c>
      <c r="C978" t="s">
        <v>74</v>
      </c>
      <c r="D978" t="s">
        <v>74</v>
      </c>
      <c r="E978" t="s">
        <v>74</v>
      </c>
      <c r="F978" t="s">
        <v>17918</v>
      </c>
      <c r="G978" t="s">
        <v>74</v>
      </c>
      <c r="H978" t="s">
        <v>74</v>
      </c>
      <c r="I978" t="s">
        <v>17919</v>
      </c>
      <c r="J978" t="s">
        <v>11731</v>
      </c>
      <c r="K978" t="s">
        <v>74</v>
      </c>
      <c r="L978" t="s">
        <v>74</v>
      </c>
      <c r="M978" t="s">
        <v>78</v>
      </c>
      <c r="N978" t="s">
        <v>79</v>
      </c>
      <c r="O978" t="s">
        <v>74</v>
      </c>
      <c r="P978" t="s">
        <v>74</v>
      </c>
      <c r="Q978" t="s">
        <v>74</v>
      </c>
      <c r="R978" t="s">
        <v>74</v>
      </c>
      <c r="S978" t="s">
        <v>74</v>
      </c>
      <c r="T978" t="s">
        <v>74</v>
      </c>
      <c r="U978" t="s">
        <v>17920</v>
      </c>
      <c r="V978" t="s">
        <v>17921</v>
      </c>
      <c r="W978" t="s">
        <v>17922</v>
      </c>
      <c r="X978" t="s">
        <v>16273</v>
      </c>
      <c r="Y978" t="s">
        <v>17923</v>
      </c>
      <c r="Z978" t="s">
        <v>17924</v>
      </c>
      <c r="AA978" t="s">
        <v>17925</v>
      </c>
      <c r="AB978" t="s">
        <v>17926</v>
      </c>
      <c r="AC978" t="s">
        <v>17927</v>
      </c>
      <c r="AD978" t="s">
        <v>17928</v>
      </c>
      <c r="AE978" t="s">
        <v>17929</v>
      </c>
      <c r="AF978" t="s">
        <v>74</v>
      </c>
      <c r="AG978">
        <v>46</v>
      </c>
      <c r="AH978">
        <v>32</v>
      </c>
      <c r="AI978">
        <v>33</v>
      </c>
      <c r="AJ978">
        <v>0</v>
      </c>
      <c r="AK978">
        <v>10</v>
      </c>
      <c r="AL978" t="s">
        <v>1498</v>
      </c>
      <c r="AM978" t="s">
        <v>985</v>
      </c>
      <c r="AN978" t="s">
        <v>1499</v>
      </c>
      <c r="AO978" t="s">
        <v>11743</v>
      </c>
      <c r="AP978" t="s">
        <v>11744</v>
      </c>
      <c r="AQ978" t="s">
        <v>74</v>
      </c>
      <c r="AR978" t="s">
        <v>11745</v>
      </c>
      <c r="AS978" t="s">
        <v>11746</v>
      </c>
      <c r="AT978" t="s">
        <v>17930</v>
      </c>
      <c r="AU978">
        <v>2011</v>
      </c>
      <c r="AV978">
        <v>116</v>
      </c>
      <c r="AW978" t="s">
        <v>74</v>
      </c>
      <c r="AX978" t="s">
        <v>74</v>
      </c>
      <c r="AY978" t="s">
        <v>74</v>
      </c>
      <c r="AZ978" t="s">
        <v>74</v>
      </c>
      <c r="BA978" t="s">
        <v>74</v>
      </c>
      <c r="BB978" t="s">
        <v>74</v>
      </c>
      <c r="BC978" t="s">
        <v>74</v>
      </c>
      <c r="BD978" t="s">
        <v>17931</v>
      </c>
      <c r="BE978" t="s">
        <v>17932</v>
      </c>
      <c r="BF978" t="str">
        <f>HYPERLINK("http://dx.doi.org/10.1029/2010JF001939","http://dx.doi.org/10.1029/2010JF001939")</f>
        <v>http://dx.doi.org/10.1029/2010JF001939</v>
      </c>
      <c r="BG978" t="s">
        <v>74</v>
      </c>
      <c r="BH978" t="s">
        <v>74</v>
      </c>
      <c r="BI978">
        <v>14</v>
      </c>
      <c r="BJ978" t="s">
        <v>287</v>
      </c>
      <c r="BK978" t="s">
        <v>100</v>
      </c>
      <c r="BL978" t="s">
        <v>288</v>
      </c>
      <c r="BM978" t="s">
        <v>17933</v>
      </c>
      <c r="BN978" t="s">
        <v>74</v>
      </c>
      <c r="BO978" t="s">
        <v>342</v>
      </c>
      <c r="BP978" t="s">
        <v>74</v>
      </c>
      <c r="BQ978" t="s">
        <v>74</v>
      </c>
      <c r="BR978" t="s">
        <v>102</v>
      </c>
      <c r="BS978" t="s">
        <v>17934</v>
      </c>
      <c r="BT978" t="str">
        <f>HYPERLINK("https%3A%2F%2Fwww.webofscience.com%2Fwos%2Fwoscc%2Ffull-record%2FWOS:000294367100001","View Full Record in Web of Science")</f>
        <v>View Full Record in Web of Science</v>
      </c>
    </row>
    <row r="979" spans="1:72" x14ac:dyDescent="0.15">
      <c r="A979" t="s">
        <v>72</v>
      </c>
      <c r="B979" t="s">
        <v>17935</v>
      </c>
      <c r="C979" t="s">
        <v>74</v>
      </c>
      <c r="D979" t="s">
        <v>74</v>
      </c>
      <c r="E979" t="s">
        <v>74</v>
      </c>
      <c r="F979" t="s">
        <v>17936</v>
      </c>
      <c r="G979" t="s">
        <v>74</v>
      </c>
      <c r="H979" t="s">
        <v>74</v>
      </c>
      <c r="I979" t="s">
        <v>17937</v>
      </c>
      <c r="J979" t="s">
        <v>6055</v>
      </c>
      <c r="K979" t="s">
        <v>74</v>
      </c>
      <c r="L979" t="s">
        <v>74</v>
      </c>
      <c r="M979" t="s">
        <v>78</v>
      </c>
      <c r="N979" t="s">
        <v>79</v>
      </c>
      <c r="O979" t="s">
        <v>74</v>
      </c>
      <c r="P979" t="s">
        <v>74</v>
      </c>
      <c r="Q979" t="s">
        <v>74</v>
      </c>
      <c r="R979" t="s">
        <v>74</v>
      </c>
      <c r="S979" t="s">
        <v>74</v>
      </c>
      <c r="T979" t="s">
        <v>74</v>
      </c>
      <c r="U979" t="s">
        <v>17938</v>
      </c>
      <c r="V979" t="s">
        <v>17939</v>
      </c>
      <c r="W979" t="s">
        <v>17940</v>
      </c>
      <c r="X979" t="s">
        <v>17941</v>
      </c>
      <c r="Y979" t="s">
        <v>17942</v>
      </c>
      <c r="Z979" t="s">
        <v>17943</v>
      </c>
      <c r="AA979" t="s">
        <v>17944</v>
      </c>
      <c r="AB979" t="s">
        <v>17945</v>
      </c>
      <c r="AC979" t="s">
        <v>17946</v>
      </c>
      <c r="AD979" t="s">
        <v>17947</v>
      </c>
      <c r="AE979" t="s">
        <v>17948</v>
      </c>
      <c r="AF979" t="s">
        <v>74</v>
      </c>
      <c r="AG979">
        <v>45</v>
      </c>
      <c r="AH979">
        <v>24</v>
      </c>
      <c r="AI979">
        <v>29</v>
      </c>
      <c r="AJ979">
        <v>1</v>
      </c>
      <c r="AK979">
        <v>28</v>
      </c>
      <c r="AL979" t="s">
        <v>1498</v>
      </c>
      <c r="AM979" t="s">
        <v>985</v>
      </c>
      <c r="AN979" t="s">
        <v>1499</v>
      </c>
      <c r="AO979" t="s">
        <v>6066</v>
      </c>
      <c r="AP979" t="s">
        <v>6067</v>
      </c>
      <c r="AQ979" t="s">
        <v>74</v>
      </c>
      <c r="AR979" t="s">
        <v>6068</v>
      </c>
      <c r="AS979" t="s">
        <v>6069</v>
      </c>
      <c r="AT979" t="s">
        <v>17949</v>
      </c>
      <c r="AU979">
        <v>2011</v>
      </c>
      <c r="AV979">
        <v>38</v>
      </c>
      <c r="AW979" t="s">
        <v>74</v>
      </c>
      <c r="AX979" t="s">
        <v>74</v>
      </c>
      <c r="AY979" t="s">
        <v>74</v>
      </c>
      <c r="AZ979" t="s">
        <v>74</v>
      </c>
      <c r="BA979" t="s">
        <v>74</v>
      </c>
      <c r="BB979" t="s">
        <v>74</v>
      </c>
      <c r="BC979" t="s">
        <v>74</v>
      </c>
      <c r="BD979" t="s">
        <v>17950</v>
      </c>
      <c r="BE979" t="s">
        <v>17951</v>
      </c>
      <c r="BF979" t="str">
        <f>HYPERLINK("http://dx.doi.org/10.1029/2011GL048635","http://dx.doi.org/10.1029/2011GL048635")</f>
        <v>http://dx.doi.org/10.1029/2011GL048635</v>
      </c>
      <c r="BG979" t="s">
        <v>74</v>
      </c>
      <c r="BH979" t="s">
        <v>74</v>
      </c>
      <c r="BI979">
        <v>6</v>
      </c>
      <c r="BJ979" t="s">
        <v>287</v>
      </c>
      <c r="BK979" t="s">
        <v>100</v>
      </c>
      <c r="BL979" t="s">
        <v>288</v>
      </c>
      <c r="BM979" t="s">
        <v>17952</v>
      </c>
      <c r="BN979" t="s">
        <v>74</v>
      </c>
      <c r="BO979" t="s">
        <v>6262</v>
      </c>
      <c r="BP979" t="s">
        <v>74</v>
      </c>
      <c r="BQ979" t="s">
        <v>74</v>
      </c>
      <c r="BR979" t="s">
        <v>102</v>
      </c>
      <c r="BS979" t="s">
        <v>17953</v>
      </c>
      <c r="BT979" t="str">
        <f>HYPERLINK("https%3A%2F%2Fwww.webofscience.com%2Fwos%2Fwoscc%2Ffull-record%2FWOS:000294368100007","View Full Record in Web of Science")</f>
        <v>View Full Record in Web of Science</v>
      </c>
    </row>
    <row r="980" spans="1:72" x14ac:dyDescent="0.15">
      <c r="A980" t="s">
        <v>72</v>
      </c>
      <c r="B980" t="s">
        <v>17954</v>
      </c>
      <c r="C980" t="s">
        <v>74</v>
      </c>
      <c r="D980" t="s">
        <v>74</v>
      </c>
      <c r="E980" t="s">
        <v>74</v>
      </c>
      <c r="F980" t="s">
        <v>17955</v>
      </c>
      <c r="G980" t="s">
        <v>74</v>
      </c>
      <c r="H980" t="s">
        <v>74</v>
      </c>
      <c r="I980" t="s">
        <v>17956</v>
      </c>
      <c r="J980" t="s">
        <v>6395</v>
      </c>
      <c r="K980" t="s">
        <v>74</v>
      </c>
      <c r="L980" t="s">
        <v>74</v>
      </c>
      <c r="M980" t="s">
        <v>78</v>
      </c>
      <c r="N980" t="s">
        <v>79</v>
      </c>
      <c r="O980" t="s">
        <v>74</v>
      </c>
      <c r="P980" t="s">
        <v>74</v>
      </c>
      <c r="Q980" t="s">
        <v>74</v>
      </c>
      <c r="R980" t="s">
        <v>74</v>
      </c>
      <c r="S980" t="s">
        <v>74</v>
      </c>
      <c r="T980" t="s">
        <v>74</v>
      </c>
      <c r="U980" t="s">
        <v>17957</v>
      </c>
      <c r="V980" t="s">
        <v>17958</v>
      </c>
      <c r="W980" t="s">
        <v>17959</v>
      </c>
      <c r="X980" t="s">
        <v>17960</v>
      </c>
      <c r="Y980" t="s">
        <v>17961</v>
      </c>
      <c r="Z980" t="s">
        <v>17962</v>
      </c>
      <c r="AA980" t="s">
        <v>17963</v>
      </c>
      <c r="AB980" t="s">
        <v>17964</v>
      </c>
      <c r="AC980" t="s">
        <v>17965</v>
      </c>
      <c r="AD980" t="s">
        <v>17966</v>
      </c>
      <c r="AE980" t="s">
        <v>17967</v>
      </c>
      <c r="AF980" t="s">
        <v>74</v>
      </c>
      <c r="AG980">
        <v>131</v>
      </c>
      <c r="AH980">
        <v>88</v>
      </c>
      <c r="AI980">
        <v>96</v>
      </c>
      <c r="AJ980">
        <v>3</v>
      </c>
      <c r="AK980">
        <v>57</v>
      </c>
      <c r="AL980" t="s">
        <v>1498</v>
      </c>
      <c r="AM980" t="s">
        <v>985</v>
      </c>
      <c r="AN980" t="s">
        <v>1499</v>
      </c>
      <c r="AO980" t="s">
        <v>6407</v>
      </c>
      <c r="AP980" t="s">
        <v>6408</v>
      </c>
      <c r="AQ980" t="s">
        <v>74</v>
      </c>
      <c r="AR980" t="s">
        <v>6395</v>
      </c>
      <c r="AS980" t="s">
        <v>6409</v>
      </c>
      <c r="AT980" t="s">
        <v>17949</v>
      </c>
      <c r="AU980">
        <v>2011</v>
      </c>
      <c r="AV980">
        <v>26</v>
      </c>
      <c r="AW980" t="s">
        <v>74</v>
      </c>
      <c r="AX980" t="s">
        <v>74</v>
      </c>
      <c r="AY980" t="s">
        <v>74</v>
      </c>
      <c r="AZ980" t="s">
        <v>74</v>
      </c>
      <c r="BA980" t="s">
        <v>74</v>
      </c>
      <c r="BB980" t="s">
        <v>74</v>
      </c>
      <c r="BC980" t="s">
        <v>74</v>
      </c>
      <c r="BD980" t="s">
        <v>17968</v>
      </c>
      <c r="BE980" t="s">
        <v>17969</v>
      </c>
      <c r="BF980" t="str">
        <f>HYPERLINK("http://dx.doi.org/10.1029/2010PA002074","http://dx.doi.org/10.1029/2010PA002074")</f>
        <v>http://dx.doi.org/10.1029/2010PA002074</v>
      </c>
      <c r="BG980" t="s">
        <v>74</v>
      </c>
      <c r="BH980" t="s">
        <v>74</v>
      </c>
      <c r="BI980">
        <v>15</v>
      </c>
      <c r="BJ980" t="s">
        <v>6412</v>
      </c>
      <c r="BK980" t="s">
        <v>100</v>
      </c>
      <c r="BL980" t="s">
        <v>6413</v>
      </c>
      <c r="BM980" t="s">
        <v>17970</v>
      </c>
      <c r="BN980" t="s">
        <v>74</v>
      </c>
      <c r="BO980" t="s">
        <v>1796</v>
      </c>
      <c r="BP980" t="s">
        <v>74</v>
      </c>
      <c r="BQ980" t="s">
        <v>74</v>
      </c>
      <c r="BR980" t="s">
        <v>102</v>
      </c>
      <c r="BS980" t="s">
        <v>17971</v>
      </c>
      <c r="BT980" t="str">
        <f>HYPERLINK("https%3A%2F%2Fwww.webofscience.com%2Fwos%2Fwoscc%2Ffull-record%2FWOS:000294363800002","View Full Record in Web of Science")</f>
        <v>View Full Record in Web of Science</v>
      </c>
    </row>
    <row r="981" spans="1:72" x14ac:dyDescent="0.15">
      <c r="A981" t="s">
        <v>72</v>
      </c>
      <c r="B981" t="s">
        <v>17972</v>
      </c>
      <c r="C981" t="s">
        <v>74</v>
      </c>
      <c r="D981" t="s">
        <v>74</v>
      </c>
      <c r="E981" t="s">
        <v>74</v>
      </c>
      <c r="F981" t="s">
        <v>17973</v>
      </c>
      <c r="G981" t="s">
        <v>74</v>
      </c>
      <c r="H981" t="s">
        <v>74</v>
      </c>
      <c r="I981" t="s">
        <v>17974</v>
      </c>
      <c r="J981" t="s">
        <v>9856</v>
      </c>
      <c r="K981" t="s">
        <v>74</v>
      </c>
      <c r="L981" t="s">
        <v>74</v>
      </c>
      <c r="M981" t="s">
        <v>78</v>
      </c>
      <c r="N981" t="s">
        <v>79</v>
      </c>
      <c r="O981" t="s">
        <v>74</v>
      </c>
      <c r="P981" t="s">
        <v>74</v>
      </c>
      <c r="Q981" t="s">
        <v>74</v>
      </c>
      <c r="R981" t="s">
        <v>74</v>
      </c>
      <c r="S981" t="s">
        <v>74</v>
      </c>
      <c r="T981" t="s">
        <v>74</v>
      </c>
      <c r="U981" t="s">
        <v>17975</v>
      </c>
      <c r="V981" t="s">
        <v>17976</v>
      </c>
      <c r="W981" t="s">
        <v>17977</v>
      </c>
      <c r="X981" t="s">
        <v>17978</v>
      </c>
      <c r="Y981" t="s">
        <v>17979</v>
      </c>
      <c r="Z981" t="s">
        <v>17980</v>
      </c>
      <c r="AA981" t="s">
        <v>17981</v>
      </c>
      <c r="AB981" t="s">
        <v>17982</v>
      </c>
      <c r="AC981" t="s">
        <v>17983</v>
      </c>
      <c r="AD981" t="s">
        <v>17984</v>
      </c>
      <c r="AE981" t="s">
        <v>17985</v>
      </c>
      <c r="AF981" t="s">
        <v>74</v>
      </c>
      <c r="AG981">
        <v>69</v>
      </c>
      <c r="AH981">
        <v>33</v>
      </c>
      <c r="AI981">
        <v>37</v>
      </c>
      <c r="AJ981">
        <v>0</v>
      </c>
      <c r="AK981">
        <v>13</v>
      </c>
      <c r="AL981" t="s">
        <v>1498</v>
      </c>
      <c r="AM981" t="s">
        <v>985</v>
      </c>
      <c r="AN981" t="s">
        <v>1499</v>
      </c>
      <c r="AO981" t="s">
        <v>74</v>
      </c>
      <c r="AP981" t="s">
        <v>9868</v>
      </c>
      <c r="AQ981" t="s">
        <v>74</v>
      </c>
      <c r="AR981" t="s">
        <v>9869</v>
      </c>
      <c r="AS981" t="s">
        <v>9870</v>
      </c>
      <c r="AT981" t="s">
        <v>17949</v>
      </c>
      <c r="AU981">
        <v>2011</v>
      </c>
      <c r="AV981">
        <v>9</v>
      </c>
      <c r="AW981" t="s">
        <v>74</v>
      </c>
      <c r="AX981" t="s">
        <v>74</v>
      </c>
      <c r="AY981" t="s">
        <v>74</v>
      </c>
      <c r="AZ981" t="s">
        <v>74</v>
      </c>
      <c r="BA981" t="s">
        <v>74</v>
      </c>
      <c r="BB981" t="s">
        <v>74</v>
      </c>
      <c r="BC981" t="s">
        <v>74</v>
      </c>
      <c r="BD981" t="s">
        <v>17986</v>
      </c>
      <c r="BE981" t="s">
        <v>17987</v>
      </c>
      <c r="BF981" t="str">
        <f>HYPERLINK("http://dx.doi.org/10.1029/2011SW000662","http://dx.doi.org/10.1029/2011SW000662")</f>
        <v>http://dx.doi.org/10.1029/2011SW000662</v>
      </c>
      <c r="BG981" t="s">
        <v>74</v>
      </c>
      <c r="BH981" t="s">
        <v>74</v>
      </c>
      <c r="BI981">
        <v>13</v>
      </c>
      <c r="BJ981" t="s">
        <v>4168</v>
      </c>
      <c r="BK981" t="s">
        <v>100</v>
      </c>
      <c r="BL981" t="s">
        <v>4168</v>
      </c>
      <c r="BM981" t="s">
        <v>17988</v>
      </c>
      <c r="BN981" t="s">
        <v>74</v>
      </c>
      <c r="BO981" t="s">
        <v>4515</v>
      </c>
      <c r="BP981" t="s">
        <v>74</v>
      </c>
      <c r="BQ981" t="s">
        <v>74</v>
      </c>
      <c r="BR981" t="s">
        <v>102</v>
      </c>
      <c r="BS981" t="s">
        <v>17989</v>
      </c>
      <c r="BT981" t="str">
        <f>HYPERLINK("https%3A%2F%2Fwww.webofscience.com%2Fwos%2Fwoscc%2Ffull-record%2FWOS:000294367400001","View Full Record in Web of Science")</f>
        <v>View Full Record in Web of Science</v>
      </c>
    </row>
    <row r="982" spans="1:72" x14ac:dyDescent="0.15">
      <c r="A982" t="s">
        <v>72</v>
      </c>
      <c r="B982" t="s">
        <v>17990</v>
      </c>
      <c r="C982" t="s">
        <v>74</v>
      </c>
      <c r="D982" t="s">
        <v>74</v>
      </c>
      <c r="E982" t="s">
        <v>74</v>
      </c>
      <c r="F982" t="s">
        <v>17991</v>
      </c>
      <c r="G982" t="s">
        <v>74</v>
      </c>
      <c r="H982" t="s">
        <v>74</v>
      </c>
      <c r="I982" t="s">
        <v>17992</v>
      </c>
      <c r="J982" t="s">
        <v>6077</v>
      </c>
      <c r="K982" t="s">
        <v>74</v>
      </c>
      <c r="L982" t="s">
        <v>74</v>
      </c>
      <c r="M982" t="s">
        <v>78</v>
      </c>
      <c r="N982" t="s">
        <v>79</v>
      </c>
      <c r="O982" t="s">
        <v>74</v>
      </c>
      <c r="P982" t="s">
        <v>74</v>
      </c>
      <c r="Q982" t="s">
        <v>74</v>
      </c>
      <c r="R982" t="s">
        <v>74</v>
      </c>
      <c r="S982" t="s">
        <v>74</v>
      </c>
      <c r="T982" t="s">
        <v>74</v>
      </c>
      <c r="U982" t="s">
        <v>17993</v>
      </c>
      <c r="V982" t="s">
        <v>17994</v>
      </c>
      <c r="W982" t="s">
        <v>17995</v>
      </c>
      <c r="X982" t="s">
        <v>6943</v>
      </c>
      <c r="Y982" t="s">
        <v>6944</v>
      </c>
      <c r="Z982" t="s">
        <v>17996</v>
      </c>
      <c r="AA982" t="s">
        <v>17997</v>
      </c>
      <c r="AB982" t="s">
        <v>15457</v>
      </c>
      <c r="AC982" t="s">
        <v>17998</v>
      </c>
      <c r="AD982" t="s">
        <v>17999</v>
      </c>
      <c r="AE982" t="s">
        <v>18000</v>
      </c>
      <c r="AF982" t="s">
        <v>74</v>
      </c>
      <c r="AG982">
        <v>120</v>
      </c>
      <c r="AH982">
        <v>110</v>
      </c>
      <c r="AI982">
        <v>117</v>
      </c>
      <c r="AJ982">
        <v>0</v>
      </c>
      <c r="AK982">
        <v>11</v>
      </c>
      <c r="AL982" t="s">
        <v>1498</v>
      </c>
      <c r="AM982" t="s">
        <v>985</v>
      </c>
      <c r="AN982" t="s">
        <v>1499</v>
      </c>
      <c r="AO982" t="s">
        <v>6089</v>
      </c>
      <c r="AP982" t="s">
        <v>6090</v>
      </c>
      <c r="AQ982" t="s">
        <v>74</v>
      </c>
      <c r="AR982" t="s">
        <v>6091</v>
      </c>
      <c r="AS982" t="s">
        <v>6092</v>
      </c>
      <c r="AT982" t="s">
        <v>18001</v>
      </c>
      <c r="AU982">
        <v>2011</v>
      </c>
      <c r="AV982">
        <v>116</v>
      </c>
      <c r="AW982" t="s">
        <v>74</v>
      </c>
      <c r="AX982" t="s">
        <v>74</v>
      </c>
      <c r="AY982" t="s">
        <v>74</v>
      </c>
      <c r="AZ982" t="s">
        <v>74</v>
      </c>
      <c r="BA982" t="s">
        <v>74</v>
      </c>
      <c r="BB982" t="s">
        <v>74</v>
      </c>
      <c r="BC982" t="s">
        <v>74</v>
      </c>
      <c r="BD982" t="s">
        <v>18002</v>
      </c>
      <c r="BE982" t="s">
        <v>18003</v>
      </c>
      <c r="BF982" t="str">
        <f>HYPERLINK("http://dx.doi.org/10.1029/2011JA016499","http://dx.doi.org/10.1029/2011JA016499")</f>
        <v>http://dx.doi.org/10.1029/2011JA016499</v>
      </c>
      <c r="BG982" t="s">
        <v>74</v>
      </c>
      <c r="BH982" t="s">
        <v>74</v>
      </c>
      <c r="BI982">
        <v>13</v>
      </c>
      <c r="BJ982" t="s">
        <v>5208</v>
      </c>
      <c r="BK982" t="s">
        <v>100</v>
      </c>
      <c r="BL982" t="s">
        <v>5208</v>
      </c>
      <c r="BM982" t="s">
        <v>18004</v>
      </c>
      <c r="BN982" t="s">
        <v>74</v>
      </c>
      <c r="BO982" t="s">
        <v>4515</v>
      </c>
      <c r="BP982" t="s">
        <v>74</v>
      </c>
      <c r="BQ982" t="s">
        <v>74</v>
      </c>
      <c r="BR982" t="s">
        <v>102</v>
      </c>
      <c r="BS982" t="s">
        <v>18005</v>
      </c>
      <c r="BT982" t="str">
        <f>HYPERLINK("https%3A%2F%2Fwww.webofscience.com%2Fwos%2Fwoscc%2Ffull-record%2FWOS:000294365700001","View Full Record in Web of Science")</f>
        <v>View Full Record in Web of Science</v>
      </c>
    </row>
    <row r="983" spans="1:72" x14ac:dyDescent="0.15">
      <c r="A983" t="s">
        <v>72</v>
      </c>
      <c r="B983" t="s">
        <v>18006</v>
      </c>
      <c r="C983" t="s">
        <v>74</v>
      </c>
      <c r="D983" t="s">
        <v>74</v>
      </c>
      <c r="E983" t="s">
        <v>74</v>
      </c>
      <c r="F983" t="s">
        <v>18007</v>
      </c>
      <c r="G983" t="s">
        <v>74</v>
      </c>
      <c r="H983" t="s">
        <v>74</v>
      </c>
      <c r="I983" t="s">
        <v>18008</v>
      </c>
      <c r="J983" t="s">
        <v>6124</v>
      </c>
      <c r="K983" t="s">
        <v>74</v>
      </c>
      <c r="L983" t="s">
        <v>74</v>
      </c>
      <c r="M983" t="s">
        <v>78</v>
      </c>
      <c r="N983" t="s">
        <v>79</v>
      </c>
      <c r="O983" t="s">
        <v>74</v>
      </c>
      <c r="P983" t="s">
        <v>74</v>
      </c>
      <c r="Q983" t="s">
        <v>74</v>
      </c>
      <c r="R983" t="s">
        <v>74</v>
      </c>
      <c r="S983" t="s">
        <v>74</v>
      </c>
      <c r="T983" t="s">
        <v>74</v>
      </c>
      <c r="U983" t="s">
        <v>18009</v>
      </c>
      <c r="V983" t="s">
        <v>18010</v>
      </c>
      <c r="W983" t="s">
        <v>18011</v>
      </c>
      <c r="X983" t="s">
        <v>3984</v>
      </c>
      <c r="Y983" t="s">
        <v>18012</v>
      </c>
      <c r="Z983" t="s">
        <v>74</v>
      </c>
      <c r="AA983" t="s">
        <v>74</v>
      </c>
      <c r="AB983" t="s">
        <v>74</v>
      </c>
      <c r="AC983" t="s">
        <v>18013</v>
      </c>
      <c r="AD983" t="s">
        <v>10527</v>
      </c>
      <c r="AE983" t="s">
        <v>18014</v>
      </c>
      <c r="AF983" t="s">
        <v>74</v>
      </c>
      <c r="AG983">
        <v>24</v>
      </c>
      <c r="AH983">
        <v>4</v>
      </c>
      <c r="AI983">
        <v>4</v>
      </c>
      <c r="AJ983">
        <v>0</v>
      </c>
      <c r="AK983">
        <v>8</v>
      </c>
      <c r="AL983" t="s">
        <v>1498</v>
      </c>
      <c r="AM983" t="s">
        <v>985</v>
      </c>
      <c r="AN983" t="s">
        <v>1499</v>
      </c>
      <c r="AO983" t="s">
        <v>6136</v>
      </c>
      <c r="AP983" t="s">
        <v>6137</v>
      </c>
      <c r="AQ983" t="s">
        <v>74</v>
      </c>
      <c r="AR983" t="s">
        <v>6138</v>
      </c>
      <c r="AS983" t="s">
        <v>6139</v>
      </c>
      <c r="AT983" t="s">
        <v>18015</v>
      </c>
      <c r="AU983">
        <v>2011</v>
      </c>
      <c r="AV983">
        <v>116</v>
      </c>
      <c r="AW983" t="s">
        <v>74</v>
      </c>
      <c r="AX983" t="s">
        <v>74</v>
      </c>
      <c r="AY983" t="s">
        <v>74</v>
      </c>
      <c r="AZ983" t="s">
        <v>74</v>
      </c>
      <c r="BA983" t="s">
        <v>74</v>
      </c>
      <c r="BB983" t="s">
        <v>74</v>
      </c>
      <c r="BC983" t="s">
        <v>74</v>
      </c>
      <c r="BD983" t="s">
        <v>18016</v>
      </c>
      <c r="BE983" t="s">
        <v>18017</v>
      </c>
      <c r="BF983" t="str">
        <f>HYPERLINK("http://dx.doi.org/10.1029/2009JC006055","http://dx.doi.org/10.1029/2009JC006055")</f>
        <v>http://dx.doi.org/10.1029/2009JC006055</v>
      </c>
      <c r="BG983" t="s">
        <v>74</v>
      </c>
      <c r="BH983" t="s">
        <v>74</v>
      </c>
      <c r="BI983">
        <v>13</v>
      </c>
      <c r="BJ983" t="s">
        <v>496</v>
      </c>
      <c r="BK983" t="s">
        <v>100</v>
      </c>
      <c r="BL983" t="s">
        <v>496</v>
      </c>
      <c r="BM983" t="s">
        <v>18018</v>
      </c>
      <c r="BN983" t="s">
        <v>74</v>
      </c>
      <c r="BO983" t="s">
        <v>365</v>
      </c>
      <c r="BP983" t="s">
        <v>74</v>
      </c>
      <c r="BQ983" t="s">
        <v>74</v>
      </c>
      <c r="BR983" t="s">
        <v>102</v>
      </c>
      <c r="BS983" t="s">
        <v>18019</v>
      </c>
      <c r="BT983" t="str">
        <f>HYPERLINK("https%3A%2F%2Fwww.webofscience.com%2Fwos%2Fwoscc%2Ffull-record%2FWOS:000294364200001","View Full Record in Web of Science")</f>
        <v>View Full Record in Web of Science</v>
      </c>
    </row>
    <row r="984" spans="1:72" x14ac:dyDescent="0.15">
      <c r="A984" t="s">
        <v>72</v>
      </c>
      <c r="B984" t="s">
        <v>18020</v>
      </c>
      <c r="C984" t="s">
        <v>74</v>
      </c>
      <c r="D984" t="s">
        <v>74</v>
      </c>
      <c r="E984" t="s">
        <v>74</v>
      </c>
      <c r="F984" t="s">
        <v>18021</v>
      </c>
      <c r="G984" t="s">
        <v>74</v>
      </c>
      <c r="H984" t="s">
        <v>74</v>
      </c>
      <c r="I984" t="s">
        <v>18022</v>
      </c>
      <c r="J984" t="s">
        <v>6124</v>
      </c>
      <c r="K984" t="s">
        <v>74</v>
      </c>
      <c r="L984" t="s">
        <v>74</v>
      </c>
      <c r="M984" t="s">
        <v>78</v>
      </c>
      <c r="N984" t="s">
        <v>79</v>
      </c>
      <c r="O984" t="s">
        <v>74</v>
      </c>
      <c r="P984" t="s">
        <v>74</v>
      </c>
      <c r="Q984" t="s">
        <v>74</v>
      </c>
      <c r="R984" t="s">
        <v>74</v>
      </c>
      <c r="S984" t="s">
        <v>74</v>
      </c>
      <c r="T984" t="s">
        <v>74</v>
      </c>
      <c r="U984" t="s">
        <v>18023</v>
      </c>
      <c r="V984" t="s">
        <v>18024</v>
      </c>
      <c r="W984" t="s">
        <v>18025</v>
      </c>
      <c r="X984" t="s">
        <v>18026</v>
      </c>
      <c r="Y984" t="s">
        <v>18027</v>
      </c>
      <c r="Z984" t="s">
        <v>18028</v>
      </c>
      <c r="AA984" t="s">
        <v>18029</v>
      </c>
      <c r="AB984" t="s">
        <v>18030</v>
      </c>
      <c r="AC984" t="s">
        <v>18031</v>
      </c>
      <c r="AD984" t="s">
        <v>18032</v>
      </c>
      <c r="AE984" t="s">
        <v>18033</v>
      </c>
      <c r="AF984" t="s">
        <v>74</v>
      </c>
      <c r="AG984">
        <v>58</v>
      </c>
      <c r="AH984">
        <v>40</v>
      </c>
      <c r="AI984">
        <v>45</v>
      </c>
      <c r="AJ984">
        <v>0</v>
      </c>
      <c r="AK984">
        <v>26</v>
      </c>
      <c r="AL984" t="s">
        <v>1498</v>
      </c>
      <c r="AM984" t="s">
        <v>985</v>
      </c>
      <c r="AN984" t="s">
        <v>1499</v>
      </c>
      <c r="AO984" t="s">
        <v>6136</v>
      </c>
      <c r="AP984" t="s">
        <v>6137</v>
      </c>
      <c r="AQ984" t="s">
        <v>74</v>
      </c>
      <c r="AR984" t="s">
        <v>6138</v>
      </c>
      <c r="AS984" t="s">
        <v>6139</v>
      </c>
      <c r="AT984" t="s">
        <v>18015</v>
      </c>
      <c r="AU984">
        <v>2011</v>
      </c>
      <c r="AV984">
        <v>116</v>
      </c>
      <c r="AW984" t="s">
        <v>74</v>
      </c>
      <c r="AX984" t="s">
        <v>74</v>
      </c>
      <c r="AY984" t="s">
        <v>74</v>
      </c>
      <c r="AZ984" t="s">
        <v>74</v>
      </c>
      <c r="BA984" t="s">
        <v>74</v>
      </c>
      <c r="BB984" t="s">
        <v>74</v>
      </c>
      <c r="BC984" t="s">
        <v>74</v>
      </c>
      <c r="BD984" t="s">
        <v>18034</v>
      </c>
      <c r="BE984" t="s">
        <v>18035</v>
      </c>
      <c r="BF984" t="str">
        <f>HYPERLINK("http://dx.doi.org/10.1029/2010JC006832","http://dx.doi.org/10.1029/2010JC006832")</f>
        <v>http://dx.doi.org/10.1029/2010JC006832</v>
      </c>
      <c r="BG984" t="s">
        <v>74</v>
      </c>
      <c r="BH984" t="s">
        <v>74</v>
      </c>
      <c r="BI984">
        <v>17</v>
      </c>
      <c r="BJ984" t="s">
        <v>496</v>
      </c>
      <c r="BK984" t="s">
        <v>100</v>
      </c>
      <c r="BL984" t="s">
        <v>496</v>
      </c>
      <c r="BM984" t="s">
        <v>18018</v>
      </c>
      <c r="BN984" t="s">
        <v>74</v>
      </c>
      <c r="BO984" t="s">
        <v>365</v>
      </c>
      <c r="BP984" t="s">
        <v>74</v>
      </c>
      <c r="BQ984" t="s">
        <v>74</v>
      </c>
      <c r="BR984" t="s">
        <v>102</v>
      </c>
      <c r="BS984" t="s">
        <v>18036</v>
      </c>
      <c r="BT984" t="str">
        <f>HYPERLINK("https%3A%2F%2Fwww.webofscience.com%2Fwos%2Fwoscc%2Ffull-record%2FWOS:000294364200004","View Full Record in Web of Science")</f>
        <v>View Full Record in Web of Science</v>
      </c>
    </row>
    <row r="985" spans="1:72" x14ac:dyDescent="0.15">
      <c r="A985" t="s">
        <v>72</v>
      </c>
      <c r="B985" t="s">
        <v>18037</v>
      </c>
      <c r="C985" t="s">
        <v>74</v>
      </c>
      <c r="D985" t="s">
        <v>74</v>
      </c>
      <c r="E985" t="s">
        <v>74</v>
      </c>
      <c r="F985" t="s">
        <v>18038</v>
      </c>
      <c r="G985" t="s">
        <v>74</v>
      </c>
      <c r="H985" t="s">
        <v>74</v>
      </c>
      <c r="I985" t="s">
        <v>18039</v>
      </c>
      <c r="J985" t="s">
        <v>9269</v>
      </c>
      <c r="K985" t="s">
        <v>74</v>
      </c>
      <c r="L985" t="s">
        <v>74</v>
      </c>
      <c r="M985" t="s">
        <v>78</v>
      </c>
      <c r="N985" t="s">
        <v>79</v>
      </c>
      <c r="O985" t="s">
        <v>74</v>
      </c>
      <c r="P985" t="s">
        <v>74</v>
      </c>
      <c r="Q985" t="s">
        <v>74</v>
      </c>
      <c r="R985" t="s">
        <v>74</v>
      </c>
      <c r="S985" t="s">
        <v>74</v>
      </c>
      <c r="T985" t="s">
        <v>74</v>
      </c>
      <c r="U985" t="s">
        <v>18040</v>
      </c>
      <c r="V985" t="s">
        <v>18041</v>
      </c>
      <c r="W985" t="s">
        <v>18042</v>
      </c>
      <c r="X985" t="s">
        <v>18043</v>
      </c>
      <c r="Y985" t="s">
        <v>18044</v>
      </c>
      <c r="Z985" t="s">
        <v>18045</v>
      </c>
      <c r="AA985" t="s">
        <v>18046</v>
      </c>
      <c r="AB985" t="s">
        <v>18047</v>
      </c>
      <c r="AC985" t="s">
        <v>18048</v>
      </c>
      <c r="AD985" t="s">
        <v>18049</v>
      </c>
      <c r="AE985" t="s">
        <v>18050</v>
      </c>
      <c r="AF985" t="s">
        <v>74</v>
      </c>
      <c r="AG985">
        <v>40</v>
      </c>
      <c r="AH985">
        <v>388</v>
      </c>
      <c r="AI985">
        <v>417</v>
      </c>
      <c r="AJ985">
        <v>1</v>
      </c>
      <c r="AK985">
        <v>173</v>
      </c>
      <c r="AL985" t="s">
        <v>9274</v>
      </c>
      <c r="AM985" t="s">
        <v>985</v>
      </c>
      <c r="AN985" t="s">
        <v>9275</v>
      </c>
      <c r="AO985" t="s">
        <v>9276</v>
      </c>
      <c r="AP985" t="s">
        <v>74</v>
      </c>
      <c r="AQ985" t="s">
        <v>74</v>
      </c>
      <c r="AR985" t="s">
        <v>9277</v>
      </c>
      <c r="AS985" t="s">
        <v>9278</v>
      </c>
      <c r="AT985" t="s">
        <v>18015</v>
      </c>
      <c r="AU985">
        <v>2011</v>
      </c>
      <c r="AV985">
        <v>108</v>
      </c>
      <c r="AW985">
        <v>34</v>
      </c>
      <c r="AX985" t="s">
        <v>74</v>
      </c>
      <c r="AY985" t="s">
        <v>74</v>
      </c>
      <c r="AZ985" t="s">
        <v>74</v>
      </c>
      <c r="BA985" t="s">
        <v>74</v>
      </c>
      <c r="BB985">
        <v>13995</v>
      </c>
      <c r="BC985">
        <v>13998</v>
      </c>
      <c r="BD985" t="s">
        <v>74</v>
      </c>
      <c r="BE985" t="s">
        <v>18051</v>
      </c>
      <c r="BF985" t="str">
        <f>HYPERLINK("http://dx.doi.org/10.1073/pnas.1106493108","http://dx.doi.org/10.1073/pnas.1106493108")</f>
        <v>http://dx.doi.org/10.1073/pnas.1106493108</v>
      </c>
      <c r="BG985" t="s">
        <v>74</v>
      </c>
      <c r="BH985" t="s">
        <v>74</v>
      </c>
      <c r="BI985">
        <v>4</v>
      </c>
      <c r="BJ985" t="s">
        <v>6182</v>
      </c>
      <c r="BK985" t="s">
        <v>100</v>
      </c>
      <c r="BL985" t="s">
        <v>6183</v>
      </c>
      <c r="BM985" t="s">
        <v>18052</v>
      </c>
      <c r="BN985">
        <v>21836052</v>
      </c>
      <c r="BO985" t="s">
        <v>182</v>
      </c>
      <c r="BP985" t="s">
        <v>74</v>
      </c>
      <c r="BQ985" t="s">
        <v>74</v>
      </c>
      <c r="BR985" t="s">
        <v>102</v>
      </c>
      <c r="BS985" t="s">
        <v>18053</v>
      </c>
      <c r="BT985" t="str">
        <f>HYPERLINK("https%3A%2F%2Fwww.webofscience.com%2Fwos%2Fwoscc%2Ffull-record%2FWOS:000294163500032","View Full Record in Web of Science")</f>
        <v>View Full Record in Web of Science</v>
      </c>
    </row>
    <row r="986" spans="1:72" x14ac:dyDescent="0.15">
      <c r="A986" t="s">
        <v>72</v>
      </c>
      <c r="B986" t="s">
        <v>18054</v>
      </c>
      <c r="C986" t="s">
        <v>74</v>
      </c>
      <c r="D986" t="s">
        <v>74</v>
      </c>
      <c r="E986" t="s">
        <v>74</v>
      </c>
      <c r="F986" t="s">
        <v>18055</v>
      </c>
      <c r="G986" t="s">
        <v>74</v>
      </c>
      <c r="H986" t="s">
        <v>74</v>
      </c>
      <c r="I986" t="s">
        <v>18056</v>
      </c>
      <c r="J986" t="s">
        <v>9269</v>
      </c>
      <c r="K986" t="s">
        <v>74</v>
      </c>
      <c r="L986" t="s">
        <v>74</v>
      </c>
      <c r="M986" t="s">
        <v>78</v>
      </c>
      <c r="N986" t="s">
        <v>79</v>
      </c>
      <c r="O986" t="s">
        <v>74</v>
      </c>
      <c r="P986" t="s">
        <v>74</v>
      </c>
      <c r="Q986" t="s">
        <v>74</v>
      </c>
      <c r="R986" t="s">
        <v>74</v>
      </c>
      <c r="S986" t="s">
        <v>74</v>
      </c>
      <c r="T986" t="s">
        <v>18057</v>
      </c>
      <c r="U986" t="s">
        <v>18058</v>
      </c>
      <c r="V986" t="s">
        <v>18059</v>
      </c>
      <c r="W986" t="s">
        <v>18060</v>
      </c>
      <c r="X986" t="s">
        <v>18061</v>
      </c>
      <c r="Y986" t="s">
        <v>18062</v>
      </c>
      <c r="Z986" t="s">
        <v>18063</v>
      </c>
      <c r="AA986" t="s">
        <v>74</v>
      </c>
      <c r="AB986" t="s">
        <v>74</v>
      </c>
      <c r="AC986" t="s">
        <v>18064</v>
      </c>
      <c r="AD986" t="s">
        <v>18065</v>
      </c>
      <c r="AE986" t="s">
        <v>18066</v>
      </c>
      <c r="AF986" t="s">
        <v>74</v>
      </c>
      <c r="AG986">
        <v>38</v>
      </c>
      <c r="AH986">
        <v>91</v>
      </c>
      <c r="AI986">
        <v>97</v>
      </c>
      <c r="AJ986">
        <v>0</v>
      </c>
      <c r="AK986">
        <v>45</v>
      </c>
      <c r="AL986" t="s">
        <v>9274</v>
      </c>
      <c r="AM986" t="s">
        <v>985</v>
      </c>
      <c r="AN986" t="s">
        <v>9275</v>
      </c>
      <c r="AO986" t="s">
        <v>9276</v>
      </c>
      <c r="AP986" t="s">
        <v>74</v>
      </c>
      <c r="AQ986" t="s">
        <v>74</v>
      </c>
      <c r="AR986" t="s">
        <v>9277</v>
      </c>
      <c r="AS986" t="s">
        <v>9278</v>
      </c>
      <c r="AT986" t="s">
        <v>18015</v>
      </c>
      <c r="AU986">
        <v>2011</v>
      </c>
      <c r="AV986">
        <v>108</v>
      </c>
      <c r="AW986">
        <v>34</v>
      </c>
      <c r="AX986" t="s">
        <v>74</v>
      </c>
      <c r="AY986" t="s">
        <v>74</v>
      </c>
      <c r="AZ986" t="s">
        <v>74</v>
      </c>
      <c r="BA986" t="s">
        <v>74</v>
      </c>
      <c r="BB986">
        <v>14015</v>
      </c>
      <c r="BC986">
        <v>14020</v>
      </c>
      <c r="BD986" t="s">
        <v>74</v>
      </c>
      <c r="BE986" t="s">
        <v>18067</v>
      </c>
      <c r="BF986" t="str">
        <f>HYPERLINK("http://dx.doi.org/10.1073/pnas.1105715108","http://dx.doi.org/10.1073/pnas.1105715108")</f>
        <v>http://dx.doi.org/10.1073/pnas.1105715108</v>
      </c>
      <c r="BG986" t="s">
        <v>74</v>
      </c>
      <c r="BH986" t="s">
        <v>74</v>
      </c>
      <c r="BI986">
        <v>6</v>
      </c>
      <c r="BJ986" t="s">
        <v>6182</v>
      </c>
      <c r="BK986" t="s">
        <v>100</v>
      </c>
      <c r="BL986" t="s">
        <v>6183</v>
      </c>
      <c r="BM986" t="s">
        <v>18052</v>
      </c>
      <c r="BN986">
        <v>21825143</v>
      </c>
      <c r="BO986" t="s">
        <v>6262</v>
      </c>
      <c r="BP986" t="s">
        <v>74</v>
      </c>
      <c r="BQ986" t="s">
        <v>74</v>
      </c>
      <c r="BR986" t="s">
        <v>102</v>
      </c>
      <c r="BS986" t="s">
        <v>18068</v>
      </c>
      <c r="BT986" t="str">
        <f>HYPERLINK("https%3A%2F%2Fwww.webofscience.com%2Fwos%2Fwoscc%2Ffull-record%2FWOS:000294163500036","View Full Record in Web of Science")</f>
        <v>View Full Record in Web of Science</v>
      </c>
    </row>
    <row r="987" spans="1:72" x14ac:dyDescent="0.15">
      <c r="A987" t="s">
        <v>72</v>
      </c>
      <c r="B987" t="s">
        <v>18069</v>
      </c>
      <c r="C987" t="s">
        <v>74</v>
      </c>
      <c r="D987" t="s">
        <v>74</v>
      </c>
      <c r="E987" t="s">
        <v>74</v>
      </c>
      <c r="F987" t="s">
        <v>18070</v>
      </c>
      <c r="G987" t="s">
        <v>74</v>
      </c>
      <c r="H987" t="s">
        <v>74</v>
      </c>
      <c r="I987" t="s">
        <v>18071</v>
      </c>
      <c r="J987" t="s">
        <v>18072</v>
      </c>
      <c r="K987" t="s">
        <v>74</v>
      </c>
      <c r="L987" t="s">
        <v>74</v>
      </c>
      <c r="M987" t="s">
        <v>78</v>
      </c>
      <c r="N987" t="s">
        <v>79</v>
      </c>
      <c r="O987" t="s">
        <v>74</v>
      </c>
      <c r="P987" t="s">
        <v>74</v>
      </c>
      <c r="Q987" t="s">
        <v>74</v>
      </c>
      <c r="R987" t="s">
        <v>74</v>
      </c>
      <c r="S987" t="s">
        <v>74</v>
      </c>
      <c r="T987" t="s">
        <v>18073</v>
      </c>
      <c r="U987" t="s">
        <v>18074</v>
      </c>
      <c r="V987" t="s">
        <v>18075</v>
      </c>
      <c r="W987" t="s">
        <v>18076</v>
      </c>
      <c r="X987" t="s">
        <v>18077</v>
      </c>
      <c r="Y987" t="s">
        <v>18078</v>
      </c>
      <c r="Z987" t="s">
        <v>18079</v>
      </c>
      <c r="AA987" t="s">
        <v>18080</v>
      </c>
      <c r="AB987" t="s">
        <v>18081</v>
      </c>
      <c r="AC987" t="s">
        <v>1686</v>
      </c>
      <c r="AD987" t="s">
        <v>1007</v>
      </c>
      <c r="AE987" t="s">
        <v>74</v>
      </c>
      <c r="AF987" t="s">
        <v>74</v>
      </c>
      <c r="AG987">
        <v>36</v>
      </c>
      <c r="AH987">
        <v>89</v>
      </c>
      <c r="AI987">
        <v>106</v>
      </c>
      <c r="AJ987">
        <v>3</v>
      </c>
      <c r="AK987">
        <v>64</v>
      </c>
      <c r="AL987" t="s">
        <v>6279</v>
      </c>
      <c r="AM987" t="s">
        <v>221</v>
      </c>
      <c r="AN987" t="s">
        <v>6280</v>
      </c>
      <c r="AO987" t="s">
        <v>18082</v>
      </c>
      <c r="AP987" t="s">
        <v>18083</v>
      </c>
      <c r="AQ987" t="s">
        <v>74</v>
      </c>
      <c r="AR987" t="s">
        <v>18084</v>
      </c>
      <c r="AS987" t="s">
        <v>18085</v>
      </c>
      <c r="AT987" t="s">
        <v>18086</v>
      </c>
      <c r="AU987">
        <v>2011</v>
      </c>
      <c r="AV987">
        <v>278</v>
      </c>
      <c r="AW987">
        <v>1717</v>
      </c>
      <c r="AX987" t="s">
        <v>74</v>
      </c>
      <c r="AY987" t="s">
        <v>74</v>
      </c>
      <c r="AZ987" t="s">
        <v>74</v>
      </c>
      <c r="BA987" t="s">
        <v>74</v>
      </c>
      <c r="BB987">
        <v>2412</v>
      </c>
      <c r="BC987">
        <v>2418</v>
      </c>
      <c r="BD987" t="s">
        <v>74</v>
      </c>
      <c r="BE987" t="s">
        <v>18087</v>
      </c>
      <c r="BF987" t="str">
        <f>HYPERLINK("http://dx.doi.org/10.1098/rspb.2010.2601","http://dx.doi.org/10.1098/rspb.2010.2601")</f>
        <v>http://dx.doi.org/10.1098/rspb.2010.2601</v>
      </c>
      <c r="BG987" t="s">
        <v>74</v>
      </c>
      <c r="BH987" t="s">
        <v>74</v>
      </c>
      <c r="BI987">
        <v>7</v>
      </c>
      <c r="BJ987" t="s">
        <v>6285</v>
      </c>
      <c r="BK987" t="s">
        <v>100</v>
      </c>
      <c r="BL987" t="s">
        <v>6286</v>
      </c>
      <c r="BM987" t="s">
        <v>18088</v>
      </c>
      <c r="BN987">
        <v>21208952</v>
      </c>
      <c r="BO987" t="s">
        <v>342</v>
      </c>
      <c r="BP987" t="s">
        <v>74</v>
      </c>
      <c r="BQ987" t="s">
        <v>74</v>
      </c>
      <c r="BR987" t="s">
        <v>102</v>
      </c>
      <c r="BS987" t="s">
        <v>18089</v>
      </c>
      <c r="BT987" t="str">
        <f>HYPERLINK("https%3A%2F%2Fwww.webofscience.com%2Fwos%2Fwoscc%2Ffull-record%2FWOS:000292592000002","View Full Record in Web of Science")</f>
        <v>View Full Record in Web of Science</v>
      </c>
    </row>
    <row r="988" spans="1:72" x14ac:dyDescent="0.15">
      <c r="A988" t="s">
        <v>72</v>
      </c>
      <c r="B988" t="s">
        <v>18090</v>
      </c>
      <c r="C988" t="s">
        <v>74</v>
      </c>
      <c r="D988" t="s">
        <v>74</v>
      </c>
      <c r="E988" t="s">
        <v>74</v>
      </c>
      <c r="F988" t="s">
        <v>18091</v>
      </c>
      <c r="G988" t="s">
        <v>74</v>
      </c>
      <c r="H988" t="s">
        <v>74</v>
      </c>
      <c r="I988" t="s">
        <v>18092</v>
      </c>
      <c r="J988" t="s">
        <v>6124</v>
      </c>
      <c r="K988" t="s">
        <v>74</v>
      </c>
      <c r="L988" t="s">
        <v>74</v>
      </c>
      <c r="M988" t="s">
        <v>78</v>
      </c>
      <c r="N988" t="s">
        <v>79</v>
      </c>
      <c r="O988" t="s">
        <v>74</v>
      </c>
      <c r="P988" t="s">
        <v>74</v>
      </c>
      <c r="Q988" t="s">
        <v>74</v>
      </c>
      <c r="R988" t="s">
        <v>74</v>
      </c>
      <c r="S988" t="s">
        <v>74</v>
      </c>
      <c r="T988" t="s">
        <v>74</v>
      </c>
      <c r="U988" t="s">
        <v>18093</v>
      </c>
      <c r="V988" t="s">
        <v>18094</v>
      </c>
      <c r="W988" t="s">
        <v>18095</v>
      </c>
      <c r="X988" t="s">
        <v>1517</v>
      </c>
      <c r="Y988" t="s">
        <v>18096</v>
      </c>
      <c r="Z988" t="s">
        <v>18097</v>
      </c>
      <c r="AA988" t="s">
        <v>6691</v>
      </c>
      <c r="AB988" t="s">
        <v>18098</v>
      </c>
      <c r="AC988" t="s">
        <v>18099</v>
      </c>
      <c r="AD988" t="s">
        <v>18100</v>
      </c>
      <c r="AE988" t="s">
        <v>18101</v>
      </c>
      <c r="AF988" t="s">
        <v>74</v>
      </c>
      <c r="AG988">
        <v>50</v>
      </c>
      <c r="AH988">
        <v>81</v>
      </c>
      <c r="AI988">
        <v>90</v>
      </c>
      <c r="AJ988">
        <v>0</v>
      </c>
      <c r="AK988">
        <v>25</v>
      </c>
      <c r="AL988" t="s">
        <v>1498</v>
      </c>
      <c r="AM988" t="s">
        <v>985</v>
      </c>
      <c r="AN988" t="s">
        <v>1499</v>
      </c>
      <c r="AO988" t="s">
        <v>6136</v>
      </c>
      <c r="AP988" t="s">
        <v>6137</v>
      </c>
      <c r="AQ988" t="s">
        <v>74</v>
      </c>
      <c r="AR988" t="s">
        <v>6138</v>
      </c>
      <c r="AS988" t="s">
        <v>6139</v>
      </c>
      <c r="AT988" t="s">
        <v>18102</v>
      </c>
      <c r="AU988">
        <v>2011</v>
      </c>
      <c r="AV988">
        <v>116</v>
      </c>
      <c r="AW988" t="s">
        <v>74</v>
      </c>
      <c r="AX988" t="s">
        <v>74</v>
      </c>
      <c r="AY988" t="s">
        <v>74</v>
      </c>
      <c r="AZ988" t="s">
        <v>74</v>
      </c>
      <c r="BA988" t="s">
        <v>74</v>
      </c>
      <c r="BB988" t="s">
        <v>74</v>
      </c>
      <c r="BC988" t="s">
        <v>74</v>
      </c>
      <c r="BD988" t="s">
        <v>18103</v>
      </c>
      <c r="BE988" t="s">
        <v>18104</v>
      </c>
      <c r="BF988" t="str">
        <f>HYPERLINK("http://dx.doi.org/10.1029/2011JC006999","http://dx.doi.org/10.1029/2011JC006999")</f>
        <v>http://dx.doi.org/10.1029/2011JC006999</v>
      </c>
      <c r="BG988" t="s">
        <v>74</v>
      </c>
      <c r="BH988" t="s">
        <v>74</v>
      </c>
      <c r="BI988">
        <v>16</v>
      </c>
      <c r="BJ988" t="s">
        <v>496</v>
      </c>
      <c r="BK988" t="s">
        <v>100</v>
      </c>
      <c r="BL988" t="s">
        <v>496</v>
      </c>
      <c r="BM988" t="s">
        <v>18105</v>
      </c>
      <c r="BN988" t="s">
        <v>74</v>
      </c>
      <c r="BO988" t="s">
        <v>365</v>
      </c>
      <c r="BP988" t="s">
        <v>74</v>
      </c>
      <c r="BQ988" t="s">
        <v>74</v>
      </c>
      <c r="BR988" t="s">
        <v>102</v>
      </c>
      <c r="BS988" t="s">
        <v>18106</v>
      </c>
      <c r="BT988" t="str">
        <f>HYPERLINK("https%3A%2F%2Fwww.webofscience.com%2Fwos%2Fwoscc%2Ffull-record%2FWOS:000294133300003","View Full Record in Web of Science")</f>
        <v>View Full Record in Web of Science</v>
      </c>
    </row>
    <row r="989" spans="1:72" x14ac:dyDescent="0.15">
      <c r="A989" t="s">
        <v>72</v>
      </c>
      <c r="B989" t="s">
        <v>18107</v>
      </c>
      <c r="C989" t="s">
        <v>74</v>
      </c>
      <c r="D989" t="s">
        <v>74</v>
      </c>
      <c r="E989" t="s">
        <v>74</v>
      </c>
      <c r="F989" t="s">
        <v>18108</v>
      </c>
      <c r="G989" t="s">
        <v>74</v>
      </c>
      <c r="H989" t="s">
        <v>74</v>
      </c>
      <c r="I989" t="s">
        <v>18109</v>
      </c>
      <c r="J989" t="s">
        <v>18110</v>
      </c>
      <c r="K989" t="s">
        <v>74</v>
      </c>
      <c r="L989" t="s">
        <v>74</v>
      </c>
      <c r="M989" t="s">
        <v>78</v>
      </c>
      <c r="N989" t="s">
        <v>79</v>
      </c>
      <c r="O989" t="s">
        <v>74</v>
      </c>
      <c r="P989" t="s">
        <v>74</v>
      </c>
      <c r="Q989" t="s">
        <v>74</v>
      </c>
      <c r="R989" t="s">
        <v>74</v>
      </c>
      <c r="S989" t="s">
        <v>74</v>
      </c>
      <c r="T989" t="s">
        <v>18111</v>
      </c>
      <c r="U989" t="s">
        <v>18112</v>
      </c>
      <c r="V989" t="s">
        <v>18113</v>
      </c>
      <c r="W989" t="s">
        <v>18114</v>
      </c>
      <c r="X989" t="s">
        <v>18115</v>
      </c>
      <c r="Y989" t="s">
        <v>18116</v>
      </c>
      <c r="Z989" t="s">
        <v>18117</v>
      </c>
      <c r="AA989" t="s">
        <v>18118</v>
      </c>
      <c r="AB989" t="s">
        <v>18119</v>
      </c>
      <c r="AC989" t="s">
        <v>18120</v>
      </c>
      <c r="AD989" t="s">
        <v>18121</v>
      </c>
      <c r="AE989" t="s">
        <v>18122</v>
      </c>
      <c r="AF989" t="s">
        <v>74</v>
      </c>
      <c r="AG989">
        <v>41</v>
      </c>
      <c r="AH989">
        <v>44</v>
      </c>
      <c r="AI989">
        <v>46</v>
      </c>
      <c r="AJ989">
        <v>1</v>
      </c>
      <c r="AK989">
        <v>16</v>
      </c>
      <c r="AL989" t="s">
        <v>7095</v>
      </c>
      <c r="AM989" t="s">
        <v>7096</v>
      </c>
      <c r="AN989" t="s">
        <v>7097</v>
      </c>
      <c r="AO989" t="s">
        <v>18123</v>
      </c>
      <c r="AP989" t="s">
        <v>74</v>
      </c>
      <c r="AQ989" t="s">
        <v>74</v>
      </c>
      <c r="AR989" t="s">
        <v>18110</v>
      </c>
      <c r="AS989" t="s">
        <v>18124</v>
      </c>
      <c r="AT989" t="s">
        <v>18125</v>
      </c>
      <c r="AU989">
        <v>2011</v>
      </c>
      <c r="AV989">
        <v>27</v>
      </c>
      <c r="AW989" t="s">
        <v>74</v>
      </c>
      <c r="AX989" t="s">
        <v>74</v>
      </c>
      <c r="AY989" t="s">
        <v>74</v>
      </c>
      <c r="AZ989" t="s">
        <v>74</v>
      </c>
      <c r="BA989" t="s">
        <v>74</v>
      </c>
      <c r="BB989">
        <v>44</v>
      </c>
      <c r="BC989">
        <v>60</v>
      </c>
      <c r="BD989" t="s">
        <v>74</v>
      </c>
      <c r="BE989" t="s">
        <v>18126</v>
      </c>
      <c r="BF989" t="str">
        <f>HYPERLINK("http://dx.doi.org/10.11646/phytotaxa.27.1.5","http://dx.doi.org/10.11646/phytotaxa.27.1.5")</f>
        <v>http://dx.doi.org/10.11646/phytotaxa.27.1.5</v>
      </c>
      <c r="BG989" t="s">
        <v>74</v>
      </c>
      <c r="BH989" t="s">
        <v>74</v>
      </c>
      <c r="BI989">
        <v>17</v>
      </c>
      <c r="BJ989" t="s">
        <v>3216</v>
      </c>
      <c r="BK989" t="s">
        <v>100</v>
      </c>
      <c r="BL989" t="s">
        <v>3216</v>
      </c>
      <c r="BM989" t="s">
        <v>18127</v>
      </c>
      <c r="BN989" t="s">
        <v>74</v>
      </c>
      <c r="BO989" t="s">
        <v>74</v>
      </c>
      <c r="BP989" t="s">
        <v>74</v>
      </c>
      <c r="BQ989" t="s">
        <v>74</v>
      </c>
      <c r="BR989" t="s">
        <v>102</v>
      </c>
      <c r="BS989" t="s">
        <v>18128</v>
      </c>
      <c r="BT989" t="str">
        <f>HYPERLINK("https%3A%2F%2Fwww.webofscience.com%2Fwos%2Fwoscc%2Ffull-record%2FWOS:000294433500005","View Full Record in Web of Science")</f>
        <v>View Full Record in Web of Science</v>
      </c>
    </row>
    <row r="990" spans="1:72" x14ac:dyDescent="0.15">
      <c r="A990" t="s">
        <v>72</v>
      </c>
      <c r="B990" t="s">
        <v>18129</v>
      </c>
      <c r="C990" t="s">
        <v>74</v>
      </c>
      <c r="D990" t="s">
        <v>74</v>
      </c>
      <c r="E990" t="s">
        <v>74</v>
      </c>
      <c r="F990" t="s">
        <v>18130</v>
      </c>
      <c r="G990" t="s">
        <v>74</v>
      </c>
      <c r="H990" t="s">
        <v>74</v>
      </c>
      <c r="I990" t="s">
        <v>18131</v>
      </c>
      <c r="J990" t="s">
        <v>6224</v>
      </c>
      <c r="K990" t="s">
        <v>74</v>
      </c>
      <c r="L990" t="s">
        <v>74</v>
      </c>
      <c r="M990" t="s">
        <v>78</v>
      </c>
      <c r="N990" t="s">
        <v>79</v>
      </c>
      <c r="O990" t="s">
        <v>74</v>
      </c>
      <c r="P990" t="s">
        <v>74</v>
      </c>
      <c r="Q990" t="s">
        <v>74</v>
      </c>
      <c r="R990" t="s">
        <v>74</v>
      </c>
      <c r="S990" t="s">
        <v>74</v>
      </c>
      <c r="T990" t="s">
        <v>74</v>
      </c>
      <c r="U990" t="s">
        <v>18132</v>
      </c>
      <c r="V990" t="s">
        <v>18133</v>
      </c>
      <c r="W990" t="s">
        <v>18134</v>
      </c>
      <c r="X990" t="s">
        <v>18135</v>
      </c>
      <c r="Y990" t="s">
        <v>18136</v>
      </c>
      <c r="Z990" t="s">
        <v>18137</v>
      </c>
      <c r="AA990" t="s">
        <v>18138</v>
      </c>
      <c r="AB990" t="s">
        <v>18139</v>
      </c>
      <c r="AC990" t="s">
        <v>18140</v>
      </c>
      <c r="AD990" t="s">
        <v>18141</v>
      </c>
      <c r="AE990" t="s">
        <v>18142</v>
      </c>
      <c r="AF990" t="s">
        <v>74</v>
      </c>
      <c r="AG990">
        <v>101</v>
      </c>
      <c r="AH990">
        <v>25</v>
      </c>
      <c r="AI990">
        <v>25</v>
      </c>
      <c r="AJ990">
        <v>0</v>
      </c>
      <c r="AK990">
        <v>22</v>
      </c>
      <c r="AL990" t="s">
        <v>1498</v>
      </c>
      <c r="AM990" t="s">
        <v>985</v>
      </c>
      <c r="AN990" t="s">
        <v>1499</v>
      </c>
      <c r="AO990" t="s">
        <v>6236</v>
      </c>
      <c r="AP990" t="s">
        <v>6237</v>
      </c>
      <c r="AQ990" t="s">
        <v>74</v>
      </c>
      <c r="AR990" t="s">
        <v>6238</v>
      </c>
      <c r="AS990" t="s">
        <v>6239</v>
      </c>
      <c r="AT990" t="s">
        <v>18125</v>
      </c>
      <c r="AU990">
        <v>2011</v>
      </c>
      <c r="AV990">
        <v>116</v>
      </c>
      <c r="AW990" t="s">
        <v>74</v>
      </c>
      <c r="AX990" t="s">
        <v>74</v>
      </c>
      <c r="AY990" t="s">
        <v>74</v>
      </c>
      <c r="AZ990" t="s">
        <v>74</v>
      </c>
      <c r="BA990" t="s">
        <v>74</v>
      </c>
      <c r="BB990" t="s">
        <v>74</v>
      </c>
      <c r="BC990" t="s">
        <v>74</v>
      </c>
      <c r="BD990" t="s">
        <v>18143</v>
      </c>
      <c r="BE990" t="s">
        <v>18144</v>
      </c>
      <c r="BF990" t="str">
        <f>HYPERLINK("http://dx.doi.org/10.1029/2011JD015822","http://dx.doi.org/10.1029/2011JD015822")</f>
        <v>http://dx.doi.org/10.1029/2011JD015822</v>
      </c>
      <c r="BG990" t="s">
        <v>74</v>
      </c>
      <c r="BH990" t="s">
        <v>74</v>
      </c>
      <c r="BI990">
        <v>15</v>
      </c>
      <c r="BJ990" t="s">
        <v>463</v>
      </c>
      <c r="BK990" t="s">
        <v>100</v>
      </c>
      <c r="BL990" t="s">
        <v>463</v>
      </c>
      <c r="BM990" t="s">
        <v>18145</v>
      </c>
      <c r="BN990" t="s">
        <v>74</v>
      </c>
      <c r="BO990" t="s">
        <v>2679</v>
      </c>
      <c r="BP990" t="s">
        <v>74</v>
      </c>
      <c r="BQ990" t="s">
        <v>74</v>
      </c>
      <c r="BR990" t="s">
        <v>102</v>
      </c>
      <c r="BS990" t="s">
        <v>18146</v>
      </c>
      <c r="BT990" t="str">
        <f>HYPERLINK("https%3A%2F%2Fwww.webofscience.com%2Fwos%2Fwoscc%2Ffull-record%2FWOS:000294129500005","View Full Record in Web of Science")</f>
        <v>View Full Record in Web of Science</v>
      </c>
    </row>
    <row r="991" spans="1:72" x14ac:dyDescent="0.15">
      <c r="A991" t="s">
        <v>72</v>
      </c>
      <c r="B991" t="s">
        <v>18147</v>
      </c>
      <c r="C991" t="s">
        <v>74</v>
      </c>
      <c r="D991" t="s">
        <v>74</v>
      </c>
      <c r="E991" t="s">
        <v>74</v>
      </c>
      <c r="F991" t="s">
        <v>18148</v>
      </c>
      <c r="G991" t="s">
        <v>74</v>
      </c>
      <c r="H991" t="s">
        <v>74</v>
      </c>
      <c r="I991" t="s">
        <v>18149</v>
      </c>
      <c r="J991" t="s">
        <v>9397</v>
      </c>
      <c r="K991" t="s">
        <v>74</v>
      </c>
      <c r="L991" t="s">
        <v>74</v>
      </c>
      <c r="M991" t="s">
        <v>78</v>
      </c>
      <c r="N991" t="s">
        <v>79</v>
      </c>
      <c r="O991" t="s">
        <v>74</v>
      </c>
      <c r="P991" t="s">
        <v>74</v>
      </c>
      <c r="Q991" t="s">
        <v>74</v>
      </c>
      <c r="R991" t="s">
        <v>74</v>
      </c>
      <c r="S991" t="s">
        <v>74</v>
      </c>
      <c r="T991" t="s">
        <v>74</v>
      </c>
      <c r="U991" t="s">
        <v>18150</v>
      </c>
      <c r="V991" t="s">
        <v>18151</v>
      </c>
      <c r="W991" t="s">
        <v>18152</v>
      </c>
      <c r="X991" t="s">
        <v>18153</v>
      </c>
      <c r="Y991" t="s">
        <v>18154</v>
      </c>
      <c r="Z991" t="s">
        <v>18155</v>
      </c>
      <c r="AA991" t="s">
        <v>18156</v>
      </c>
      <c r="AB991" t="s">
        <v>18157</v>
      </c>
      <c r="AC991" t="s">
        <v>18158</v>
      </c>
      <c r="AD991" t="s">
        <v>18159</v>
      </c>
      <c r="AE991" t="s">
        <v>18160</v>
      </c>
      <c r="AF991" t="s">
        <v>74</v>
      </c>
      <c r="AG991">
        <v>36</v>
      </c>
      <c r="AH991">
        <v>266</v>
      </c>
      <c r="AI991">
        <v>309</v>
      </c>
      <c r="AJ991">
        <v>8</v>
      </c>
      <c r="AK991">
        <v>161</v>
      </c>
      <c r="AL991" t="s">
        <v>9403</v>
      </c>
      <c r="AM991" t="s">
        <v>221</v>
      </c>
      <c r="AN991" t="s">
        <v>9404</v>
      </c>
      <c r="AO991" t="s">
        <v>9405</v>
      </c>
      <c r="AP991" t="s">
        <v>9424</v>
      </c>
      <c r="AQ991" t="s">
        <v>74</v>
      </c>
      <c r="AR991" t="s">
        <v>9397</v>
      </c>
      <c r="AS991" t="s">
        <v>9406</v>
      </c>
      <c r="AT991" t="s">
        <v>18161</v>
      </c>
      <c r="AU991">
        <v>2011</v>
      </c>
      <c r="AV991">
        <v>476</v>
      </c>
      <c r="AW991">
        <v>7360</v>
      </c>
      <c r="AX991" t="s">
        <v>74</v>
      </c>
      <c r="AY991" t="s">
        <v>74</v>
      </c>
      <c r="AZ991" t="s">
        <v>74</v>
      </c>
      <c r="BA991" t="s">
        <v>74</v>
      </c>
      <c r="BB991">
        <v>312</v>
      </c>
      <c r="BC991" t="s">
        <v>18162</v>
      </c>
      <c r="BD991" t="s">
        <v>74</v>
      </c>
      <c r="BE991" t="s">
        <v>18163</v>
      </c>
      <c r="BF991" t="str">
        <f>HYPERLINK("http://dx.doi.org/10.1038/nature10310","http://dx.doi.org/10.1038/nature10310")</f>
        <v>http://dx.doi.org/10.1038/nature10310</v>
      </c>
      <c r="BG991" t="s">
        <v>74</v>
      </c>
      <c r="BH991" t="s">
        <v>74</v>
      </c>
      <c r="BI991">
        <v>5</v>
      </c>
      <c r="BJ991" t="s">
        <v>6182</v>
      </c>
      <c r="BK991" t="s">
        <v>100</v>
      </c>
      <c r="BL991" t="s">
        <v>6183</v>
      </c>
      <c r="BM991" t="s">
        <v>18164</v>
      </c>
      <c r="BN991">
        <v>21814203</v>
      </c>
      <c r="BO991" t="s">
        <v>74</v>
      </c>
      <c r="BP991" t="s">
        <v>74</v>
      </c>
      <c r="BQ991" t="s">
        <v>74</v>
      </c>
      <c r="BR991" t="s">
        <v>102</v>
      </c>
      <c r="BS991" t="s">
        <v>18165</v>
      </c>
      <c r="BT991" t="str">
        <f>HYPERLINK("https%3A%2F%2Fwww.webofscience.com%2Fwos%2Fwoscc%2Ffull-record%2FWOS:000294206500033","View Full Record in Web of Science")</f>
        <v>View Full Record in Web of Science</v>
      </c>
    </row>
    <row r="992" spans="1:72" x14ac:dyDescent="0.15">
      <c r="A992" t="s">
        <v>72</v>
      </c>
      <c r="B992" t="s">
        <v>18166</v>
      </c>
      <c r="C992" t="s">
        <v>74</v>
      </c>
      <c r="D992" t="s">
        <v>74</v>
      </c>
      <c r="E992" t="s">
        <v>74</v>
      </c>
      <c r="F992" t="s">
        <v>18167</v>
      </c>
      <c r="G992" t="s">
        <v>74</v>
      </c>
      <c r="H992" t="s">
        <v>74</v>
      </c>
      <c r="I992" t="s">
        <v>18168</v>
      </c>
      <c r="J992" t="s">
        <v>6055</v>
      </c>
      <c r="K992" t="s">
        <v>74</v>
      </c>
      <c r="L992" t="s">
        <v>74</v>
      </c>
      <c r="M992" t="s">
        <v>78</v>
      </c>
      <c r="N992" t="s">
        <v>79</v>
      </c>
      <c r="O992" t="s">
        <v>74</v>
      </c>
      <c r="P992" t="s">
        <v>74</v>
      </c>
      <c r="Q992" t="s">
        <v>74</v>
      </c>
      <c r="R992" t="s">
        <v>74</v>
      </c>
      <c r="S992" t="s">
        <v>74</v>
      </c>
      <c r="T992" t="s">
        <v>74</v>
      </c>
      <c r="U992" t="s">
        <v>18169</v>
      </c>
      <c r="V992" t="s">
        <v>18170</v>
      </c>
      <c r="W992" t="s">
        <v>18171</v>
      </c>
      <c r="X992" t="s">
        <v>18172</v>
      </c>
      <c r="Y992" t="s">
        <v>18173</v>
      </c>
      <c r="Z992" t="s">
        <v>18174</v>
      </c>
      <c r="AA992" t="s">
        <v>18175</v>
      </c>
      <c r="AB992" t="s">
        <v>74</v>
      </c>
      <c r="AC992" t="s">
        <v>18176</v>
      </c>
      <c r="AD992" t="s">
        <v>18177</v>
      </c>
      <c r="AE992" t="s">
        <v>18178</v>
      </c>
      <c r="AF992" t="s">
        <v>74</v>
      </c>
      <c r="AG992">
        <v>30</v>
      </c>
      <c r="AH992">
        <v>28</v>
      </c>
      <c r="AI992">
        <v>28</v>
      </c>
      <c r="AJ992">
        <v>1</v>
      </c>
      <c r="AK992">
        <v>10</v>
      </c>
      <c r="AL992" t="s">
        <v>1498</v>
      </c>
      <c r="AM992" t="s">
        <v>985</v>
      </c>
      <c r="AN992" t="s">
        <v>1499</v>
      </c>
      <c r="AO992" t="s">
        <v>6066</v>
      </c>
      <c r="AP992" t="s">
        <v>6067</v>
      </c>
      <c r="AQ992" t="s">
        <v>74</v>
      </c>
      <c r="AR992" t="s">
        <v>6068</v>
      </c>
      <c r="AS992" t="s">
        <v>6069</v>
      </c>
      <c r="AT992" t="s">
        <v>18179</v>
      </c>
      <c r="AU992">
        <v>2011</v>
      </c>
      <c r="AV992">
        <v>38</v>
      </c>
      <c r="AW992" t="s">
        <v>74</v>
      </c>
      <c r="AX992" t="s">
        <v>74</v>
      </c>
      <c r="AY992" t="s">
        <v>74</v>
      </c>
      <c r="AZ992" t="s">
        <v>74</v>
      </c>
      <c r="BA992" t="s">
        <v>74</v>
      </c>
      <c r="BB992" t="s">
        <v>74</v>
      </c>
      <c r="BC992" t="s">
        <v>74</v>
      </c>
      <c r="BD992" t="s">
        <v>18180</v>
      </c>
      <c r="BE992" t="s">
        <v>18181</v>
      </c>
      <c r="BF992" t="str">
        <f>HYPERLINK("http://dx.doi.org/10.1029/2011GL048025","http://dx.doi.org/10.1029/2011GL048025")</f>
        <v>http://dx.doi.org/10.1029/2011GL048025</v>
      </c>
      <c r="BG992" t="s">
        <v>74</v>
      </c>
      <c r="BH992" t="s">
        <v>74</v>
      </c>
      <c r="BI992">
        <v>5</v>
      </c>
      <c r="BJ992" t="s">
        <v>287</v>
      </c>
      <c r="BK992" t="s">
        <v>100</v>
      </c>
      <c r="BL992" t="s">
        <v>288</v>
      </c>
      <c r="BM992" t="s">
        <v>18182</v>
      </c>
      <c r="BN992" t="s">
        <v>74</v>
      </c>
      <c r="BO992" t="s">
        <v>365</v>
      </c>
      <c r="BP992" t="s">
        <v>74</v>
      </c>
      <c r="BQ992" t="s">
        <v>74</v>
      </c>
      <c r="BR992" t="s">
        <v>102</v>
      </c>
      <c r="BS992" t="s">
        <v>18183</v>
      </c>
      <c r="BT992" t="str">
        <f>HYPERLINK("https%3A%2F%2Fwww.webofscience.com%2Fwos%2Fwoscc%2Ffull-record%2FWOS:000294129700002","View Full Record in Web of Science")</f>
        <v>View Full Record in Web of Science</v>
      </c>
    </row>
    <row r="993" spans="1:72" x14ac:dyDescent="0.15">
      <c r="A993" t="s">
        <v>72</v>
      </c>
      <c r="B993" t="s">
        <v>18184</v>
      </c>
      <c r="C993" t="s">
        <v>74</v>
      </c>
      <c r="D993" t="s">
        <v>74</v>
      </c>
      <c r="E993" t="s">
        <v>74</v>
      </c>
      <c r="F993" t="s">
        <v>18185</v>
      </c>
      <c r="G993" t="s">
        <v>74</v>
      </c>
      <c r="H993" t="s">
        <v>74</v>
      </c>
      <c r="I993" t="s">
        <v>18186</v>
      </c>
      <c r="J993" t="s">
        <v>6395</v>
      </c>
      <c r="K993" t="s">
        <v>74</v>
      </c>
      <c r="L993" t="s">
        <v>74</v>
      </c>
      <c r="M993" t="s">
        <v>78</v>
      </c>
      <c r="N993" t="s">
        <v>79</v>
      </c>
      <c r="O993" t="s">
        <v>74</v>
      </c>
      <c r="P993" t="s">
        <v>74</v>
      </c>
      <c r="Q993" t="s">
        <v>74</v>
      </c>
      <c r="R993" t="s">
        <v>74</v>
      </c>
      <c r="S993" t="s">
        <v>74</v>
      </c>
      <c r="T993" t="s">
        <v>74</v>
      </c>
      <c r="U993" t="s">
        <v>18187</v>
      </c>
      <c r="V993" t="s">
        <v>18188</v>
      </c>
      <c r="W993" t="s">
        <v>18189</v>
      </c>
      <c r="X993" t="s">
        <v>18190</v>
      </c>
      <c r="Y993" t="s">
        <v>18191</v>
      </c>
      <c r="Z993" t="s">
        <v>18192</v>
      </c>
      <c r="AA993" t="s">
        <v>18193</v>
      </c>
      <c r="AB993" t="s">
        <v>18194</v>
      </c>
      <c r="AC993" t="s">
        <v>74</v>
      </c>
      <c r="AD993" t="s">
        <v>74</v>
      </c>
      <c r="AE993" t="s">
        <v>74</v>
      </c>
      <c r="AF993" t="s">
        <v>74</v>
      </c>
      <c r="AG993">
        <v>64</v>
      </c>
      <c r="AH993">
        <v>64</v>
      </c>
      <c r="AI993">
        <v>65</v>
      </c>
      <c r="AJ993">
        <v>0</v>
      </c>
      <c r="AK993">
        <v>25</v>
      </c>
      <c r="AL993" t="s">
        <v>1498</v>
      </c>
      <c r="AM993" t="s">
        <v>985</v>
      </c>
      <c r="AN993" t="s">
        <v>1499</v>
      </c>
      <c r="AO993" t="s">
        <v>6407</v>
      </c>
      <c r="AP993" t="s">
        <v>74</v>
      </c>
      <c r="AQ993" t="s">
        <v>74</v>
      </c>
      <c r="AR993" t="s">
        <v>6395</v>
      </c>
      <c r="AS993" t="s">
        <v>6409</v>
      </c>
      <c r="AT993" t="s">
        <v>18179</v>
      </c>
      <c r="AU993">
        <v>2011</v>
      </c>
      <c r="AV993">
        <v>26</v>
      </c>
      <c r="AW993" t="s">
        <v>74</v>
      </c>
      <c r="AX993" t="s">
        <v>74</v>
      </c>
      <c r="AY993" t="s">
        <v>74</v>
      </c>
      <c r="AZ993" t="s">
        <v>74</v>
      </c>
      <c r="BA993" t="s">
        <v>74</v>
      </c>
      <c r="BB993" t="s">
        <v>74</v>
      </c>
      <c r="BC993" t="s">
        <v>74</v>
      </c>
      <c r="BD993" t="s">
        <v>18195</v>
      </c>
      <c r="BE993" t="s">
        <v>18196</v>
      </c>
      <c r="BF993" t="str">
        <f>HYPERLINK("http://dx.doi.org/10.1029/2010PA002100","http://dx.doi.org/10.1029/2010PA002100")</f>
        <v>http://dx.doi.org/10.1029/2010PA002100</v>
      </c>
      <c r="BG993" t="s">
        <v>74</v>
      </c>
      <c r="BH993" t="s">
        <v>74</v>
      </c>
      <c r="BI993">
        <v>10</v>
      </c>
      <c r="BJ993" t="s">
        <v>6412</v>
      </c>
      <c r="BK993" t="s">
        <v>100</v>
      </c>
      <c r="BL993" t="s">
        <v>6413</v>
      </c>
      <c r="BM993" t="s">
        <v>18197</v>
      </c>
      <c r="BN993" t="s">
        <v>74</v>
      </c>
      <c r="BO993" t="s">
        <v>1133</v>
      </c>
      <c r="BP993" t="s">
        <v>74</v>
      </c>
      <c r="BQ993" t="s">
        <v>74</v>
      </c>
      <c r="BR993" t="s">
        <v>102</v>
      </c>
      <c r="BS993" t="s">
        <v>18198</v>
      </c>
      <c r="BT993" t="str">
        <f>HYPERLINK("https%3A%2F%2Fwww.webofscience.com%2Fwos%2Fwoscc%2Ffull-record%2FWOS:000294128800001","View Full Record in Web of Science")</f>
        <v>View Full Record in Web of Science</v>
      </c>
    </row>
    <row r="994" spans="1:72" x14ac:dyDescent="0.15">
      <c r="A994" t="s">
        <v>72</v>
      </c>
      <c r="B994" t="s">
        <v>18199</v>
      </c>
      <c r="C994" t="s">
        <v>74</v>
      </c>
      <c r="D994" t="s">
        <v>74</v>
      </c>
      <c r="E994" t="s">
        <v>74</v>
      </c>
      <c r="F994" t="s">
        <v>18200</v>
      </c>
      <c r="G994" t="s">
        <v>74</v>
      </c>
      <c r="H994" t="s">
        <v>74</v>
      </c>
      <c r="I994" t="s">
        <v>18201</v>
      </c>
      <c r="J994" t="s">
        <v>18202</v>
      </c>
      <c r="K994" t="s">
        <v>74</v>
      </c>
      <c r="L994" t="s">
        <v>74</v>
      </c>
      <c r="M994" t="s">
        <v>78</v>
      </c>
      <c r="N994" t="s">
        <v>79</v>
      </c>
      <c r="O994" t="s">
        <v>74</v>
      </c>
      <c r="P994" t="s">
        <v>74</v>
      </c>
      <c r="Q994" t="s">
        <v>74</v>
      </c>
      <c r="R994" t="s">
        <v>74</v>
      </c>
      <c r="S994" t="s">
        <v>74</v>
      </c>
      <c r="T994" t="s">
        <v>18203</v>
      </c>
      <c r="U994" t="s">
        <v>18204</v>
      </c>
      <c r="V994" t="s">
        <v>18205</v>
      </c>
      <c r="W994" t="s">
        <v>18206</v>
      </c>
      <c r="X994" t="s">
        <v>18207</v>
      </c>
      <c r="Y994" t="s">
        <v>18208</v>
      </c>
      <c r="Z994" t="s">
        <v>18209</v>
      </c>
      <c r="AA994" t="s">
        <v>74</v>
      </c>
      <c r="AB994" t="s">
        <v>18210</v>
      </c>
      <c r="AC994" t="s">
        <v>18211</v>
      </c>
      <c r="AD994" t="s">
        <v>18212</v>
      </c>
      <c r="AE994" t="s">
        <v>18213</v>
      </c>
      <c r="AF994" t="s">
        <v>74</v>
      </c>
      <c r="AG994">
        <v>43</v>
      </c>
      <c r="AH994">
        <v>2</v>
      </c>
      <c r="AI994">
        <v>2</v>
      </c>
      <c r="AJ994">
        <v>0</v>
      </c>
      <c r="AK994">
        <v>4</v>
      </c>
      <c r="AL994" t="s">
        <v>382</v>
      </c>
      <c r="AM994" t="s">
        <v>383</v>
      </c>
      <c r="AN994" t="s">
        <v>384</v>
      </c>
      <c r="AO994" t="s">
        <v>18214</v>
      </c>
      <c r="AP994" t="s">
        <v>18215</v>
      </c>
      <c r="AQ994" t="s">
        <v>74</v>
      </c>
      <c r="AR994" t="s">
        <v>18216</v>
      </c>
      <c r="AS994" t="s">
        <v>18217</v>
      </c>
      <c r="AT994" t="s">
        <v>18218</v>
      </c>
      <c r="AU994">
        <v>2011</v>
      </c>
      <c r="AV994">
        <v>92</v>
      </c>
      <c r="AW994">
        <v>4</v>
      </c>
      <c r="AX994" t="s">
        <v>74</v>
      </c>
      <c r="AY994" t="s">
        <v>74</v>
      </c>
      <c r="AZ994" t="s">
        <v>74</v>
      </c>
      <c r="BA994" t="s">
        <v>74</v>
      </c>
      <c r="BB994">
        <v>811</v>
      </c>
      <c r="BC994">
        <v>818</v>
      </c>
      <c r="BD994" t="s">
        <v>74</v>
      </c>
      <c r="BE994" t="s">
        <v>18219</v>
      </c>
      <c r="BF994" t="str">
        <f>HYPERLINK("http://dx.doi.org/10.1644/10-MAMM-A-292.1","http://dx.doi.org/10.1644/10-MAMM-A-292.1")</f>
        <v>http://dx.doi.org/10.1644/10-MAMM-A-292.1</v>
      </c>
      <c r="BG994" t="s">
        <v>74</v>
      </c>
      <c r="BH994" t="s">
        <v>74</v>
      </c>
      <c r="BI994">
        <v>8</v>
      </c>
      <c r="BJ994" t="s">
        <v>2881</v>
      </c>
      <c r="BK994" t="s">
        <v>100</v>
      </c>
      <c r="BL994" t="s">
        <v>2881</v>
      </c>
      <c r="BM994" t="s">
        <v>18220</v>
      </c>
      <c r="BN994" t="s">
        <v>74</v>
      </c>
      <c r="BO994" t="s">
        <v>6160</v>
      </c>
      <c r="BP994" t="s">
        <v>74</v>
      </c>
      <c r="BQ994" t="s">
        <v>74</v>
      </c>
      <c r="BR994" t="s">
        <v>102</v>
      </c>
      <c r="BS994" t="s">
        <v>18221</v>
      </c>
      <c r="BT994" t="str">
        <f>HYPERLINK("https%3A%2F%2Fwww.webofscience.com%2Fwos%2Fwoscc%2Ffull-record%2FWOS:000294314900013","View Full Record in Web of Science")</f>
        <v>View Full Record in Web of Science</v>
      </c>
    </row>
    <row r="995" spans="1:72" x14ac:dyDescent="0.15">
      <c r="A995" t="s">
        <v>72</v>
      </c>
      <c r="B995" t="s">
        <v>18222</v>
      </c>
      <c r="C995" t="s">
        <v>74</v>
      </c>
      <c r="D995" t="s">
        <v>74</v>
      </c>
      <c r="E995" t="s">
        <v>74</v>
      </c>
      <c r="F995" t="s">
        <v>18223</v>
      </c>
      <c r="G995" t="s">
        <v>74</v>
      </c>
      <c r="H995" t="s">
        <v>74</v>
      </c>
      <c r="I995" t="s">
        <v>18224</v>
      </c>
      <c r="J995" t="s">
        <v>9093</v>
      </c>
      <c r="K995" t="s">
        <v>74</v>
      </c>
      <c r="L995" t="s">
        <v>74</v>
      </c>
      <c r="M995" t="s">
        <v>78</v>
      </c>
      <c r="N995" t="s">
        <v>79</v>
      </c>
      <c r="O995" t="s">
        <v>74</v>
      </c>
      <c r="P995" t="s">
        <v>74</v>
      </c>
      <c r="Q995" t="s">
        <v>74</v>
      </c>
      <c r="R995" t="s">
        <v>74</v>
      </c>
      <c r="S995" t="s">
        <v>74</v>
      </c>
      <c r="T995" t="s">
        <v>18225</v>
      </c>
      <c r="U995" t="s">
        <v>18226</v>
      </c>
      <c r="V995" t="s">
        <v>18227</v>
      </c>
      <c r="W995" t="s">
        <v>18228</v>
      </c>
      <c r="X995" t="s">
        <v>18229</v>
      </c>
      <c r="Y995" t="s">
        <v>18230</v>
      </c>
      <c r="Z995" t="s">
        <v>18231</v>
      </c>
      <c r="AA995" t="s">
        <v>18232</v>
      </c>
      <c r="AB995" t="s">
        <v>18233</v>
      </c>
      <c r="AC995" t="s">
        <v>74</v>
      </c>
      <c r="AD995" t="s">
        <v>74</v>
      </c>
      <c r="AE995" t="s">
        <v>74</v>
      </c>
      <c r="AF995" t="s">
        <v>74</v>
      </c>
      <c r="AG995">
        <v>37</v>
      </c>
      <c r="AH995">
        <v>17</v>
      </c>
      <c r="AI995">
        <v>20</v>
      </c>
      <c r="AJ995">
        <v>0</v>
      </c>
      <c r="AK995">
        <v>34</v>
      </c>
      <c r="AL995" t="s">
        <v>2917</v>
      </c>
      <c r="AM995" t="s">
        <v>156</v>
      </c>
      <c r="AN995" t="s">
        <v>2918</v>
      </c>
      <c r="AO995" t="s">
        <v>9104</v>
      </c>
      <c r="AP995" t="s">
        <v>9105</v>
      </c>
      <c r="AQ995" t="s">
        <v>74</v>
      </c>
      <c r="AR995" t="s">
        <v>9106</v>
      </c>
      <c r="AS995" t="s">
        <v>9107</v>
      </c>
      <c r="AT995" t="s">
        <v>18218</v>
      </c>
      <c r="AU995">
        <v>2011</v>
      </c>
      <c r="AV995">
        <v>48</v>
      </c>
      <c r="AW995">
        <v>4</v>
      </c>
      <c r="AX995" t="s">
        <v>74</v>
      </c>
      <c r="AY995" t="s">
        <v>74</v>
      </c>
      <c r="AZ995" t="s">
        <v>74</v>
      </c>
      <c r="BA995" t="s">
        <v>74</v>
      </c>
      <c r="BB995">
        <v>689</v>
      </c>
      <c r="BC995">
        <v>696</v>
      </c>
      <c r="BD995" t="s">
        <v>74</v>
      </c>
      <c r="BE995" t="s">
        <v>18234</v>
      </c>
      <c r="BF995" t="str">
        <f>HYPERLINK("http://dx.doi.org/10.1016/j.asr.2010.05.006","http://dx.doi.org/10.1016/j.asr.2010.05.006")</f>
        <v>http://dx.doi.org/10.1016/j.asr.2010.05.006</v>
      </c>
      <c r="BG995" t="s">
        <v>74</v>
      </c>
      <c r="BH995" t="s">
        <v>74</v>
      </c>
      <c r="BI995">
        <v>8</v>
      </c>
      <c r="BJ995" t="s">
        <v>9109</v>
      </c>
      <c r="BK995" t="s">
        <v>100</v>
      </c>
      <c r="BL995" t="s">
        <v>9110</v>
      </c>
      <c r="BM995" t="s">
        <v>18235</v>
      </c>
      <c r="BN995" t="s">
        <v>74</v>
      </c>
      <c r="BO995" t="s">
        <v>74</v>
      </c>
      <c r="BP995" t="s">
        <v>74</v>
      </c>
      <c r="BQ995" t="s">
        <v>74</v>
      </c>
      <c r="BR995" t="s">
        <v>102</v>
      </c>
      <c r="BS995" t="s">
        <v>18236</v>
      </c>
      <c r="BT995" t="str">
        <f>HYPERLINK("https%3A%2F%2Fwww.webofscience.com%2Fwos%2Fwoscc%2Ffull-record%2FWOS:000293550600007","View Full Record in Web of Science")</f>
        <v>View Full Record in Web of Science</v>
      </c>
    </row>
    <row r="996" spans="1:72" x14ac:dyDescent="0.15">
      <c r="A996" t="s">
        <v>72</v>
      </c>
      <c r="B996" t="s">
        <v>18237</v>
      </c>
      <c r="C996" t="s">
        <v>74</v>
      </c>
      <c r="D996" t="s">
        <v>74</v>
      </c>
      <c r="E996" t="s">
        <v>74</v>
      </c>
      <c r="F996" t="s">
        <v>18238</v>
      </c>
      <c r="G996" t="s">
        <v>74</v>
      </c>
      <c r="H996" t="s">
        <v>74</v>
      </c>
      <c r="I996" t="s">
        <v>18239</v>
      </c>
      <c r="J996" t="s">
        <v>9093</v>
      </c>
      <c r="K996" t="s">
        <v>74</v>
      </c>
      <c r="L996" t="s">
        <v>74</v>
      </c>
      <c r="M996" t="s">
        <v>78</v>
      </c>
      <c r="N996" t="s">
        <v>79</v>
      </c>
      <c r="O996" t="s">
        <v>74</v>
      </c>
      <c r="P996" t="s">
        <v>74</v>
      </c>
      <c r="Q996" t="s">
        <v>74</v>
      </c>
      <c r="R996" t="s">
        <v>74</v>
      </c>
      <c r="S996" t="s">
        <v>74</v>
      </c>
      <c r="T996" t="s">
        <v>18240</v>
      </c>
      <c r="U996" t="s">
        <v>18241</v>
      </c>
      <c r="V996" t="s">
        <v>18242</v>
      </c>
      <c r="W996" t="s">
        <v>18243</v>
      </c>
      <c r="X996" t="s">
        <v>18244</v>
      </c>
      <c r="Y996" t="s">
        <v>18245</v>
      </c>
      <c r="Z996" t="s">
        <v>18246</v>
      </c>
      <c r="AA996" t="s">
        <v>18247</v>
      </c>
      <c r="AB996" t="s">
        <v>18248</v>
      </c>
      <c r="AC996" t="s">
        <v>18249</v>
      </c>
      <c r="AD996" t="s">
        <v>3661</v>
      </c>
      <c r="AE996" t="s">
        <v>18250</v>
      </c>
      <c r="AF996" t="s">
        <v>74</v>
      </c>
      <c r="AG996">
        <v>19</v>
      </c>
      <c r="AH996">
        <v>9</v>
      </c>
      <c r="AI996">
        <v>14</v>
      </c>
      <c r="AJ996">
        <v>1</v>
      </c>
      <c r="AK996">
        <v>91</v>
      </c>
      <c r="AL996" t="s">
        <v>2917</v>
      </c>
      <c r="AM996" t="s">
        <v>156</v>
      </c>
      <c r="AN996" t="s">
        <v>2918</v>
      </c>
      <c r="AO996" t="s">
        <v>9104</v>
      </c>
      <c r="AP996" t="s">
        <v>9105</v>
      </c>
      <c r="AQ996" t="s">
        <v>74</v>
      </c>
      <c r="AR996" t="s">
        <v>9106</v>
      </c>
      <c r="AS996" t="s">
        <v>9107</v>
      </c>
      <c r="AT996" t="s">
        <v>18218</v>
      </c>
      <c r="AU996">
        <v>2011</v>
      </c>
      <c r="AV996">
        <v>48</v>
      </c>
      <c r="AW996">
        <v>4</v>
      </c>
      <c r="AX996" t="s">
        <v>74</v>
      </c>
      <c r="AY996" t="s">
        <v>74</v>
      </c>
      <c r="AZ996" t="s">
        <v>74</v>
      </c>
      <c r="BA996" t="s">
        <v>74</v>
      </c>
      <c r="BB996">
        <v>697</v>
      </c>
      <c r="BC996">
        <v>701</v>
      </c>
      <c r="BD996" t="s">
        <v>74</v>
      </c>
      <c r="BE996" t="s">
        <v>18251</v>
      </c>
      <c r="BF996" t="str">
        <f>HYPERLINK("http://dx.doi.org/10.1016/j.asr.2010.11.024","http://dx.doi.org/10.1016/j.asr.2010.11.024")</f>
        <v>http://dx.doi.org/10.1016/j.asr.2010.11.024</v>
      </c>
      <c r="BG996" t="s">
        <v>74</v>
      </c>
      <c r="BH996" t="s">
        <v>74</v>
      </c>
      <c r="BI996">
        <v>5</v>
      </c>
      <c r="BJ996" t="s">
        <v>9109</v>
      </c>
      <c r="BK996" t="s">
        <v>100</v>
      </c>
      <c r="BL996" t="s">
        <v>9110</v>
      </c>
      <c r="BM996" t="s">
        <v>18235</v>
      </c>
      <c r="BN996" t="s">
        <v>74</v>
      </c>
      <c r="BO996" t="s">
        <v>74</v>
      </c>
      <c r="BP996" t="s">
        <v>74</v>
      </c>
      <c r="BQ996" t="s">
        <v>74</v>
      </c>
      <c r="BR996" t="s">
        <v>102</v>
      </c>
      <c r="BS996" t="s">
        <v>18252</v>
      </c>
      <c r="BT996" t="str">
        <f>HYPERLINK("https%3A%2F%2Fwww.webofscience.com%2Fwos%2Fwoscc%2Ffull-record%2FWOS:000293550600008","View Full Record in Web of Science")</f>
        <v>View Full Record in Web of Science</v>
      </c>
    </row>
    <row r="997" spans="1:72" x14ac:dyDescent="0.15">
      <c r="A997" t="s">
        <v>72</v>
      </c>
      <c r="B997" t="s">
        <v>18253</v>
      </c>
      <c r="C997" t="s">
        <v>74</v>
      </c>
      <c r="D997" t="s">
        <v>74</v>
      </c>
      <c r="E997" t="s">
        <v>74</v>
      </c>
      <c r="F997" t="s">
        <v>18254</v>
      </c>
      <c r="G997" t="s">
        <v>74</v>
      </c>
      <c r="H997" t="s">
        <v>74</v>
      </c>
      <c r="I997" t="s">
        <v>18255</v>
      </c>
      <c r="J997" t="s">
        <v>9093</v>
      </c>
      <c r="K997" t="s">
        <v>74</v>
      </c>
      <c r="L997" t="s">
        <v>74</v>
      </c>
      <c r="M997" t="s">
        <v>78</v>
      </c>
      <c r="N997" t="s">
        <v>79</v>
      </c>
      <c r="O997" t="s">
        <v>74</v>
      </c>
      <c r="P997" t="s">
        <v>74</v>
      </c>
      <c r="Q997" t="s">
        <v>74</v>
      </c>
      <c r="R997" t="s">
        <v>74</v>
      </c>
      <c r="S997" t="s">
        <v>74</v>
      </c>
      <c r="T997" t="s">
        <v>18256</v>
      </c>
      <c r="U997" t="s">
        <v>18257</v>
      </c>
      <c r="V997" t="s">
        <v>18258</v>
      </c>
      <c r="W997" t="s">
        <v>18259</v>
      </c>
      <c r="X997" t="s">
        <v>18260</v>
      </c>
      <c r="Y997" t="s">
        <v>18261</v>
      </c>
      <c r="Z997" t="s">
        <v>18262</v>
      </c>
      <c r="AA997" t="s">
        <v>18263</v>
      </c>
      <c r="AB997" t="s">
        <v>18264</v>
      </c>
      <c r="AC997" t="s">
        <v>74</v>
      </c>
      <c r="AD997" t="s">
        <v>74</v>
      </c>
      <c r="AE997" t="s">
        <v>74</v>
      </c>
      <c r="AF997" t="s">
        <v>74</v>
      </c>
      <c r="AG997">
        <v>47</v>
      </c>
      <c r="AH997">
        <v>15</v>
      </c>
      <c r="AI997">
        <v>16</v>
      </c>
      <c r="AJ997">
        <v>0</v>
      </c>
      <c r="AK997">
        <v>23</v>
      </c>
      <c r="AL997" t="s">
        <v>2917</v>
      </c>
      <c r="AM997" t="s">
        <v>156</v>
      </c>
      <c r="AN997" t="s">
        <v>2918</v>
      </c>
      <c r="AO997" t="s">
        <v>9104</v>
      </c>
      <c r="AP997" t="s">
        <v>74</v>
      </c>
      <c r="AQ997" t="s">
        <v>74</v>
      </c>
      <c r="AR997" t="s">
        <v>9106</v>
      </c>
      <c r="AS997" t="s">
        <v>9107</v>
      </c>
      <c r="AT997" t="s">
        <v>18218</v>
      </c>
      <c r="AU997">
        <v>2011</v>
      </c>
      <c r="AV997">
        <v>48</v>
      </c>
      <c r="AW997">
        <v>4</v>
      </c>
      <c r="AX997" t="s">
        <v>74</v>
      </c>
      <c r="AY997" t="s">
        <v>74</v>
      </c>
      <c r="AZ997" t="s">
        <v>74</v>
      </c>
      <c r="BA997" t="s">
        <v>74</v>
      </c>
      <c r="BB997">
        <v>755</v>
      </c>
      <c r="BC997">
        <v>763</v>
      </c>
      <c r="BD997" t="s">
        <v>74</v>
      </c>
      <c r="BE997" t="s">
        <v>18265</v>
      </c>
      <c r="BF997" t="str">
        <f>HYPERLINK("http://dx.doi.org/10.1016/j.asr.2010.02.029","http://dx.doi.org/10.1016/j.asr.2010.02.029")</f>
        <v>http://dx.doi.org/10.1016/j.asr.2010.02.029</v>
      </c>
      <c r="BG997" t="s">
        <v>74</v>
      </c>
      <c r="BH997" t="s">
        <v>74</v>
      </c>
      <c r="BI997">
        <v>9</v>
      </c>
      <c r="BJ997" t="s">
        <v>9109</v>
      </c>
      <c r="BK997" t="s">
        <v>100</v>
      </c>
      <c r="BL997" t="s">
        <v>9110</v>
      </c>
      <c r="BM997" t="s">
        <v>18235</v>
      </c>
      <c r="BN997" t="s">
        <v>74</v>
      </c>
      <c r="BO997" t="s">
        <v>74</v>
      </c>
      <c r="BP997" t="s">
        <v>74</v>
      </c>
      <c r="BQ997" t="s">
        <v>74</v>
      </c>
      <c r="BR997" t="s">
        <v>102</v>
      </c>
      <c r="BS997" t="s">
        <v>18266</v>
      </c>
      <c r="BT997" t="str">
        <f>HYPERLINK("https%3A%2F%2Fwww.webofscience.com%2Fwos%2Fwoscc%2Ffull-record%2FWOS:000293550600013","View Full Record in Web of Science")</f>
        <v>View Full Record in Web of Science</v>
      </c>
    </row>
    <row r="998" spans="1:72" x14ac:dyDescent="0.15">
      <c r="A998" t="s">
        <v>72</v>
      </c>
      <c r="B998" t="s">
        <v>18267</v>
      </c>
      <c r="C998" t="s">
        <v>74</v>
      </c>
      <c r="D998" t="s">
        <v>74</v>
      </c>
      <c r="E998" t="s">
        <v>74</v>
      </c>
      <c r="F998" t="s">
        <v>18268</v>
      </c>
      <c r="G998" t="s">
        <v>74</v>
      </c>
      <c r="H998" t="s">
        <v>74</v>
      </c>
      <c r="I998" t="s">
        <v>18269</v>
      </c>
      <c r="J998" t="s">
        <v>18270</v>
      </c>
      <c r="K998" t="s">
        <v>74</v>
      </c>
      <c r="L998" t="s">
        <v>74</v>
      </c>
      <c r="M998" t="s">
        <v>78</v>
      </c>
      <c r="N998" t="s">
        <v>79</v>
      </c>
      <c r="O998" t="s">
        <v>74</v>
      </c>
      <c r="P998" t="s">
        <v>74</v>
      </c>
      <c r="Q998" t="s">
        <v>74</v>
      </c>
      <c r="R998" t="s">
        <v>74</v>
      </c>
      <c r="S998" t="s">
        <v>74</v>
      </c>
      <c r="T998" t="s">
        <v>18271</v>
      </c>
      <c r="U998" t="s">
        <v>18272</v>
      </c>
      <c r="V998" t="s">
        <v>18273</v>
      </c>
      <c r="W998" t="s">
        <v>18274</v>
      </c>
      <c r="X998" t="s">
        <v>8178</v>
      </c>
      <c r="Y998" t="s">
        <v>18275</v>
      </c>
      <c r="Z998" t="s">
        <v>8180</v>
      </c>
      <c r="AA998" t="s">
        <v>74</v>
      </c>
      <c r="AB998" t="s">
        <v>74</v>
      </c>
      <c r="AC998" t="s">
        <v>8181</v>
      </c>
      <c r="AD998" t="s">
        <v>8182</v>
      </c>
      <c r="AE998" t="s">
        <v>8183</v>
      </c>
      <c r="AF998" t="s">
        <v>74</v>
      </c>
      <c r="AG998">
        <v>52</v>
      </c>
      <c r="AH998">
        <v>5</v>
      </c>
      <c r="AI998">
        <v>8</v>
      </c>
      <c r="AJ998">
        <v>0</v>
      </c>
      <c r="AK998">
        <v>17</v>
      </c>
      <c r="AL998" t="s">
        <v>333</v>
      </c>
      <c r="AM998" t="s">
        <v>334</v>
      </c>
      <c r="AN998" t="s">
        <v>335</v>
      </c>
      <c r="AO998" t="s">
        <v>18276</v>
      </c>
      <c r="AP998" t="s">
        <v>18277</v>
      </c>
      <c r="AQ998" t="s">
        <v>74</v>
      </c>
      <c r="AR998" t="s">
        <v>18270</v>
      </c>
      <c r="AS998" t="s">
        <v>18278</v>
      </c>
      <c r="AT998" t="s">
        <v>18279</v>
      </c>
      <c r="AU998">
        <v>2011</v>
      </c>
      <c r="AV998">
        <v>482</v>
      </c>
      <c r="AW998" t="s">
        <v>1776</v>
      </c>
      <c r="AX998" t="s">
        <v>74</v>
      </c>
      <c r="AY998" t="s">
        <v>74</v>
      </c>
      <c r="AZ998" t="s">
        <v>74</v>
      </c>
      <c r="BA998" t="s">
        <v>74</v>
      </c>
      <c r="BB998">
        <v>51</v>
      </c>
      <c r="BC998">
        <v>58</v>
      </c>
      <c r="BD998" t="s">
        <v>74</v>
      </c>
      <c r="BE998" t="s">
        <v>18280</v>
      </c>
      <c r="BF998" t="str">
        <f>HYPERLINK("http://dx.doi.org/10.1016/j.gene.2011.05.006","http://dx.doi.org/10.1016/j.gene.2011.05.006")</f>
        <v>http://dx.doi.org/10.1016/j.gene.2011.05.006</v>
      </c>
      <c r="BG998" t="s">
        <v>74</v>
      </c>
      <c r="BH998" t="s">
        <v>74</v>
      </c>
      <c r="BI998">
        <v>8</v>
      </c>
      <c r="BJ998" t="s">
        <v>14789</v>
      </c>
      <c r="BK998" t="s">
        <v>100</v>
      </c>
      <c r="BL998" t="s">
        <v>14789</v>
      </c>
      <c r="BM998" t="s">
        <v>18281</v>
      </c>
      <c r="BN998">
        <v>21640174</v>
      </c>
      <c r="BO998" t="s">
        <v>74</v>
      </c>
      <c r="BP998" t="s">
        <v>74</v>
      </c>
      <c r="BQ998" t="s">
        <v>74</v>
      </c>
      <c r="BR998" t="s">
        <v>102</v>
      </c>
      <c r="BS998" t="s">
        <v>18282</v>
      </c>
      <c r="BT998" t="str">
        <f>HYPERLINK("https%3A%2F%2Fwww.webofscience.com%2Fwos%2Fwoscc%2Ffull-record%2FWOS:000293496300007","View Full Record in Web of Science")</f>
        <v>View Full Record in Web of Science</v>
      </c>
    </row>
    <row r="999" spans="1:72" x14ac:dyDescent="0.15">
      <c r="A999" t="s">
        <v>72</v>
      </c>
      <c r="B999" t="s">
        <v>18283</v>
      </c>
      <c r="C999" t="s">
        <v>74</v>
      </c>
      <c r="D999" t="s">
        <v>74</v>
      </c>
      <c r="E999" t="s">
        <v>74</v>
      </c>
      <c r="F999" t="s">
        <v>18284</v>
      </c>
      <c r="G999" t="s">
        <v>74</v>
      </c>
      <c r="H999" t="s">
        <v>74</v>
      </c>
      <c r="I999" t="s">
        <v>18285</v>
      </c>
      <c r="J999" t="s">
        <v>8542</v>
      </c>
      <c r="K999" t="s">
        <v>74</v>
      </c>
      <c r="L999" t="s">
        <v>74</v>
      </c>
      <c r="M999" t="s">
        <v>78</v>
      </c>
      <c r="N999" t="s">
        <v>79</v>
      </c>
      <c r="O999" t="s">
        <v>74</v>
      </c>
      <c r="P999" t="s">
        <v>74</v>
      </c>
      <c r="Q999" t="s">
        <v>74</v>
      </c>
      <c r="R999" t="s">
        <v>74</v>
      </c>
      <c r="S999" t="s">
        <v>74</v>
      </c>
      <c r="T999" t="s">
        <v>74</v>
      </c>
      <c r="U999" t="s">
        <v>18286</v>
      </c>
      <c r="V999" t="s">
        <v>18287</v>
      </c>
      <c r="W999" t="s">
        <v>18288</v>
      </c>
      <c r="X999" t="s">
        <v>18289</v>
      </c>
      <c r="Y999" t="s">
        <v>18290</v>
      </c>
      <c r="Z999" t="s">
        <v>18291</v>
      </c>
      <c r="AA999" t="s">
        <v>18292</v>
      </c>
      <c r="AB999" t="s">
        <v>18293</v>
      </c>
      <c r="AC999" t="s">
        <v>18294</v>
      </c>
      <c r="AD999" t="s">
        <v>18294</v>
      </c>
      <c r="AE999" t="s">
        <v>18295</v>
      </c>
      <c r="AF999" t="s">
        <v>74</v>
      </c>
      <c r="AG999">
        <v>55</v>
      </c>
      <c r="AH999">
        <v>117</v>
      </c>
      <c r="AI999">
        <v>128</v>
      </c>
      <c r="AJ999">
        <v>8</v>
      </c>
      <c r="AK999">
        <v>204</v>
      </c>
      <c r="AL999" t="s">
        <v>3802</v>
      </c>
      <c r="AM999" t="s">
        <v>985</v>
      </c>
      <c r="AN999" t="s">
        <v>3803</v>
      </c>
      <c r="AO999" t="s">
        <v>8552</v>
      </c>
      <c r="AP999" t="s">
        <v>8553</v>
      </c>
      <c r="AQ999" t="s">
        <v>74</v>
      </c>
      <c r="AR999" t="s">
        <v>8554</v>
      </c>
      <c r="AS999" t="s">
        <v>8555</v>
      </c>
      <c r="AT999" t="s">
        <v>18279</v>
      </c>
      <c r="AU999">
        <v>2011</v>
      </c>
      <c r="AV999">
        <v>45</v>
      </c>
      <c r="AW999">
        <v>16</v>
      </c>
      <c r="AX999" t="s">
        <v>74</v>
      </c>
      <c r="AY999" t="s">
        <v>74</v>
      </c>
      <c r="AZ999" t="s">
        <v>74</v>
      </c>
      <c r="BA999" t="s">
        <v>74</v>
      </c>
      <c r="BB999">
        <v>6793</v>
      </c>
      <c r="BC999">
        <v>6799</v>
      </c>
      <c r="BD999" t="s">
        <v>74</v>
      </c>
      <c r="BE999" t="s">
        <v>18296</v>
      </c>
      <c r="BF999" t="str">
        <f>HYPERLINK("http://dx.doi.org/10.1021/es201850n","http://dx.doi.org/10.1021/es201850n")</f>
        <v>http://dx.doi.org/10.1021/es201850n</v>
      </c>
      <c r="BG999" t="s">
        <v>74</v>
      </c>
      <c r="BH999" t="s">
        <v>74</v>
      </c>
      <c r="BI999">
        <v>7</v>
      </c>
      <c r="BJ999" t="s">
        <v>3688</v>
      </c>
      <c r="BK999" t="s">
        <v>100</v>
      </c>
      <c r="BL999" t="s">
        <v>3689</v>
      </c>
      <c r="BM999" t="s">
        <v>18297</v>
      </c>
      <c r="BN999">
        <v>21751774</v>
      </c>
      <c r="BO999" t="s">
        <v>74</v>
      </c>
      <c r="BP999" t="s">
        <v>74</v>
      </c>
      <c r="BQ999" t="s">
        <v>74</v>
      </c>
      <c r="BR999" t="s">
        <v>102</v>
      </c>
      <c r="BS999" t="s">
        <v>18298</v>
      </c>
      <c r="BT999" t="str">
        <f>HYPERLINK("https%3A%2F%2Fwww.webofscience.com%2Fwos%2Fwoscc%2Ffull-record%2FWOS:000293758400011","View Full Record in Web of Science")</f>
        <v>View Full Record in Web of Science</v>
      </c>
    </row>
    <row r="1000" spans="1:72" x14ac:dyDescent="0.15">
      <c r="A1000" t="s">
        <v>72</v>
      </c>
      <c r="B1000" t="s">
        <v>18299</v>
      </c>
      <c r="C1000" t="s">
        <v>74</v>
      </c>
      <c r="D1000" t="s">
        <v>74</v>
      </c>
      <c r="E1000" t="s">
        <v>74</v>
      </c>
      <c r="F1000" t="s">
        <v>18300</v>
      </c>
      <c r="G1000" t="s">
        <v>74</v>
      </c>
      <c r="H1000" t="s">
        <v>74</v>
      </c>
      <c r="I1000" t="s">
        <v>18301</v>
      </c>
      <c r="J1000" t="s">
        <v>18302</v>
      </c>
      <c r="K1000" t="s">
        <v>74</v>
      </c>
      <c r="L1000" t="s">
        <v>74</v>
      </c>
      <c r="M1000" t="s">
        <v>78</v>
      </c>
      <c r="N1000" t="s">
        <v>79</v>
      </c>
      <c r="O1000" t="s">
        <v>74</v>
      </c>
      <c r="P1000" t="s">
        <v>74</v>
      </c>
      <c r="Q1000" t="s">
        <v>74</v>
      </c>
      <c r="R1000" t="s">
        <v>74</v>
      </c>
      <c r="S1000" t="s">
        <v>74</v>
      </c>
      <c r="T1000" t="s">
        <v>18303</v>
      </c>
      <c r="U1000" t="s">
        <v>18304</v>
      </c>
      <c r="V1000" t="s">
        <v>18305</v>
      </c>
      <c r="W1000" t="s">
        <v>18306</v>
      </c>
      <c r="X1000" t="s">
        <v>18307</v>
      </c>
      <c r="Y1000" t="s">
        <v>18308</v>
      </c>
      <c r="Z1000" t="s">
        <v>18309</v>
      </c>
      <c r="AA1000" t="s">
        <v>18310</v>
      </c>
      <c r="AB1000" t="s">
        <v>18311</v>
      </c>
      <c r="AC1000" t="s">
        <v>18312</v>
      </c>
      <c r="AD1000" t="s">
        <v>18313</v>
      </c>
      <c r="AE1000" t="s">
        <v>18314</v>
      </c>
      <c r="AF1000" t="s">
        <v>74</v>
      </c>
      <c r="AG1000">
        <v>66</v>
      </c>
      <c r="AH1000">
        <v>19</v>
      </c>
      <c r="AI1000">
        <v>23</v>
      </c>
      <c r="AJ1000">
        <v>0</v>
      </c>
      <c r="AK1000">
        <v>14</v>
      </c>
      <c r="AL1000" t="s">
        <v>333</v>
      </c>
      <c r="AM1000" t="s">
        <v>334</v>
      </c>
      <c r="AN1000" t="s">
        <v>335</v>
      </c>
      <c r="AO1000" t="s">
        <v>18315</v>
      </c>
      <c r="AP1000" t="s">
        <v>18316</v>
      </c>
      <c r="AQ1000" t="s">
        <v>74</v>
      </c>
      <c r="AR1000" t="s">
        <v>18317</v>
      </c>
      <c r="AS1000" t="s">
        <v>18318</v>
      </c>
      <c r="AT1000" t="s">
        <v>18279</v>
      </c>
      <c r="AU1000">
        <v>2011</v>
      </c>
      <c r="AV1000">
        <v>309</v>
      </c>
      <c r="AW1000" t="s">
        <v>1776</v>
      </c>
      <c r="AX1000" t="s">
        <v>74</v>
      </c>
      <c r="AY1000" t="s">
        <v>74</v>
      </c>
      <c r="AZ1000" t="s">
        <v>339</v>
      </c>
      <c r="BA1000" t="s">
        <v>74</v>
      </c>
      <c r="BB1000">
        <v>73</v>
      </c>
      <c r="BC1000">
        <v>82</v>
      </c>
      <c r="BD1000" t="s">
        <v>74</v>
      </c>
      <c r="BE1000" t="s">
        <v>18319</v>
      </c>
      <c r="BF1000" t="str">
        <f>HYPERLINK("http://dx.doi.org/10.1016/j.palaeo.2011.01.028","http://dx.doi.org/10.1016/j.palaeo.2011.01.028")</f>
        <v>http://dx.doi.org/10.1016/j.palaeo.2011.01.028</v>
      </c>
      <c r="BG1000" t="s">
        <v>74</v>
      </c>
      <c r="BH1000" t="s">
        <v>74</v>
      </c>
      <c r="BI1000">
        <v>10</v>
      </c>
      <c r="BJ1000" t="s">
        <v>18320</v>
      </c>
      <c r="BK1000" t="s">
        <v>100</v>
      </c>
      <c r="BL1000" t="s">
        <v>18321</v>
      </c>
      <c r="BM1000" t="s">
        <v>18322</v>
      </c>
      <c r="BN1000" t="s">
        <v>74</v>
      </c>
      <c r="BO1000" t="s">
        <v>74</v>
      </c>
      <c r="BP1000" t="s">
        <v>74</v>
      </c>
      <c r="BQ1000" t="s">
        <v>74</v>
      </c>
      <c r="BR1000" t="s">
        <v>102</v>
      </c>
      <c r="BS1000" t="s">
        <v>18323</v>
      </c>
      <c r="BT1000" t="str">
        <f>HYPERLINK("https%3A%2F%2Fwww.webofscience.com%2Fwos%2Fwoscc%2Ffull-record%2FWOS:000294144100006","View Full Record in Web of Science")</f>
        <v>View Full Record in Web of Science</v>
      </c>
    </row>
    <row r="1001" spans="1:72" x14ac:dyDescent="0.15">
      <c r="A1001" t="s">
        <v>72</v>
      </c>
      <c r="B1001" t="s">
        <v>18324</v>
      </c>
      <c r="C1001" t="s">
        <v>74</v>
      </c>
      <c r="D1001" t="s">
        <v>74</v>
      </c>
      <c r="E1001" t="s">
        <v>74</v>
      </c>
      <c r="F1001" t="s">
        <v>18325</v>
      </c>
      <c r="G1001" t="s">
        <v>74</v>
      </c>
      <c r="H1001" t="s">
        <v>74</v>
      </c>
      <c r="I1001" t="s">
        <v>18326</v>
      </c>
      <c r="J1001" t="s">
        <v>18302</v>
      </c>
      <c r="K1001" t="s">
        <v>74</v>
      </c>
      <c r="L1001" t="s">
        <v>74</v>
      </c>
      <c r="M1001" t="s">
        <v>78</v>
      </c>
      <c r="N1001" t="s">
        <v>79</v>
      </c>
      <c r="O1001" t="s">
        <v>74</v>
      </c>
      <c r="P1001" t="s">
        <v>74</v>
      </c>
      <c r="Q1001" t="s">
        <v>74</v>
      </c>
      <c r="R1001" t="s">
        <v>74</v>
      </c>
      <c r="S1001" t="s">
        <v>74</v>
      </c>
      <c r="T1001" t="s">
        <v>18327</v>
      </c>
      <c r="U1001" t="s">
        <v>18328</v>
      </c>
      <c r="V1001" t="s">
        <v>18329</v>
      </c>
      <c r="W1001" t="s">
        <v>18330</v>
      </c>
      <c r="X1001" t="s">
        <v>18331</v>
      </c>
      <c r="Y1001" t="s">
        <v>18332</v>
      </c>
      <c r="Z1001" t="s">
        <v>18333</v>
      </c>
      <c r="AA1001" t="s">
        <v>18334</v>
      </c>
      <c r="AB1001" t="s">
        <v>18335</v>
      </c>
      <c r="AC1001" t="s">
        <v>18336</v>
      </c>
      <c r="AD1001" t="s">
        <v>18337</v>
      </c>
      <c r="AE1001" t="s">
        <v>18338</v>
      </c>
      <c r="AF1001" t="s">
        <v>74</v>
      </c>
      <c r="AG1001">
        <v>110</v>
      </c>
      <c r="AH1001">
        <v>83</v>
      </c>
      <c r="AI1001">
        <v>90</v>
      </c>
      <c r="AJ1001">
        <v>4</v>
      </c>
      <c r="AK1001">
        <v>61</v>
      </c>
      <c r="AL1001" t="s">
        <v>333</v>
      </c>
      <c r="AM1001" t="s">
        <v>334</v>
      </c>
      <c r="AN1001" t="s">
        <v>335</v>
      </c>
      <c r="AO1001" t="s">
        <v>18315</v>
      </c>
      <c r="AP1001" t="s">
        <v>18316</v>
      </c>
      <c r="AQ1001" t="s">
        <v>74</v>
      </c>
      <c r="AR1001" t="s">
        <v>18317</v>
      </c>
      <c r="AS1001" t="s">
        <v>18318</v>
      </c>
      <c r="AT1001" t="s">
        <v>18279</v>
      </c>
      <c r="AU1001">
        <v>2011</v>
      </c>
      <c r="AV1001">
        <v>309</v>
      </c>
      <c r="AW1001" t="s">
        <v>1776</v>
      </c>
      <c r="AX1001" t="s">
        <v>74</v>
      </c>
      <c r="AY1001" t="s">
        <v>74</v>
      </c>
      <c r="AZ1001" t="s">
        <v>339</v>
      </c>
      <c r="BA1001" t="s">
        <v>74</v>
      </c>
      <c r="BB1001">
        <v>98</v>
      </c>
      <c r="BC1001">
        <v>110</v>
      </c>
      <c r="BD1001" t="s">
        <v>74</v>
      </c>
      <c r="BE1001" t="s">
        <v>18339</v>
      </c>
      <c r="BF1001" t="str">
        <f>HYPERLINK("http://dx.doi.org/10.1016/j.palaeo.2011.03.030","http://dx.doi.org/10.1016/j.palaeo.2011.03.030")</f>
        <v>http://dx.doi.org/10.1016/j.palaeo.2011.03.030</v>
      </c>
      <c r="BG1001" t="s">
        <v>74</v>
      </c>
      <c r="BH1001" t="s">
        <v>74</v>
      </c>
      <c r="BI1001">
        <v>13</v>
      </c>
      <c r="BJ1001" t="s">
        <v>18320</v>
      </c>
      <c r="BK1001" t="s">
        <v>100</v>
      </c>
      <c r="BL1001" t="s">
        <v>18321</v>
      </c>
      <c r="BM1001" t="s">
        <v>18322</v>
      </c>
      <c r="BN1001" t="s">
        <v>74</v>
      </c>
      <c r="BO1001" t="s">
        <v>74</v>
      </c>
      <c r="BP1001" t="s">
        <v>74</v>
      </c>
      <c r="BQ1001" t="s">
        <v>74</v>
      </c>
      <c r="BR1001" t="s">
        <v>102</v>
      </c>
      <c r="BS1001" t="s">
        <v>18340</v>
      </c>
      <c r="BT1001" t="str">
        <f>HYPERLINK("https%3A%2F%2Fwww.webofscience.com%2Fwos%2Fwoscc%2Ffull-record%2FWOS:000294144100009","View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2024-07-28T15:24:18Z</dcterms:created>
  <dcterms:modified xsi:type="dcterms:W3CDTF">2024-07-28T15:24:18Z</dcterms:modified>
</cp:coreProperties>
</file>